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Schedules\Schedule 141N-R\2023\Substitute Filing Aug 31 2023\"/>
    </mc:Choice>
  </mc:AlternateContent>
  <bookViews>
    <workbookView xWindow="0" yWindow="0" windowWidth="19200" windowHeight="6540" activeTab="2"/>
  </bookViews>
  <sheets>
    <sheet name="Source Data - Act v Plan by WBS" sheetId="17" r:id="rId1"/>
    <sheet name="Report Tables--&gt;" sheetId="25" r:id="rId2"/>
    <sheet name="STR RR Recalc" sheetId="11" r:id="rId3"/>
    <sheet name="Gross Plant Compare" sheetId="14" r:id="rId4"/>
    <sheet name="Variance Summary" sheetId="15" r:id="rId5"/>
    <sheet name="Electric Closings Summary" sheetId="1" r:id="rId6"/>
    <sheet name="Gas Closings Summary" sheetId="7" r:id="rId7"/>
    <sheet name="Rev Req Comparison" sheetId="8" r:id="rId8"/>
    <sheet name="Att D Tables--&gt;" sheetId="26" r:id="rId9"/>
    <sheet name="Att D Table" sheetId="16" r:id="rId10"/>
    <sheet name="Ops Detail for Rpt" sheetId="20" r:id="rId11"/>
    <sheet name="Addtl Info--&gt;" sheetId="27" r:id="rId12"/>
    <sheet name="Ops Detail" sheetId="22" r:id="rId13"/>
    <sheet name="Ops Explain Table" sheetId="23" r:id="rId14"/>
    <sheet name="Eng ES Stlmt Chg" sheetId="24" r:id="rId15"/>
    <sheet name="SEF-23" sheetId="12" r:id="rId16"/>
    <sheet name="SEF-24" sheetId="13" r:id="rId17"/>
    <sheet name="2022 YE Gross Plant Detail" sheetId="2" r:id="rId18"/>
    <sheet name="2022 YE Accum Depr Detail" sheetId="3" r:id="rId19"/>
    <sheet name="2022 YE Def Tax Detail" sheetId="4" r:id="rId20"/>
    <sheet name="2022 YE Depr Expense" sheetId="5" r:id="rId21"/>
    <sheet name="2022 Pre-Cap Summary" sheetId="6" r:id="rId22"/>
    <sheet name="2022 Retirement Depr Adj" sheetId="9" r:id="rId23"/>
    <sheet name="RB Act v Rates" sheetId="29" r:id="rId24"/>
  </sheets>
  <definedNames>
    <definedName name="_xlnm._FilterDatabase" localSheetId="0" hidden="1">'Source Data - Act v Plan by WBS'!$A$4:$K$445</definedName>
  </definedNames>
  <calcPr calcId="162913"/>
  <pivotCaches>
    <pivotCache cacheId="5" r:id="rId25"/>
    <pivotCache cacheId="6" r:id="rId2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1" l="1"/>
  <c r="T23" i="11" s="1"/>
  <c r="T17" i="11" s="1"/>
  <c r="Q21" i="11"/>
  <c r="T15" i="11"/>
  <c r="S15" i="11"/>
  <c r="R15" i="11"/>
  <c r="Q15" i="11"/>
  <c r="P15" i="11"/>
  <c r="O15" i="11"/>
  <c r="Q23" i="11" s="1"/>
  <c r="T12" i="11"/>
  <c r="S12" i="11"/>
  <c r="R12" i="11"/>
  <c r="Q12" i="11"/>
  <c r="P12" i="11"/>
  <c r="O12" i="11"/>
  <c r="T11" i="11"/>
  <c r="S11" i="11"/>
  <c r="R11" i="11"/>
  <c r="Q11" i="11"/>
  <c r="P11" i="11"/>
  <c r="O11" i="11"/>
  <c r="T9" i="11"/>
  <c r="S9" i="11"/>
  <c r="R9" i="11"/>
  <c r="Q9" i="11"/>
  <c r="P9" i="11"/>
  <c r="O9" i="11"/>
  <c r="S8" i="11"/>
  <c r="R8" i="11"/>
  <c r="P8" i="11"/>
  <c r="O8" i="11"/>
  <c r="T22" i="11"/>
  <c r="R13" i="11"/>
  <c r="S13" i="11"/>
  <c r="T13" i="11" s="1"/>
  <c r="O13" i="11"/>
  <c r="L10" i="1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9" i="11"/>
  <c r="T8" i="11"/>
  <c r="R10" i="11"/>
  <c r="J21" i="11"/>
  <c r="R14" i="11" l="1"/>
  <c r="R16" i="11" s="1"/>
  <c r="Q8" i="11"/>
  <c r="O10" i="11"/>
  <c r="O14" i="11" s="1"/>
  <c r="O16" i="11" s="1"/>
  <c r="S10" i="11"/>
  <c r="P10" i="11"/>
  <c r="P13" i="11"/>
  <c r="Q13" i="11" s="1"/>
  <c r="J11" i="15"/>
  <c r="D29" i="13"/>
  <c r="C29" i="13" s="1"/>
  <c r="E28" i="13"/>
  <c r="C28" i="13"/>
  <c r="E31" i="12"/>
  <c r="C30" i="12"/>
  <c r="D31" i="12"/>
  <c r="D29" i="12"/>
  <c r="E29" i="12" s="1"/>
  <c r="E30" i="12" s="1"/>
  <c r="S14" i="11" l="1"/>
  <c r="T10" i="11"/>
  <c r="Q10" i="11"/>
  <c r="P14" i="11"/>
  <c r="D28" i="13"/>
  <c r="F28" i="13" s="1"/>
  <c r="G28" i="13" s="1"/>
  <c r="D30" i="13"/>
  <c r="E29" i="13"/>
  <c r="E30" i="13" s="1"/>
  <c r="E31" i="13" s="1"/>
  <c r="D30" i="12"/>
  <c r="C29" i="12"/>
  <c r="C9" i="29"/>
  <c r="B9" i="29"/>
  <c r="C13" i="29"/>
  <c r="B13" i="29"/>
  <c r="B22" i="29"/>
  <c r="C22" i="29"/>
  <c r="C21" i="29"/>
  <c r="B21" i="29"/>
  <c r="T14" i="11" l="1"/>
  <c r="S16" i="11"/>
  <c r="T16" i="11" s="1"/>
  <c r="T18" i="11" s="1"/>
  <c r="P16" i="11"/>
  <c r="Q16" i="11" s="1"/>
  <c r="Q14" i="11"/>
  <c r="D31" i="13"/>
  <c r="C30" i="13"/>
  <c r="C31" i="13" s="1"/>
  <c r="C20" i="29"/>
  <c r="C19" i="29"/>
  <c r="B19" i="29"/>
  <c r="B20" i="29"/>
  <c r="C15" i="29" l="1"/>
  <c r="C7" i="29" s="1"/>
  <c r="B15" i="29"/>
  <c r="B7" i="29" s="1"/>
  <c r="H9" i="24" l="1"/>
  <c r="G9" i="24"/>
  <c r="F9" i="24"/>
  <c r="E9" i="24"/>
  <c r="D9" i="24"/>
  <c r="C9" i="24"/>
  <c r="J29" i="20" l="1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I4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J30" i="20" l="1"/>
  <c r="I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D2" i="22"/>
  <c r="C2" i="22"/>
  <c r="B2" i="22"/>
  <c r="D2" i="20"/>
  <c r="C2" i="20"/>
  <c r="B2" i="20"/>
  <c r="AA12" i="16"/>
  <c r="Z12" i="16"/>
  <c r="AA11" i="16"/>
  <c r="Z11" i="16"/>
  <c r="AA10" i="16"/>
  <c r="Z10" i="16"/>
  <c r="AA9" i="16"/>
  <c r="Z9" i="16"/>
  <c r="AA8" i="16"/>
  <c r="Z8" i="16"/>
  <c r="AA7" i="16"/>
  <c r="Z7" i="16"/>
  <c r="AA6" i="16"/>
  <c r="Z6" i="16"/>
  <c r="V12" i="16"/>
  <c r="U12" i="16"/>
  <c r="V11" i="16"/>
  <c r="U11" i="16"/>
  <c r="V10" i="16"/>
  <c r="U10" i="16"/>
  <c r="V9" i="16"/>
  <c r="U9" i="16"/>
  <c r="V8" i="16"/>
  <c r="U8" i="16"/>
  <c r="V7" i="16"/>
  <c r="U7" i="16"/>
  <c r="V6" i="16"/>
  <c r="U6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K30" i="20" l="1"/>
  <c r="K32" i="20" s="1"/>
  <c r="AK12" i="16" l="1"/>
  <c r="AJ12" i="16"/>
  <c r="AK11" i="16"/>
  <c r="AE11" i="16"/>
  <c r="AF10" i="16"/>
  <c r="AE10" i="16"/>
  <c r="AJ9" i="16"/>
  <c r="AF8" i="16"/>
  <c r="AP8" i="16" s="1"/>
  <c r="AB8" i="16"/>
  <c r="AK7" i="16"/>
  <c r="I1" i="17"/>
  <c r="H1" i="17"/>
  <c r="AO11" i="16" l="1"/>
  <c r="AB12" i="16"/>
  <c r="AP10" i="16"/>
  <c r="W11" i="16"/>
  <c r="AB9" i="16"/>
  <c r="AB7" i="16"/>
  <c r="AT12" i="16"/>
  <c r="AF7" i="16"/>
  <c r="AP7" i="16" s="1"/>
  <c r="AF11" i="16"/>
  <c r="AP11" i="16" s="1"/>
  <c r="Z13" i="16"/>
  <c r="R9" i="16"/>
  <c r="AO10" i="16"/>
  <c r="AG10" i="16"/>
  <c r="V13" i="16"/>
  <c r="R8" i="16"/>
  <c r="AE8" i="16"/>
  <c r="AE12" i="16"/>
  <c r="AO12" i="16" s="1"/>
  <c r="AJ7" i="16"/>
  <c r="AT7" i="16" s="1"/>
  <c r="AK8" i="16"/>
  <c r="AU8" i="16" s="1"/>
  <c r="AY8" i="16" s="1"/>
  <c r="Q13" i="16"/>
  <c r="AA13" i="16"/>
  <c r="AJ6" i="16"/>
  <c r="R7" i="16"/>
  <c r="AF12" i="16"/>
  <c r="AP12" i="16" s="1"/>
  <c r="AJ8" i="16"/>
  <c r="AT8" i="16" s="1"/>
  <c r="AK9" i="16"/>
  <c r="AU9" i="16" s="1"/>
  <c r="R6" i="16"/>
  <c r="AE9" i="16"/>
  <c r="AO9" i="16" s="1"/>
  <c r="AK10" i="16"/>
  <c r="AU10" i="16" s="1"/>
  <c r="AF9" i="16"/>
  <c r="AP9" i="16" s="1"/>
  <c r="AJ10" i="16"/>
  <c r="U13" i="16"/>
  <c r="AB11" i="16"/>
  <c r="R12" i="16"/>
  <c r="AE6" i="16"/>
  <c r="AO6" i="16" s="1"/>
  <c r="AJ11" i="16"/>
  <c r="AT11" i="16" s="1"/>
  <c r="R11" i="16"/>
  <c r="AF6" i="16"/>
  <c r="AP6" i="16" s="1"/>
  <c r="AB10" i="16"/>
  <c r="R10" i="16"/>
  <c r="AE7" i="16"/>
  <c r="AO7" i="16" s="1"/>
  <c r="AK6" i="16"/>
  <c r="AU6" i="16" s="1"/>
  <c r="AL12" i="16"/>
  <c r="AU12" i="16"/>
  <c r="AB6" i="16"/>
  <c r="W10" i="16"/>
  <c r="W12" i="16"/>
  <c r="W7" i="16"/>
  <c r="W8" i="16"/>
  <c r="W9" i="16"/>
  <c r="W6" i="16"/>
  <c r="P13" i="16"/>
  <c r="AQ11" i="16" l="1"/>
  <c r="AY10" i="16"/>
  <c r="AQ10" i="16"/>
  <c r="R13" i="16"/>
  <c r="AX11" i="16"/>
  <c r="AV8" i="16"/>
  <c r="AX12" i="16"/>
  <c r="AX7" i="16"/>
  <c r="AQ9" i="16"/>
  <c r="AB13" i="16"/>
  <c r="AQ12" i="16"/>
  <c r="AL8" i="16"/>
  <c r="AE13" i="16"/>
  <c r="AG11" i="16"/>
  <c r="AQ7" i="16"/>
  <c r="AL6" i="16"/>
  <c r="AP13" i="16"/>
  <c r="AO8" i="16"/>
  <c r="AX8" i="16" s="1"/>
  <c r="AG8" i="16"/>
  <c r="AT6" i="16"/>
  <c r="AX6" i="16" s="1"/>
  <c r="AG6" i="16"/>
  <c r="AG9" i="16"/>
  <c r="AY6" i="16"/>
  <c r="AY9" i="16"/>
  <c r="AY12" i="16"/>
  <c r="AQ6" i="16"/>
  <c r="AG7" i="16"/>
  <c r="AF13" i="16"/>
  <c r="AG12" i="16"/>
  <c r="AV12" i="16"/>
  <c r="AJ13" i="16"/>
  <c r="AT9" i="16"/>
  <c r="AL7" i="16"/>
  <c r="AL11" i="16"/>
  <c r="AU11" i="16"/>
  <c r="AK13" i="16"/>
  <c r="AU7" i="16"/>
  <c r="AL9" i="16"/>
  <c r="AL10" i="16"/>
  <c r="AT10" i="16"/>
  <c r="W13" i="16"/>
  <c r="AZ12" i="16" l="1"/>
  <c r="AG13" i="16"/>
  <c r="AQ8" i="16"/>
  <c r="AO13" i="16"/>
  <c r="AV6" i="16"/>
  <c r="AZ6" i="16" s="1"/>
  <c r="AV7" i="16"/>
  <c r="AZ7" i="16" s="1"/>
  <c r="AY7" i="16"/>
  <c r="AV11" i="16"/>
  <c r="AZ11" i="16" s="1"/>
  <c r="AY11" i="16"/>
  <c r="AL13" i="16"/>
  <c r="AV10" i="16"/>
  <c r="AZ10" i="16" s="1"/>
  <c r="AX10" i="16"/>
  <c r="AV9" i="16"/>
  <c r="AZ9" i="16" s="1"/>
  <c r="AX9" i="16"/>
  <c r="AT13" i="16"/>
  <c r="AX13" i="16" s="1"/>
  <c r="AU13" i="16"/>
  <c r="AY13" i="16" s="1"/>
  <c r="AZ8" i="16" l="1"/>
  <c r="AQ13" i="16"/>
  <c r="AV13" i="16"/>
  <c r="AZ13" i="16" l="1"/>
  <c r="M11" i="16" l="1"/>
  <c r="L11" i="16"/>
  <c r="K11" i="16"/>
  <c r="M10" i="16" l="1"/>
  <c r="L10" i="16"/>
  <c r="K10" i="16"/>
  <c r="I443" i="17"/>
  <c r="H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M13" i="16"/>
  <c r="L13" i="16"/>
  <c r="K13" i="16"/>
  <c r="M12" i="16"/>
  <c r="L12" i="16"/>
  <c r="K12" i="16"/>
  <c r="M9" i="16"/>
  <c r="L9" i="16"/>
  <c r="K9" i="16"/>
  <c r="M8" i="16"/>
  <c r="L8" i="16"/>
  <c r="K8" i="16"/>
  <c r="M7" i="16"/>
  <c r="L7" i="16"/>
  <c r="K7" i="16"/>
  <c r="M6" i="16"/>
  <c r="L6" i="16"/>
  <c r="K6" i="16"/>
  <c r="L5" i="16"/>
  <c r="K5" i="16"/>
  <c r="J1" i="17" l="1"/>
  <c r="K16" i="16"/>
  <c r="L16" i="16"/>
  <c r="M16" i="16"/>
  <c r="J443" i="17"/>
  <c r="G9" i="15" l="1"/>
  <c r="G10" i="15"/>
  <c r="G8" i="15"/>
  <c r="G7" i="15"/>
  <c r="G6" i="15"/>
  <c r="K14" i="8"/>
  <c r="K29" i="8"/>
  <c r="K27" i="8"/>
  <c r="K26" i="8"/>
  <c r="J23" i="8"/>
  <c r="J20" i="8"/>
  <c r="J19" i="8"/>
  <c r="J18" i="8"/>
  <c r="J17" i="8"/>
  <c r="J21" i="8" s="1"/>
  <c r="J24" i="8" s="1"/>
  <c r="J13" i="8"/>
  <c r="J12" i="8"/>
  <c r="J11" i="8"/>
  <c r="J10" i="8"/>
  <c r="J9" i="8"/>
  <c r="J8" i="8"/>
  <c r="J14" i="8" s="1"/>
  <c r="D13" i="14"/>
  <c r="D12" i="14"/>
  <c r="D17" i="14" s="1"/>
  <c r="D8" i="14"/>
  <c r="D7" i="14"/>
  <c r="D9" i="14" l="1"/>
  <c r="D18" i="14"/>
  <c r="D19" i="14" s="1"/>
  <c r="D14" i="14"/>
  <c r="G11" i="15"/>
  <c r="J29" i="8"/>
  <c r="H14" i="15" l="1"/>
  <c r="C28" i="9"/>
  <c r="A28" i="9"/>
  <c r="F27" i="9"/>
  <c r="A27" i="9"/>
  <c r="A26" i="9"/>
  <c r="C25" i="9"/>
  <c r="A25" i="9"/>
  <c r="A24" i="9"/>
  <c r="F23" i="9"/>
  <c r="C23" i="9"/>
  <c r="A23" i="9"/>
  <c r="F22" i="9"/>
  <c r="C22" i="9"/>
  <c r="A22" i="9"/>
  <c r="F21" i="9"/>
  <c r="A21" i="9"/>
  <c r="A20" i="9"/>
  <c r="A19" i="9"/>
  <c r="C18" i="9"/>
  <c r="A18" i="9"/>
  <c r="F17" i="9"/>
  <c r="A17" i="9"/>
  <c r="A16" i="9"/>
  <c r="C15" i="9"/>
  <c r="A15" i="9"/>
  <c r="A14" i="9"/>
  <c r="F13" i="9"/>
  <c r="C13" i="9"/>
  <c r="A13" i="9"/>
  <c r="F12" i="9"/>
  <c r="C12" i="9"/>
  <c r="A12" i="9"/>
  <c r="F11" i="9"/>
  <c r="A11" i="9"/>
  <c r="F10" i="9"/>
  <c r="A10" i="9"/>
  <c r="A9" i="9"/>
  <c r="A8" i="9"/>
  <c r="A7" i="9"/>
  <c r="F6" i="9"/>
  <c r="A6" i="9"/>
  <c r="H20" i="6"/>
  <c r="F20" i="6"/>
  <c r="E20" i="6"/>
  <c r="D20" i="6"/>
  <c r="C20" i="6"/>
  <c r="A20" i="6"/>
  <c r="A19" i="6"/>
  <c r="H18" i="6"/>
  <c r="F18" i="6"/>
  <c r="E18" i="6"/>
  <c r="D18" i="6"/>
  <c r="C18" i="6"/>
  <c r="A18" i="6"/>
  <c r="F17" i="6"/>
  <c r="A17" i="6"/>
  <c r="F16" i="6"/>
  <c r="A16" i="6"/>
  <c r="F15" i="6"/>
  <c r="A15" i="6"/>
  <c r="F14" i="6"/>
  <c r="A14" i="6"/>
  <c r="A13" i="6"/>
  <c r="A12" i="6"/>
  <c r="H11" i="6"/>
  <c r="F11" i="6"/>
  <c r="E11" i="6"/>
  <c r="D11" i="6"/>
  <c r="C11" i="6"/>
  <c r="A11" i="6"/>
  <c r="F10" i="6"/>
  <c r="A10" i="6"/>
  <c r="F9" i="6"/>
  <c r="A9" i="6"/>
  <c r="F8" i="6"/>
  <c r="A8" i="6"/>
  <c r="J59" i="5"/>
  <c r="E59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J59" i="4"/>
  <c r="E59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J59" i="3"/>
  <c r="E59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J64" i="2"/>
  <c r="E64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G21" i="7"/>
  <c r="E21" i="7"/>
  <c r="D21" i="7"/>
  <c r="C21" i="7"/>
  <c r="A21" i="7"/>
  <c r="G20" i="7"/>
  <c r="E20" i="7"/>
  <c r="D20" i="7"/>
  <c r="C20" i="7"/>
  <c r="A20" i="7"/>
  <c r="G19" i="7"/>
  <c r="E19" i="7"/>
  <c r="D19" i="7"/>
  <c r="C19" i="7"/>
  <c r="A19" i="7"/>
  <c r="G18" i="7"/>
  <c r="E18" i="7"/>
  <c r="D18" i="7"/>
  <c r="C18" i="7"/>
  <c r="A18" i="7"/>
  <c r="G17" i="7"/>
  <c r="E17" i="7"/>
  <c r="D17" i="7"/>
  <c r="C17" i="7"/>
  <c r="A17" i="7"/>
  <c r="G16" i="7"/>
  <c r="E16" i="7"/>
  <c r="D16" i="7"/>
  <c r="C16" i="7"/>
  <c r="A16" i="7"/>
  <c r="G15" i="7"/>
  <c r="E15" i="7"/>
  <c r="D15" i="7"/>
  <c r="C15" i="7"/>
  <c r="A15" i="7"/>
  <c r="G14" i="7"/>
  <c r="E14" i="7"/>
  <c r="D14" i="7"/>
  <c r="C14" i="7"/>
  <c r="A14" i="7"/>
  <c r="G13" i="7"/>
  <c r="E13" i="7"/>
  <c r="D13" i="7"/>
  <c r="C13" i="7"/>
  <c r="A13" i="7"/>
  <c r="G12" i="7"/>
  <c r="E12" i="7"/>
  <c r="D12" i="7"/>
  <c r="C12" i="7"/>
  <c r="A12" i="7"/>
  <c r="G11" i="7"/>
  <c r="E11" i="7"/>
  <c r="D11" i="7"/>
  <c r="C11" i="7"/>
  <c r="A11" i="7"/>
  <c r="G10" i="7"/>
  <c r="E10" i="7"/>
  <c r="D10" i="7"/>
  <c r="C10" i="7"/>
  <c r="A10" i="7"/>
  <c r="G9" i="7"/>
  <c r="E9" i="7"/>
  <c r="D9" i="7"/>
  <c r="C9" i="7"/>
  <c r="A9" i="7"/>
  <c r="G8" i="7"/>
  <c r="E8" i="7"/>
  <c r="D8" i="7"/>
  <c r="C8" i="7"/>
  <c r="A8" i="7"/>
  <c r="G7" i="7"/>
  <c r="E7" i="7"/>
  <c r="D7" i="7"/>
  <c r="C7" i="7"/>
  <c r="A7" i="7"/>
  <c r="G6" i="7"/>
  <c r="E6" i="7"/>
  <c r="D6" i="7"/>
  <c r="C6" i="7"/>
  <c r="A6" i="7"/>
  <c r="G5" i="7"/>
  <c r="E5" i="7"/>
  <c r="D5" i="7"/>
  <c r="C5" i="7"/>
  <c r="A5" i="7"/>
  <c r="G4" i="7"/>
  <c r="E4" i="7"/>
  <c r="D4" i="7"/>
  <c r="C4" i="7"/>
  <c r="G26" i="1"/>
  <c r="E26" i="1"/>
  <c r="D26" i="1"/>
  <c r="C26" i="1"/>
  <c r="A26" i="1"/>
  <c r="G25" i="1"/>
  <c r="E25" i="1"/>
  <c r="D25" i="1"/>
  <c r="C25" i="1"/>
  <c r="A25" i="1"/>
  <c r="G24" i="1"/>
  <c r="E24" i="1"/>
  <c r="D24" i="1"/>
  <c r="C24" i="1"/>
  <c r="A24" i="1"/>
  <c r="G23" i="1"/>
  <c r="E23" i="1"/>
  <c r="D23" i="1"/>
  <c r="C23" i="1"/>
  <c r="A23" i="1"/>
  <c r="G22" i="1"/>
  <c r="E22" i="1"/>
  <c r="D22" i="1"/>
  <c r="C22" i="1"/>
  <c r="A22" i="1"/>
  <c r="G21" i="1"/>
  <c r="E21" i="1"/>
  <c r="D21" i="1"/>
  <c r="C21" i="1"/>
  <c r="A21" i="1"/>
  <c r="G20" i="1"/>
  <c r="E20" i="1"/>
  <c r="D20" i="1"/>
  <c r="C20" i="1"/>
  <c r="A20" i="1"/>
  <c r="G19" i="1"/>
  <c r="E19" i="1"/>
  <c r="D19" i="1"/>
  <c r="C19" i="1"/>
  <c r="A19" i="1"/>
  <c r="G18" i="1"/>
  <c r="E18" i="1"/>
  <c r="D18" i="1"/>
  <c r="C18" i="1"/>
  <c r="A18" i="1"/>
  <c r="G17" i="1"/>
  <c r="E17" i="1"/>
  <c r="D17" i="1"/>
  <c r="C17" i="1"/>
  <c r="A17" i="1"/>
  <c r="G16" i="1"/>
  <c r="E16" i="1"/>
  <c r="D16" i="1"/>
  <c r="C16" i="1"/>
  <c r="A16" i="1"/>
  <c r="G15" i="1"/>
  <c r="E15" i="1"/>
  <c r="D15" i="1"/>
  <c r="C15" i="1"/>
  <c r="A15" i="1"/>
  <c r="G14" i="1"/>
  <c r="E14" i="1"/>
  <c r="D14" i="1"/>
  <c r="C14" i="1"/>
  <c r="A14" i="1"/>
  <c r="G13" i="1"/>
  <c r="E13" i="1"/>
  <c r="D13" i="1"/>
  <c r="C13" i="1"/>
  <c r="A13" i="1"/>
  <c r="G12" i="1"/>
  <c r="E12" i="1"/>
  <c r="D12" i="1"/>
  <c r="C12" i="1"/>
  <c r="A12" i="1"/>
  <c r="G11" i="1"/>
  <c r="E11" i="1"/>
  <c r="D11" i="1"/>
  <c r="C11" i="1"/>
  <c r="A11" i="1"/>
  <c r="G10" i="1"/>
  <c r="E10" i="1"/>
  <c r="D10" i="1"/>
  <c r="C10" i="1"/>
  <c r="A10" i="1"/>
  <c r="G9" i="1"/>
  <c r="E9" i="1"/>
  <c r="D9" i="1"/>
  <c r="C9" i="1"/>
  <c r="A9" i="1"/>
  <c r="G8" i="1"/>
  <c r="E8" i="1"/>
  <c r="D8" i="1"/>
  <c r="C8" i="1"/>
  <c r="A8" i="1"/>
  <c r="G7" i="1"/>
  <c r="E7" i="1"/>
  <c r="D7" i="1"/>
  <c r="C7" i="1"/>
  <c r="A7" i="1"/>
  <c r="G6" i="1"/>
  <c r="E6" i="1"/>
  <c r="D6" i="1"/>
  <c r="C6" i="1"/>
  <c r="A6" i="1"/>
  <c r="G5" i="1"/>
  <c r="E5" i="1"/>
  <c r="D5" i="1"/>
  <c r="C5" i="1"/>
  <c r="A5" i="1"/>
  <c r="G4" i="1"/>
  <c r="E4" i="1"/>
  <c r="D4" i="1"/>
  <c r="C4" i="1"/>
  <c r="E25" i="13"/>
  <c r="D25" i="13"/>
  <c r="C25" i="13"/>
  <c r="A25" i="13"/>
  <c r="A24" i="13"/>
  <c r="E23" i="13"/>
  <c r="D23" i="13"/>
  <c r="A23" i="13"/>
  <c r="E22" i="13"/>
  <c r="D22" i="13"/>
  <c r="C22" i="13"/>
  <c r="A22" i="13"/>
  <c r="E21" i="13"/>
  <c r="D21" i="13"/>
  <c r="C21" i="13"/>
  <c r="A21" i="13"/>
  <c r="E20" i="13"/>
  <c r="D20" i="13"/>
  <c r="C20" i="13"/>
  <c r="A20" i="13"/>
  <c r="E19" i="13"/>
  <c r="D19" i="13"/>
  <c r="C19" i="13"/>
  <c r="A19" i="13"/>
  <c r="E18" i="13"/>
  <c r="D18" i="13"/>
  <c r="C18" i="13"/>
  <c r="A18" i="13"/>
  <c r="E17" i="13"/>
  <c r="D17" i="13"/>
  <c r="C17" i="13"/>
  <c r="A17" i="13"/>
  <c r="A16" i="13"/>
  <c r="A15" i="13"/>
  <c r="A14" i="13"/>
  <c r="A13" i="13"/>
  <c r="A12" i="13"/>
  <c r="A11" i="13"/>
  <c r="A10" i="13"/>
  <c r="A9" i="13"/>
  <c r="C25" i="12"/>
  <c r="A25" i="12"/>
  <c r="A24" i="12"/>
  <c r="A23" i="12"/>
  <c r="A22" i="12"/>
  <c r="A21" i="12"/>
  <c r="E20" i="12"/>
  <c r="D20" i="12"/>
  <c r="C20" i="12"/>
  <c r="A20" i="12"/>
  <c r="A19" i="12"/>
  <c r="E18" i="12"/>
  <c r="D18" i="12"/>
  <c r="C18" i="12"/>
  <c r="A18" i="12"/>
  <c r="E17" i="12"/>
  <c r="E19" i="12" s="1"/>
  <c r="D17" i="12"/>
  <c r="C17" i="12"/>
  <c r="A17" i="12"/>
  <c r="A16" i="12"/>
  <c r="A15" i="12"/>
  <c r="A14" i="12"/>
  <c r="A13" i="12"/>
  <c r="A12" i="12"/>
  <c r="A11" i="12"/>
  <c r="A10" i="12"/>
  <c r="A9" i="12"/>
  <c r="H34" i="8"/>
  <c r="C34" i="8"/>
  <c r="E15" i="11" s="1"/>
  <c r="F15" i="11" s="1"/>
  <c r="G15" i="11" s="1"/>
  <c r="A34" i="8"/>
  <c r="H33" i="8"/>
  <c r="C33" i="8"/>
  <c r="D18" i="8" s="1"/>
  <c r="A33" i="8"/>
  <c r="H32" i="8"/>
  <c r="C32" i="8"/>
  <c r="D26" i="8" s="1"/>
  <c r="A32" i="8"/>
  <c r="H31" i="8"/>
  <c r="C31" i="8"/>
  <c r="A31" i="8"/>
  <c r="A30" i="8"/>
  <c r="I29" i="8"/>
  <c r="H29" i="8"/>
  <c r="A29" i="8"/>
  <c r="A28" i="8"/>
  <c r="I27" i="8"/>
  <c r="H27" i="8"/>
  <c r="A27" i="8"/>
  <c r="I26" i="8"/>
  <c r="H26" i="8"/>
  <c r="A26" i="8"/>
  <c r="A25" i="8"/>
  <c r="I24" i="8"/>
  <c r="H24" i="8"/>
  <c r="A24" i="8"/>
  <c r="I23" i="8"/>
  <c r="H23" i="8"/>
  <c r="A23" i="8"/>
  <c r="A22" i="8"/>
  <c r="I21" i="8"/>
  <c r="H21" i="8"/>
  <c r="C21" i="8"/>
  <c r="A21" i="8"/>
  <c r="I20" i="8"/>
  <c r="D20" i="8"/>
  <c r="A20" i="8"/>
  <c r="I19" i="8"/>
  <c r="D19" i="8"/>
  <c r="A19" i="8"/>
  <c r="I18" i="8"/>
  <c r="A18" i="8"/>
  <c r="I17" i="8"/>
  <c r="D17" i="8"/>
  <c r="A17" i="8"/>
  <c r="A16" i="8"/>
  <c r="A15" i="8"/>
  <c r="I14" i="8"/>
  <c r="H14" i="8"/>
  <c r="D14" i="8"/>
  <c r="C14" i="8"/>
  <c r="A14" i="8"/>
  <c r="I13" i="8"/>
  <c r="D13" i="8"/>
  <c r="A13" i="8"/>
  <c r="I12" i="8"/>
  <c r="D12" i="8"/>
  <c r="A12" i="8"/>
  <c r="A11" i="8"/>
  <c r="I10" i="8"/>
  <c r="D10" i="8"/>
  <c r="A10" i="8"/>
  <c r="I9" i="8"/>
  <c r="D9" i="8"/>
  <c r="A9" i="8"/>
  <c r="I8" i="8"/>
  <c r="D8" i="8"/>
  <c r="A8" i="8"/>
  <c r="J28" i="11"/>
  <c r="I28" i="11"/>
  <c r="H28" i="11"/>
  <c r="J23" i="11"/>
  <c r="J17" i="11" s="1"/>
  <c r="J18" i="11" s="1"/>
  <c r="B23" i="11"/>
  <c r="J22" i="11"/>
  <c r="B22" i="11"/>
  <c r="G21" i="11"/>
  <c r="B21" i="11"/>
  <c r="B20" i="11"/>
  <c r="B19" i="11"/>
  <c r="B18" i="11"/>
  <c r="B17" i="11"/>
  <c r="J16" i="11"/>
  <c r="I16" i="11"/>
  <c r="H16" i="11"/>
  <c r="B16" i="11"/>
  <c r="J15" i="11"/>
  <c r="I15" i="11"/>
  <c r="H15" i="11"/>
  <c r="B15" i="11"/>
  <c r="J14" i="11"/>
  <c r="I14" i="11"/>
  <c r="H14" i="11"/>
  <c r="B14" i="11"/>
  <c r="J13" i="11"/>
  <c r="I13" i="11"/>
  <c r="H13" i="11"/>
  <c r="B13" i="11"/>
  <c r="J12" i="11"/>
  <c r="I12" i="11"/>
  <c r="H12" i="11"/>
  <c r="B12" i="11"/>
  <c r="J11" i="11"/>
  <c r="I11" i="11"/>
  <c r="H11" i="11"/>
  <c r="G11" i="11"/>
  <c r="F11" i="11"/>
  <c r="E11" i="11"/>
  <c r="B11" i="11"/>
  <c r="J10" i="11"/>
  <c r="I10" i="11"/>
  <c r="H10" i="11"/>
  <c r="B10" i="11"/>
  <c r="J9" i="11"/>
  <c r="I9" i="11"/>
  <c r="H9" i="11"/>
  <c r="E9" i="11"/>
  <c r="F9" i="11" s="1"/>
  <c r="B9" i="11"/>
  <c r="J8" i="11"/>
  <c r="I8" i="11"/>
  <c r="H8" i="11"/>
  <c r="G8" i="11"/>
  <c r="F8" i="11"/>
  <c r="E8" i="11"/>
  <c r="E21" i="12" l="1"/>
  <c r="E22" i="12" s="1"/>
  <c r="E23" i="12" s="1"/>
  <c r="C19" i="12"/>
  <c r="C21" i="12" s="1"/>
  <c r="C22" i="12" s="1"/>
  <c r="D19" i="12"/>
  <c r="D21" i="12" s="1"/>
  <c r="D22" i="12" s="1"/>
  <c r="D23" i="8"/>
  <c r="E18" i="8"/>
  <c r="F12" i="11"/>
  <c r="F13" i="11" s="1"/>
  <c r="C23" i="8"/>
  <c r="E23" i="8" s="1"/>
  <c r="F10" i="15" s="1"/>
  <c r="H10" i="15" s="1"/>
  <c r="G23" i="11"/>
  <c r="C26" i="8"/>
  <c r="G9" i="11"/>
  <c r="F10" i="11"/>
  <c r="E11" i="8"/>
  <c r="E10" i="8"/>
  <c r="E9" i="8"/>
  <c r="E8" i="8"/>
  <c r="E13" i="8"/>
  <c r="E12" i="8"/>
  <c r="E10" i="11"/>
  <c r="D21" i="8"/>
  <c r="D24" i="8" s="1"/>
  <c r="D27" i="8" s="1"/>
  <c r="D29" i="8" s="1"/>
  <c r="E17" i="8"/>
  <c r="E20" i="8"/>
  <c r="F27" i="8"/>
  <c r="E19" i="8"/>
  <c r="D23" i="12" l="1"/>
  <c r="D25" i="12" s="1"/>
  <c r="E12" i="11"/>
  <c r="E13" i="11" s="1"/>
  <c r="E14" i="11" s="1"/>
  <c r="E16" i="11" s="1"/>
  <c r="C28" i="12"/>
  <c r="C31" i="12"/>
  <c r="E21" i="8"/>
  <c r="E24" i="8" s="1"/>
  <c r="C24" i="8"/>
  <c r="C27" i="8" s="1"/>
  <c r="C29" i="8" s="1"/>
  <c r="E25" i="12"/>
  <c r="E28" i="12" s="1"/>
  <c r="G13" i="11"/>
  <c r="F7" i="15"/>
  <c r="H7" i="15" s="1"/>
  <c r="F9" i="15"/>
  <c r="H9" i="15" s="1"/>
  <c r="F6" i="15"/>
  <c r="G10" i="11"/>
  <c r="F14" i="11"/>
  <c r="E14" i="8"/>
  <c r="F8" i="15"/>
  <c r="H8" i="15" s="1"/>
  <c r="E28" i="11" l="1"/>
  <c r="G12" i="11"/>
  <c r="D28" i="12"/>
  <c r="F28" i="12" s="1"/>
  <c r="G28" i="12" s="1"/>
  <c r="F16" i="11"/>
  <c r="G14" i="11"/>
  <c r="H6" i="15"/>
  <c r="H11" i="15" s="1"/>
  <c r="F11" i="15"/>
  <c r="E29" i="8"/>
  <c r="F26" i="8"/>
  <c r="F14" i="8"/>
  <c r="F29" i="8" l="1"/>
  <c r="F14" i="15"/>
  <c r="G16" i="11"/>
  <c r="G28" i="11" s="1"/>
  <c r="F28" i="11"/>
</calcChain>
</file>

<file path=xl/sharedStrings.xml><?xml version="1.0" encoding="utf-8"?>
<sst xmlns="http://schemas.openxmlformats.org/spreadsheetml/2006/main" count="4451" uniqueCount="1188">
  <si>
    <t>Program Name</t>
  </si>
  <si>
    <t>AMI Meters and Modules Deployment - Common</t>
  </si>
  <si>
    <t>AMI Meters and Modules Deployment - Electric</t>
  </si>
  <si>
    <t>AMI Meters and Modules Deployment - Gas</t>
  </si>
  <si>
    <t>Bainbridge Tlines Trans</t>
  </si>
  <si>
    <t>Capacity Electric</t>
  </si>
  <si>
    <t>Capacity Gas</t>
  </si>
  <si>
    <t>CIAC - Electric</t>
  </si>
  <si>
    <t>CIAC - Gas</t>
  </si>
  <si>
    <t>Customer Construction Electric</t>
  </si>
  <si>
    <t>Customer Construction Gas</t>
  </si>
  <si>
    <t>Customer Sited Energy Storage</t>
  </si>
  <si>
    <t>Data Center Hardware Refresh</t>
  </si>
  <si>
    <t>Emergent Electric</t>
  </si>
  <si>
    <t>Emergent Gas</t>
  </si>
  <si>
    <t>Energize Eastside</t>
  </si>
  <si>
    <t>Gas Modernization</t>
  </si>
  <si>
    <t>Goldendale MM</t>
  </si>
  <si>
    <t>Grid Modernization</t>
  </si>
  <si>
    <t>GTZ</t>
  </si>
  <si>
    <t>IT Operational Program</t>
  </si>
  <si>
    <t>Lower Baker Dam Grouting Program</t>
  </si>
  <si>
    <t>Major Projects Electric</t>
  </si>
  <si>
    <t>Major Projects Gas</t>
  </si>
  <si>
    <t>Marine Crossing</t>
  </si>
  <si>
    <t>Mint Farm MM</t>
  </si>
  <si>
    <t>PI Electric</t>
  </si>
  <si>
    <t>PI Gas</t>
  </si>
  <si>
    <t>Pipe Replacement</t>
  </si>
  <si>
    <t>Projected</t>
  </si>
  <si>
    <t>Remove</t>
  </si>
  <si>
    <t>Sammamish Juanita 115Kv Tline</t>
  </si>
  <si>
    <t>Thurston Transmission Capacity</t>
  </si>
  <si>
    <t>Transport Network Modernization</t>
  </si>
  <si>
    <t>Control Center</t>
  </si>
  <si>
    <t>RNG</t>
  </si>
  <si>
    <t>UG Feeders</t>
  </si>
  <si>
    <t>Resilience Enhancement</t>
  </si>
  <si>
    <t>Grand Total</t>
  </si>
  <si>
    <t>Four Factor Allocation Percentages:</t>
  </si>
  <si>
    <t>Gas:</t>
  </si>
  <si>
    <t>Electric:</t>
  </si>
  <si>
    <t>Gross Plant</t>
  </si>
  <si>
    <t>Electric with Common Allocation:</t>
  </si>
  <si>
    <t>Gas with Common Allocation:</t>
  </si>
  <si>
    <t>U&amp;U Category</t>
  </si>
  <si>
    <t>Company</t>
  </si>
  <si>
    <t>Programmatic: Programmatic</t>
  </si>
  <si>
    <t>C</t>
  </si>
  <si>
    <t>E</t>
  </si>
  <si>
    <t>G</t>
  </si>
  <si>
    <t>Specific: Specific</t>
  </si>
  <si>
    <t>Projected: Projected</t>
  </si>
  <si>
    <t>Programmatic</t>
  </si>
  <si>
    <t>ADIT</t>
  </si>
  <si>
    <t>Accum Depr</t>
  </si>
  <si>
    <t>DFIT</t>
  </si>
  <si>
    <t>Pre-Capitalized Plant</t>
  </si>
  <si>
    <t>Depr Exp</t>
  </si>
  <si>
    <t>Pre-Capitalized Plant Additions Jan 2022 - Dec 2022 - End of Period</t>
  </si>
  <si>
    <t>Line</t>
  </si>
  <si>
    <t>Gross</t>
  </si>
  <si>
    <t>Accumulated</t>
  </si>
  <si>
    <t>Accum Defd</t>
  </si>
  <si>
    <t>Net</t>
  </si>
  <si>
    <t>Depreciation</t>
  </si>
  <si>
    <t>No.</t>
  </si>
  <si>
    <t>Depreciation Group</t>
  </si>
  <si>
    <t>Plant</t>
  </si>
  <si>
    <t>Income Taxes</t>
  </si>
  <si>
    <t>Expense</t>
  </si>
  <si>
    <t>E368 DST Line Transformers</t>
  </si>
  <si>
    <t>E370 DST Meters AMR</t>
  </si>
  <si>
    <t>E3701 DST Meters AMI</t>
  </si>
  <si>
    <t>Total Electric Pre-Cap</t>
  </si>
  <si>
    <t>G3810 DST Meters</t>
  </si>
  <si>
    <t>G3812 DST Modules, AMI</t>
  </si>
  <si>
    <t>G3813 DST Modules, AMR</t>
  </si>
  <si>
    <t>G383 DST House Regulators</t>
  </si>
  <si>
    <t>Total Gas Pre-Cap</t>
  </si>
  <si>
    <t>Total Pre-Cap Electric and Gas Combined</t>
  </si>
  <si>
    <t>STR</t>
  </si>
  <si>
    <t>GAP Prov Adj</t>
  </si>
  <si>
    <t>GAP Actuals</t>
  </si>
  <si>
    <t>Gross Plant CWIP Closings</t>
  </si>
  <si>
    <t>Accum Depr and Amort CWIP Closings</t>
  </si>
  <si>
    <t>DFIT CWIP Closings</t>
  </si>
  <si>
    <t>Gross Plant Retirements</t>
  </si>
  <si>
    <t>Accum Depr and Amort Retirements</t>
  </si>
  <si>
    <t>ADIT + EDIT Retirements</t>
  </si>
  <si>
    <t>Deprec and Amort Exp CWIP Closings</t>
  </si>
  <si>
    <t>FIT CWIP Closings</t>
  </si>
  <si>
    <t>Deprec and Amort Exp Retirements</t>
  </si>
  <si>
    <t>FIT/EDIT/FT Retirements</t>
  </si>
  <si>
    <t>Net Operating Income Deficiency</t>
  </si>
  <si>
    <t>Grossed Up Deficiency</t>
  </si>
  <si>
    <t>Cost of Debt</t>
  </si>
  <si>
    <t>ROR per Settlement</t>
  </si>
  <si>
    <t>Statutory Federal Income Tax Rate</t>
  </si>
  <si>
    <t>Conversion Factor</t>
  </si>
  <si>
    <t>Common Depr/Amort Expense</t>
  </si>
  <si>
    <t>Common Accum Depr/Amort</t>
  </si>
  <si>
    <t>Electric Depr/Amort Expense</t>
  </si>
  <si>
    <t>Electric Accum Depr/Amort</t>
  </si>
  <si>
    <t>Less: Colstrip Depr/Amort</t>
  </si>
  <si>
    <t>Plus: Elec portion of Common</t>
  </si>
  <si>
    <t>Increase (Decrease) Expense</t>
  </si>
  <si>
    <t>Increase (Decrease) FIT</t>
  </si>
  <si>
    <t>EDIT</t>
  </si>
  <si>
    <t>Flow-Through</t>
  </si>
  <si>
    <t>Gas Depr/Amort Expense</t>
  </si>
  <si>
    <t>Gas Accum Depr/Amort</t>
  </si>
  <si>
    <t>Plus: Gas portion of Common</t>
  </si>
  <si>
    <t>Program</t>
  </si>
  <si>
    <t>Misc Additions</t>
  </si>
  <si>
    <t>Actual CWIP Closings 2022 "GAP YEAR" - End of Period</t>
  </si>
  <si>
    <t>For the GAP year, 2022</t>
  </si>
  <si>
    <t>Depreciation Impact of Actual Retirements:</t>
  </si>
  <si>
    <t>Common:</t>
  </si>
  <si>
    <t>Inc (Dec) Expense</t>
  </si>
  <si>
    <t>Inc (Dec) Rate Base</t>
  </si>
  <si>
    <t>Increase (Decrease) Rate Base</t>
  </si>
  <si>
    <t>Inc(Dec) Electric Expense</t>
  </si>
  <si>
    <t>Inc(Dec) Gas Expense</t>
  </si>
  <si>
    <t>Inc(Dec) Electric Rate Base</t>
  </si>
  <si>
    <t>Inc(Dec) Gas Rate Base</t>
  </si>
  <si>
    <t>Rate Base Increase (Decrease):</t>
  </si>
  <si>
    <t xml:space="preserve">Total Inc (Dec) Rate Base </t>
  </si>
  <si>
    <t>Net Operating Income Increase (Decrease):</t>
  </si>
  <si>
    <t>Total Increase (Decrease) NOI</t>
  </si>
  <si>
    <t>Sub-Total Increase (Decrease) NOI</t>
  </si>
  <si>
    <t>Plus: Tax Benefit of Proforma Interest</t>
  </si>
  <si>
    <t>Plus: Return on Rate Base</t>
  </si>
  <si>
    <t>SEF 23-24 Compliance</t>
  </si>
  <si>
    <t>2022 Year End</t>
  </si>
  <si>
    <t>ELECTRIC REVENUE REQUIREMENT</t>
  </si>
  <si>
    <t>GAS REVENUE REQUIREMENT</t>
  </si>
  <si>
    <t>(Surplus)</t>
  </si>
  <si>
    <t>Deficiency</t>
  </si>
  <si>
    <t>YE 2022 Additions</t>
  </si>
  <si>
    <t>2022 Accum Depr</t>
  </si>
  <si>
    <t>2022 Def Tax</t>
  </si>
  <si>
    <t>2022 Depr Exp</t>
  </si>
  <si>
    <t xml:space="preserve">Total Electric </t>
  </si>
  <si>
    <t>Total Gas</t>
  </si>
  <si>
    <t>Electric</t>
  </si>
  <si>
    <t>Description</t>
  </si>
  <si>
    <t>Rate Base</t>
  </si>
  <si>
    <t>Actual</t>
  </si>
  <si>
    <t>(in millions)</t>
  </si>
  <si>
    <t>Act &gt; Fcst</t>
  </si>
  <si>
    <t>(Fcst&gt; Act)</t>
  </si>
  <si>
    <t>Natural Gas</t>
  </si>
  <si>
    <t>Taxes</t>
  </si>
  <si>
    <t>Total Expenses</t>
  </si>
  <si>
    <t>Autorized Rate of Return</t>
  </si>
  <si>
    <t>Approved Conversion Factor</t>
  </si>
  <si>
    <t>Grossed up Rate of Return</t>
  </si>
  <si>
    <t>Operating Income Requirement</t>
  </si>
  <si>
    <t>Revenue Requirement STR</t>
  </si>
  <si>
    <t>Check</t>
  </si>
  <si>
    <t>Fifty Basis Point Threshold</t>
  </si>
  <si>
    <t>2023 Approved Rate Base</t>
  </si>
  <si>
    <t>Threshold Calculation:</t>
  </si>
  <si>
    <t>Approved</t>
  </si>
  <si>
    <t xml:space="preserve">DETERMINATION OF DEFICIENCY ASSOCIATED WITH </t>
  </si>
  <si>
    <t>From 220066 1/9/2023 Compliance Filing</t>
  </si>
  <si>
    <t xml:space="preserve">PROVISIONAL PROFORMA ADJUSTMENTS - FOR RATES </t>
  </si>
  <si>
    <t>SUBJECT TO REFUND</t>
  </si>
  <si>
    <t>ELECTRIC</t>
  </si>
  <si>
    <t>LINE</t>
  </si>
  <si>
    <t>PLANT RELATED COSTS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</si>
  <si>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</si>
  <si>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</si>
  <si>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</si>
  <si>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</si>
  <si>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</si>
  <si>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</si>
  <si>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Grossed Up Deficiency - Cumulative</t>
  </si>
  <si>
    <t>Grossed Up Deficiency - Cumulative In Rates</t>
  </si>
  <si>
    <t>Grossed Up Deficiency - By Year</t>
  </si>
  <si>
    <t>NATURAL GAS</t>
  </si>
  <si>
    <t>n/a</t>
  </si>
  <si>
    <t>If line 9&lt;0, then threshold</t>
  </si>
  <si>
    <t>a</t>
  </si>
  <si>
    <t>b</t>
  </si>
  <si>
    <t>c</t>
  </si>
  <si>
    <t>d</t>
  </si>
  <si>
    <t>e</t>
  </si>
  <si>
    <t>f</t>
  </si>
  <si>
    <t>g</t>
  </si>
  <si>
    <t>Line 9 should not be less than</t>
  </si>
  <si>
    <t>Exceeds threshold</t>
  </si>
  <si>
    <t>Combined</t>
  </si>
  <si>
    <t>Over / (Under)</t>
  </si>
  <si>
    <t>Deficiency (Surplus)</t>
  </si>
  <si>
    <t>Gas</t>
  </si>
  <si>
    <t>Rate Base Higher (Lower) than Approved</t>
  </si>
  <si>
    <t>Accumulated Depreciation (Higher) Lower than Approved</t>
  </si>
  <si>
    <t>Accumulated Deferred Income Taxes (Higher) Lower than Approved</t>
  </si>
  <si>
    <t>Tax Benefit of Interest (Higher) Lower than Approved</t>
  </si>
  <si>
    <t>Total Deficiency (Surplus) vs. Approved</t>
  </si>
  <si>
    <t>Net Depreciation and Amortization Higher (Lower) than Approved</t>
  </si>
  <si>
    <t>(in miillions)</t>
  </si>
  <si>
    <t>Row Labels</t>
  </si>
  <si>
    <t>Actual CWIP Closings</t>
  </si>
  <si>
    <t>Forecast CWIP Closings</t>
  </si>
  <si>
    <t>Sum of Variance</t>
  </si>
  <si>
    <t>Forecast &lt; Actual 
(Forecast &gt; Actual)</t>
  </si>
  <si>
    <t>AMI</t>
  </si>
  <si>
    <t>Facilities</t>
  </si>
  <si>
    <t>Generation</t>
  </si>
  <si>
    <t>IT</t>
  </si>
  <si>
    <t>NP&amp;S</t>
  </si>
  <si>
    <t>Operations</t>
  </si>
  <si>
    <t>Other</t>
  </si>
  <si>
    <t>Actual CWIP Closings vs GRC Forecast CWIP Closings</t>
  </si>
  <si>
    <t>GAP Year 2022</t>
  </si>
  <si>
    <t>- = Over Forecast</t>
  </si>
  <si>
    <t>+ = Under Forecast</t>
  </si>
  <si>
    <t>WBS</t>
  </si>
  <si>
    <t>PB - WBS Level 3</t>
  </si>
  <si>
    <t>Area</t>
  </si>
  <si>
    <t>2022 Total Actual CWIP Closings</t>
  </si>
  <si>
    <t>JAK5 SEF16 Forecast CWIP Closings</t>
  </si>
  <si>
    <t>Variance</t>
  </si>
  <si>
    <t>Notes</t>
  </si>
  <si>
    <t>C.10002.02.02.01</t>
  </si>
  <si>
    <t>W_C.10002.02.02.01: East Bldg Retirement</t>
  </si>
  <si>
    <t>C.10002.02.02.02</t>
  </si>
  <si>
    <t>W_C.10002.02.02.02: PSE HQ Refresh Phase 2</t>
  </si>
  <si>
    <t>C.10002.03.01.03</t>
  </si>
  <si>
    <t>W_C.10002.03.01.03: South King Complex</t>
  </si>
  <si>
    <t>C.10002.04.03.01</t>
  </si>
  <si>
    <t>W_C.10002.04.03.01: New Headquarters TI</t>
  </si>
  <si>
    <t>C.10002.06.01.01</t>
  </si>
  <si>
    <t>W_C.10002.06.01.01: Snoqualmie Technology Center</t>
  </si>
  <si>
    <t>C.10002.07.01.01</t>
  </si>
  <si>
    <t>W_C.10002.07.01.01: Puyallup Serv Center Rebuild</t>
  </si>
  <si>
    <t>C.10002.08.02.01</t>
  </si>
  <si>
    <t>W_C.10002.08.02.01: Operational Training Center</t>
  </si>
  <si>
    <t>C.10002.09.01.01</t>
  </si>
  <si>
    <t>W_C.10002.09.01.01: BUCC Relocation</t>
  </si>
  <si>
    <t>C.10002.10.01.01</t>
  </si>
  <si>
    <t>W_C.10002.10.01.01: Site Devlpmnt Feasibility and Mastr Plan</t>
  </si>
  <si>
    <t>C.10003.01.01.01</t>
  </si>
  <si>
    <t>W_C.10003.01.01.01: Furniture and Fixture Installation</t>
  </si>
  <si>
    <t>C.10003.01.03.01</t>
  </si>
  <si>
    <t>W_C.10003.01.03.01: Unplanned Facility Improvements</t>
  </si>
  <si>
    <t>C.10004.01.01.02</t>
  </si>
  <si>
    <t>W_C.10004.01.01.02: Wireless PCS Construction</t>
  </si>
  <si>
    <t>C.10005.01.02.01</t>
  </si>
  <si>
    <t>W_C.10005.01.02.01: Security System Installations Electric</t>
  </si>
  <si>
    <t>C.10005.01.02.02</t>
  </si>
  <si>
    <t>W_C.10005.01.02.02: WECC Mitigation Security Installations</t>
  </si>
  <si>
    <t>C.10006.01.01.01</t>
  </si>
  <si>
    <t>W_C.10006.01.01.01: Fleet Capital Purchase</t>
  </si>
  <si>
    <t>C.10006.01.01.03</t>
  </si>
  <si>
    <t>W_C.10006.01.01.03: Fleet Radio Upgrade</t>
  </si>
  <si>
    <t>C.10009.01.01.01</t>
  </si>
  <si>
    <t>W_C.10009.01.01.01: Storm OH Replacement Dist</t>
  </si>
  <si>
    <t>Joshua Kensosk</t>
  </si>
  <si>
    <t>C.10009.01.01.02</t>
  </si>
  <si>
    <t>W_C.10009.01.01.02: Storm OH Replacement Trans</t>
  </si>
  <si>
    <t>C.10010.02.01.01</t>
  </si>
  <si>
    <t>W_C.10010.02.01.01: Shuffleton Reloc at Kent Serv Center</t>
  </si>
  <si>
    <t>C.10010.06.01.01</t>
  </si>
  <si>
    <t>W_C.10010.06.01.01: Shuffleton Reloc at Todd Road</t>
  </si>
  <si>
    <t>C.20001.01.01.01</t>
  </si>
  <si>
    <t>W_C.20001.01.01.01: Transformer Retirement and Disposal</t>
  </si>
  <si>
    <t>C.40001.01.01.01</t>
  </si>
  <si>
    <t>W_C.40001.01.01.01: Success Factors Application</t>
  </si>
  <si>
    <t>F.10002.01.02.03</t>
  </si>
  <si>
    <t>W_F.10002.01.02.03: Endur APM Upgrade</t>
  </si>
  <si>
    <t>F.10002.01.02.04</t>
  </si>
  <si>
    <t>W_F.10002.01.02.04: PCI Upgrade for EIM Changes</t>
  </si>
  <si>
    <t>F.10002.01.14.01</t>
  </si>
  <si>
    <t>W_F.10002.01.14.01: Data Governance Foundation</t>
  </si>
  <si>
    <t>F.10002.01.15.01</t>
  </si>
  <si>
    <t>W_F.10002.01.15.01: Cust GEN Integration Pwrclerk to PSE Sys</t>
  </si>
  <si>
    <t>F.10002.01.16.01</t>
  </si>
  <si>
    <t>W_F.10002.01.16.01: DER Cir Enable - Virtual PowerPlant CEIP</t>
  </si>
  <si>
    <t>F.10002.01.17.01</t>
  </si>
  <si>
    <t>W_F.10002.01.17.01: iDOT Replacement</t>
  </si>
  <si>
    <t>F.10002.03.02.01</t>
  </si>
  <si>
    <t>W_F.10002.03.02.01: Field Resources Call Out Tool</t>
  </si>
  <si>
    <t>F.10002.04.01.01</t>
  </si>
  <si>
    <t>W_F.10002.04.01.01: Travel mgmt.-Exp Rpting and Elect pmt</t>
  </si>
  <si>
    <t>F.10002.04.02.01</t>
  </si>
  <si>
    <t>W_F.10002.04.02.01: HANA 2.0 and HW Upgrade            </t>
  </si>
  <si>
    <t>F.10002.05.01.01</t>
  </si>
  <si>
    <t>W_F.10002.05.01.01: Automate GEN RFP Review Process Modeling</t>
  </si>
  <si>
    <t>F.10002.05.02.01</t>
  </si>
  <si>
    <t>W_F.10002.05.02.01: Check Payment Processing</t>
  </si>
  <si>
    <t>F.10002.06.01.01</t>
  </si>
  <si>
    <t>W_F.10002.06.01.01: eGain Replacement</t>
  </si>
  <si>
    <t>F.10002.06.02.01</t>
  </si>
  <si>
    <t>W_F.10002.06.02.01: Customer Experience Enhancement Program</t>
  </si>
  <si>
    <t>F.10002.06.03.01</t>
  </si>
  <si>
    <t>W_F.10002.06.03.01: CLSD Data POI Operations Program</t>
  </si>
  <si>
    <t>F.10002.07.01.01</t>
  </si>
  <si>
    <t>W_F.10002.07.01.01: IMPACT</t>
  </si>
  <si>
    <t>F.10002.09.01.01</t>
  </si>
  <si>
    <t>W_F.10002.09.01.01: Power Plan Upgrade</t>
  </si>
  <si>
    <t>F.10003.02.01.07</t>
  </si>
  <si>
    <t>W_F.10003.02.01.07: Data Center Hardware Refresh</t>
  </si>
  <si>
    <t>F.10003.03.02.01</t>
  </si>
  <si>
    <t>W_F.10003.03.02.01: Transport Network Modernization</t>
  </si>
  <si>
    <t>F.10007.02.01.02</t>
  </si>
  <si>
    <t>W_F.10007.02.01.02: IT Operational Program</t>
  </si>
  <si>
    <t>F.10013.09.01.02</t>
  </si>
  <si>
    <t>W_F.10013.09.01.02: PSE ITSR</t>
  </si>
  <si>
    <t>F.10013.09.01.03</t>
  </si>
  <si>
    <t>W_F.10013.09.01.03: PSE ITSR</t>
  </si>
  <si>
    <t>F.10015.02.03.01</t>
  </si>
  <si>
    <t>W_F.10015.02.03.01: EMS 3X Upgrade</t>
  </si>
  <si>
    <t>F.10015.02.06.02</t>
  </si>
  <si>
    <t>W_F.10015.02.06.02: Gas Control Upgrade 2022</t>
  </si>
  <si>
    <t>F.10015.02.14.02</t>
  </si>
  <si>
    <t>W_F.10015.02.14.02: OSI Soft PI Historian</t>
  </si>
  <si>
    <t>F.10015.02.14.03</t>
  </si>
  <si>
    <t>W_F.10015.02.14.03: Elec OSI PI Asst Framewrk PI Vision Migr</t>
  </si>
  <si>
    <t>F.10015.02.17.02</t>
  </si>
  <si>
    <t>W_F.10015.02.17.02: ADMS SCADA</t>
  </si>
  <si>
    <t>F.10015.02.18.02</t>
  </si>
  <si>
    <t>W_F.10015.02.18.02: Geospacial Load Forecasting</t>
  </si>
  <si>
    <t>F.10015.02.20.01</t>
  </si>
  <si>
    <t>W_F.10015.02.20.01: Annual Market Changes to Support CAISO</t>
  </si>
  <si>
    <t>F.10015.02.22.01</t>
  </si>
  <si>
    <t>W_F.10015.02.22.01: ESO Video Wall Replacement</t>
  </si>
  <si>
    <t>F.10015.04.02.03</t>
  </si>
  <si>
    <t>W_F.10015.04.02.03: MDMS 7.5 Upgrade</t>
  </si>
  <si>
    <t>F.10015.04.02.05</t>
  </si>
  <si>
    <t>W_F.10015.04.02.05: MDMS DB Partitioning Truncation</t>
  </si>
  <si>
    <t>F.10015.05.03.01</t>
  </si>
  <si>
    <t>W_F.10015.05.03.01: Mitigate 2008</t>
  </si>
  <si>
    <t>F.10015.05.04.01</t>
  </si>
  <si>
    <t>W_F.10015.05.04.01: Quality Framework</t>
  </si>
  <si>
    <t>F.10015.06.05.01</t>
  </si>
  <si>
    <t>W_F.10015.06.05.01: SAP HR Support Packs</t>
  </si>
  <si>
    <t>F.10015.06.05.02</t>
  </si>
  <si>
    <t>W_F.10015.06.05.02: SAP HR Support Packs 2022-2026</t>
  </si>
  <si>
    <t>F.10015.06.20.01</t>
  </si>
  <si>
    <t>W_F.10015.06.20.01: SAP Transport Tool Upgrade</t>
  </si>
  <si>
    <t>F.10015.06.24.01</t>
  </si>
  <si>
    <t>W_F.10015.06.24.01: POI HANA Memory Uplift (MAR)</t>
  </si>
  <si>
    <t>F.10015.06.25.01</t>
  </si>
  <si>
    <t>W_F.10015.06.25.01: SAP Annual Upgrades 2022-2026</t>
  </si>
  <si>
    <t>F.10015.06.26.01</t>
  </si>
  <si>
    <t>W_F.10015.06.26.01: Enhanced SAP Monitoring Alerting BPM</t>
  </si>
  <si>
    <t>F.10015.08.03.05</t>
  </si>
  <si>
    <t>W_F.10015.08.03.05: IAM Stability and Enhancement</t>
  </si>
  <si>
    <t>F.10015.08.09.06</t>
  </si>
  <si>
    <t>W_F.10015.08.09.06: PSE.com Outage Notification Engine</t>
  </si>
  <si>
    <t>F.10015.08.11.05</t>
  </si>
  <si>
    <t>W_F.10015.08.11.05: ServiceNow 2021</t>
  </si>
  <si>
    <t>F.10015.08.11.06</t>
  </si>
  <si>
    <t>W_F.10015.08.11.06: ServiceNow Improvements 2022-2026</t>
  </si>
  <si>
    <t>F.10015.08.13.03</t>
  </si>
  <si>
    <t>W_F.10015.08.13.03: UI Enhancements Phase 3</t>
  </si>
  <si>
    <t>F.10015.08.16.01</t>
  </si>
  <si>
    <t>W_F.10015.08.16.01: Cassandra Upgrade 2021</t>
  </si>
  <si>
    <t>F.10015.08.18.01</t>
  </si>
  <si>
    <t>W_F.10015.08.18.01: Microservices NET Core Upgrade</t>
  </si>
  <si>
    <t>F.10015.08.19.01</t>
  </si>
  <si>
    <t>W_F.10015.08.19.01: Terraform Upgrade</t>
  </si>
  <si>
    <t>F.10015.11.01.01</t>
  </si>
  <si>
    <t>W_F.10015.11.01.01: Enterprise Application Data Archiving</t>
  </si>
  <si>
    <t>F.10015.11.02.01</t>
  </si>
  <si>
    <t>W_F.10015.11.02.01: Command Center Upgrade 2021</t>
  </si>
  <si>
    <t>F.10015.11.03.01</t>
  </si>
  <si>
    <t>W_F.10015.11.03.01: Gas Control Workstations Upgrade</t>
  </si>
  <si>
    <t>F.10015.11.06.01</t>
  </si>
  <si>
    <t>W_F.10015.11.06.01: Migration to Dynatrace SaaS</t>
  </si>
  <si>
    <t>F.10015.12.01.01</t>
  </si>
  <si>
    <t>W_F.10015.12.01.01: MIGRATE FROM TABLEAU TO POWER BI</t>
  </si>
  <si>
    <t>F.10016.01.01.02</t>
  </si>
  <si>
    <t>W_F.10016.01.01.02: IT Enterprise Architecture System</t>
  </si>
  <si>
    <t>F.10017.02.01.02</t>
  </si>
  <si>
    <t>W_F.10017.02.01.02: CLSD CLSD Annual Comm Room Refresh</t>
  </si>
  <si>
    <t>F.10017.02.01.03</t>
  </si>
  <si>
    <t>W_F.10017.02.01.03: Annual Comm Room Tech Refresh 2022-26</t>
  </si>
  <si>
    <t>F.10017.02.02.02</t>
  </si>
  <si>
    <t>W_F.10017.02.02.02: Annual Data Center Refresh and Growth</t>
  </si>
  <si>
    <t>F.10017.02.02.03</t>
  </si>
  <si>
    <t>W_F.10017.02.02.03: Annual Data Center Tech Refresh 2022-26</t>
  </si>
  <si>
    <t>F.10017.02.04.02</t>
  </si>
  <si>
    <t>W_F.10017.02.04.02: Enterpr Monitoring Standardization 2022</t>
  </si>
  <si>
    <t>F.10017.03.01.03</t>
  </si>
  <si>
    <t>W_F.10017.03.01.03: PC and TB Refresh New</t>
  </si>
  <si>
    <t>F.10017.03.05.02</t>
  </si>
  <si>
    <t>W_F.10017.03.05.02: Annual End User PC Refresh 2022-2026</t>
  </si>
  <si>
    <t>F.10017.04.03.02</t>
  </si>
  <si>
    <t>W_F.10017.04.03.02: eWFM Back Office Component</t>
  </si>
  <si>
    <t>F.10017.05.03.02</t>
  </si>
  <si>
    <t>W_F.10017.05.03.02: Annual MS Enterprise Agreement Growth</t>
  </si>
  <si>
    <t>F.10017.05.04.01</t>
  </si>
  <si>
    <t>W_F.10017.05.04.01: Workplace Mobility Program</t>
  </si>
  <si>
    <t>F.10017.05.07.01</t>
  </si>
  <si>
    <t>W_F.10017.05.07.01: DC Battery Management</t>
  </si>
  <si>
    <t>F.10017.05.08.01</t>
  </si>
  <si>
    <t>W_F.10017.05.08.01: Underground Fuel Tank Removal</t>
  </si>
  <si>
    <t>F.10017.07.01.02</t>
  </si>
  <si>
    <t>W_F.10017.07.01.02: OpenText Migrations</t>
  </si>
  <si>
    <t>F.10017.07.01.03</t>
  </si>
  <si>
    <t>W_F.10017.07.01.03: IPP SharePoint Upgrade NERC</t>
  </si>
  <si>
    <t>F.10017.08.02.02</t>
  </si>
  <si>
    <t>W_F.10017.08.02.02: CLSD Annual Scada Refresh New</t>
  </si>
  <si>
    <t>F.10017.08.03.01</t>
  </si>
  <si>
    <t>W_F.10017.08.03.01: Enhanced Substation Communications</t>
  </si>
  <si>
    <t>F.10017.08.07.01</t>
  </si>
  <si>
    <t>W_F.10017.08.07.01: 700MHz Spectrum</t>
  </si>
  <si>
    <t>F.10017.09.04.07</t>
  </si>
  <si>
    <t>W_F.10017.09.04.07: SAP Security Roles Optimization</t>
  </si>
  <si>
    <t>F.10017.09.08.01</t>
  </si>
  <si>
    <t>W_F.10017.09.08.01: DDoS Protection (Layer 7)</t>
  </si>
  <si>
    <t>F.10017.10.06.04</t>
  </si>
  <si>
    <t>W_F.10017.10.06.04: Annual Server Growth 2022-2026</t>
  </si>
  <si>
    <t>F.10017.10.09.02</t>
  </si>
  <si>
    <t>W_F.10017.10.09.02: Hyper Converged Infra Refresh</t>
  </si>
  <si>
    <t>William Einstein</t>
  </si>
  <si>
    <t>F.10017.10.14.01</t>
  </si>
  <si>
    <t>W_F.10017.10.14.01: Windows 10 Base Image</t>
  </si>
  <si>
    <t>F.10017.10.16.01</t>
  </si>
  <si>
    <t>W_F.10017.10.16.01: CheckPoint Capsule Cloud Replacement</t>
  </si>
  <si>
    <t>F.10017.10.19.01</t>
  </si>
  <si>
    <t>W_F.10017.10.19.01: Data Center UPS Battery Replacement</t>
  </si>
  <si>
    <t>F.10017.11.01.03</t>
  </si>
  <si>
    <t>W_F.10017.11.01.03: Annual Strge Bckup Growth Refresh New</t>
  </si>
  <si>
    <t>F.10017.11.01.04</t>
  </si>
  <si>
    <t>W_F.10017.11.01.04: Annual Storage Growth 2022-2026</t>
  </si>
  <si>
    <t>F.10017.12.01.02</t>
  </si>
  <si>
    <t>W_F.10017.12.01.02: CLSD Annual Fiber Refresh New</t>
  </si>
  <si>
    <t>F.10017.12.01.03</t>
  </si>
  <si>
    <t>W_F.10017.12.01.03: Annual Fiber Refresh Repair 2022-26</t>
  </si>
  <si>
    <t>F.10017.12.05.02</t>
  </si>
  <si>
    <t>W_F.10017.12.05.02: Annual RF Refresh New</t>
  </si>
  <si>
    <t>F.10017.12.05.03</t>
  </si>
  <si>
    <t>W_F.10017.12.05.03: Annual Telecom RF Refresh 2022-26</t>
  </si>
  <si>
    <t>F.10017.12.06.03</t>
  </si>
  <si>
    <t>W_F.10017.12.06.03: Annual Telecom Equip Growth Tool 2022-26</t>
  </si>
  <si>
    <t>F.10017.12.08.01</t>
  </si>
  <si>
    <t>W_F.10017.12.08.01: Annual Telecom Netwrk Refrh n Grwth</t>
  </si>
  <si>
    <t>F.10017.12.08.04</t>
  </si>
  <si>
    <t>W_F.10017.12.08.04: Annual Telecom Network Refresh 2022-2026</t>
  </si>
  <si>
    <t>F.10017.12.23.03</t>
  </si>
  <si>
    <t>W_F.10017.12.23.03: Network Refresh n Growth New</t>
  </si>
  <si>
    <t>F.10017.12.23.04</t>
  </si>
  <si>
    <t>W_F.10017.12.23.04: Annual Network Tech Refresh 2022-2026</t>
  </si>
  <si>
    <t>F.10017.12.25.02</t>
  </si>
  <si>
    <t>W_F.10017.12.25.02: Annual Audio Visual Tech Refresh 2022-26</t>
  </si>
  <si>
    <t>F.10017.12.26.01</t>
  </si>
  <si>
    <t>W_F.10017.12.26.01: Generation Sites</t>
  </si>
  <si>
    <t>F.10017.12.26.02</t>
  </si>
  <si>
    <t>W_F.10017.12.26.02: Generation Infrastructure Prgrm 2022-26</t>
  </si>
  <si>
    <t>F.10017.12.27.01</t>
  </si>
  <si>
    <t>W_F.10017.12.27.01: Move of Telecom Core</t>
  </si>
  <si>
    <t>F.10017.13.03.02</t>
  </si>
  <si>
    <t>W_F.10017.13.03.02: VOIP Deployment and Refresh</t>
  </si>
  <si>
    <t>F.10017.13.04.01</t>
  </si>
  <si>
    <t>W_F.10017.13.04.01: Corp SIP trunking expansion</t>
  </si>
  <si>
    <t>F.10017.13.05.01</t>
  </si>
  <si>
    <t>W_F.10017.13.05.01: ACTR 2021</t>
  </si>
  <si>
    <t>F.10017.13.06.01</t>
  </si>
  <si>
    <t>W_F.10017.13.06.01: Voice Recording Tech Refresh</t>
  </si>
  <si>
    <t>F.10017.15.01.03</t>
  </si>
  <si>
    <t>W_F.10017.15.01.03: Automation API Platform</t>
  </si>
  <si>
    <t>F.10018.02.02.01</t>
  </si>
  <si>
    <t>W_F.10018.02.02.01: IT Client Software Growth</t>
  </si>
  <si>
    <t>F.10018.02.03.01</t>
  </si>
  <si>
    <t>W_F.10018.02.03.01: Opex to Capex Maint</t>
  </si>
  <si>
    <t>F.10018.02.03.02</t>
  </si>
  <si>
    <t>F.10025.01.04.01</t>
  </si>
  <si>
    <t>W_F.10025.01.04.01: Physical Security Roadmap</t>
  </si>
  <si>
    <t>F.10025.01.04.02</t>
  </si>
  <si>
    <t>W_F.10025.01.04.02: Cyber Audit Web Server Upgrade</t>
  </si>
  <si>
    <t>F.10025.02.01.06</t>
  </si>
  <si>
    <t>W_F.10025.02.01.06: CDC Extension &amp; Efficiency</t>
  </si>
  <si>
    <t>F.10026.01.01.01</t>
  </si>
  <si>
    <t>W_F.10026.01.01.01: Robotic Process Automation</t>
  </si>
  <si>
    <t>F.10026.01.01.02</t>
  </si>
  <si>
    <t>W_F.10026.01.01.02: Workspace Reservation System</t>
  </si>
  <si>
    <t>K.10001.01.01.01</t>
  </si>
  <si>
    <t>W_K.10001.01.01.01: LBK Hydro Plant Work</t>
  </si>
  <si>
    <t>K.10001.01.01.02</t>
  </si>
  <si>
    <t>W_K.10001.01.01.02: LBK Small Tools</t>
  </si>
  <si>
    <t>K.10001.01.02.01</t>
  </si>
  <si>
    <t>W_K.10001.01.02.01: UBK Hydro Plant Work</t>
  </si>
  <si>
    <t>K.10001.01.02.02</t>
  </si>
  <si>
    <t>W_K.10001.01.02.02: UBK Small Tools</t>
  </si>
  <si>
    <t>K.10002.01.01.01</t>
  </si>
  <si>
    <t>W_K.10002.01.01.01: LBK Clubhouse Remodel Visitor Center</t>
  </si>
  <si>
    <t>K.10002.01.01.06</t>
  </si>
  <si>
    <t>W_K.10002.01.01.06: LBK FSC Guide Net Replacement</t>
  </si>
  <si>
    <t>K.10002.01.02.06</t>
  </si>
  <si>
    <t>W_K.10002.01.02.06: UBK U2 Runner Replacement</t>
  </si>
  <si>
    <t>K.10003.01.01.01</t>
  </si>
  <si>
    <t>W_K.10003.01.01.01: LBK Crest Improvement and Floodwall</t>
  </si>
  <si>
    <t>K.10003.01.01.03</t>
  </si>
  <si>
    <t>W_K.10003.01.01.03: LBK Hatchery Raceway Project</t>
  </si>
  <si>
    <t>K.10003.02.01.01</t>
  </si>
  <si>
    <t>W_K.10003.02.01.01: UBK Phase II Spillway Stabilization</t>
  </si>
  <si>
    <t>K.10003.02.01.02</t>
  </si>
  <si>
    <t>W_K.10003.02.01.02: UBK W Pass Dike Instrmt n Stability Eval</t>
  </si>
  <si>
    <t>K.10004.01.01.01</t>
  </si>
  <si>
    <t>W_K.10004.01.01.01: COL 500Kv Trans Line</t>
  </si>
  <si>
    <t>K.10006.01.01.01</t>
  </si>
  <si>
    <t>W_K.10006.01.01.01: ENC Small Tools</t>
  </si>
  <si>
    <t>K.10006.01.01.02</t>
  </si>
  <si>
    <t>W_K.10006.01.01.02: ENC Thermal Plant Work</t>
  </si>
  <si>
    <t>K.10007.01.01.02</t>
  </si>
  <si>
    <t>W_K.10007.01.01.02: FERN Thermal Plant Work</t>
  </si>
  <si>
    <t>K.10008.01.01.03</t>
  </si>
  <si>
    <t>W_K.10008.01.01.03: FREDDY 1 Thermal Plant Work</t>
  </si>
  <si>
    <t>K.10009.01.01.03</t>
  </si>
  <si>
    <t>W_K.10009.01.01.03: FRA Small Tools</t>
  </si>
  <si>
    <t>K.10009.01.01.04</t>
  </si>
  <si>
    <t>W_K.10009.01.01.04: FRA Thermal Plant Work</t>
  </si>
  <si>
    <t>K.10010.01.01.03</t>
  </si>
  <si>
    <t>W_K.10010.01.01.03: FRE Small Tools</t>
  </si>
  <si>
    <t>K.10010.01.01.04</t>
  </si>
  <si>
    <t>W_K.10010.01.01.04: FRE Thermal Plant Work</t>
  </si>
  <si>
    <t>K.10012.01.01.10</t>
  </si>
  <si>
    <t>W_K.10012.01.01.10: BPCC Faster Pmt Posting</t>
  </si>
  <si>
    <t>K.10012.01.02.18</t>
  </si>
  <si>
    <t>W_K.10012.01.02.18: CLSD Data Analytics 2.0</t>
  </si>
  <si>
    <t>K.10012.01.05.04</t>
  </si>
  <si>
    <t>W_K.10012.01.05.04: CLSD IWM Work Management System</t>
  </si>
  <si>
    <t>K.10012.01.05.11</t>
  </si>
  <si>
    <t>W_K.10012.01.05.11: IWM EFR Electric First Response</t>
  </si>
  <si>
    <t>K.10013.01.01.01</t>
  </si>
  <si>
    <t>W_K.10013.01.01.01: GLD Small Tools</t>
  </si>
  <si>
    <t>K.10013.01.01.02</t>
  </si>
  <si>
    <t>W_K.10013.01.01.02: GLD Thermal Plant Work</t>
  </si>
  <si>
    <t>K.10014.01.01.02</t>
  </si>
  <si>
    <t>W_K.10014.01.01.02: GLD CT Major Inspection</t>
  </si>
  <si>
    <t>K.10015.01.01.01</t>
  </si>
  <si>
    <t>W_K.10015.01.01.01: HPK Ongoing UOP Replacements</t>
  </si>
  <si>
    <t>K.10015.01.01.02</t>
  </si>
  <si>
    <t>W_K.10015.01.01.02: HPK Small Tools</t>
  </si>
  <si>
    <t>K.10015.01.01.03</t>
  </si>
  <si>
    <t>W_K.10015.01.01.03: HPK Wind Plant Work</t>
  </si>
  <si>
    <t>K.10016.01.01.01</t>
  </si>
  <si>
    <t>W_K.10016.01.01.01: JP Operational Capital</t>
  </si>
  <si>
    <t>K.10017.01.01.01</t>
  </si>
  <si>
    <t>W_K.10017.01.01.01: BKR Aquatic Riparian Habitat</t>
  </si>
  <si>
    <t>K.10017.01.01.02</t>
  </si>
  <si>
    <t>W_K.10017.01.01.02: BKR Develop Recreation Capital</t>
  </si>
  <si>
    <t>K.10017.01.01.03</t>
  </si>
  <si>
    <t>W_K.10017.01.01.03: BKR Elk Habitat</t>
  </si>
  <si>
    <t>K.10017.01.02.01</t>
  </si>
  <si>
    <t>W_K.10017.01.02.01: HPK Eagle Conservation Plan</t>
  </si>
  <si>
    <t>K.10017.01.03.01</t>
  </si>
  <si>
    <t>W_K.10017.01.03.01: LSR1 Eagle Conservation Plan</t>
  </si>
  <si>
    <t>K.10018.01.01.01</t>
  </si>
  <si>
    <t>W_K.10018.01.01.01: LSR1 Ongoing Uop Replacements</t>
  </si>
  <si>
    <t>K.10018.01.01.02</t>
  </si>
  <si>
    <t>W_K.10018.01.01.02: LSR1 Small Tools</t>
  </si>
  <si>
    <t>K.10019.01.01.01</t>
  </si>
  <si>
    <t>W_K.10019.01.01.01: MTF Small Tools</t>
  </si>
  <si>
    <t>K.10019.01.01.02</t>
  </si>
  <si>
    <t>W_K.10019.01.01.02: MTF Thermal Plant Work</t>
  </si>
  <si>
    <t>K.10020.01.01.03</t>
  </si>
  <si>
    <t>W_K.10020.01.01.03: MTF CT Major Inspection</t>
  </si>
  <si>
    <t>K.10021.01.01.01</t>
  </si>
  <si>
    <t>W_K.10021.01.01.01: SNO Hydro Plant Work</t>
  </si>
  <si>
    <t>K.10021.01.01.02</t>
  </si>
  <si>
    <t>W_K.10021.01.01.02: SNO Small Tools</t>
  </si>
  <si>
    <t>K.10022.01.01.04</t>
  </si>
  <si>
    <t>W_K.10022.01.01.04: SNO U5 Erosion Repair</t>
  </si>
  <si>
    <t>K.10023.01.01.01</t>
  </si>
  <si>
    <t>W_K.10023.01.01.01: SMS Small Tools</t>
  </si>
  <si>
    <t>K.10023.01.01.02</t>
  </si>
  <si>
    <t>W_K.10023.01.01.02: SMS Thermal Plant Work</t>
  </si>
  <si>
    <t>K.10025.01.02.01</t>
  </si>
  <si>
    <t>W_K.10025.01.02.01: LNG 1 Mile Pipe Connector</t>
  </si>
  <si>
    <t>K.10025.01.02.02</t>
  </si>
  <si>
    <t>W_K.10025.01.02.02: LNG 4 Mile Pipe To Plant</t>
  </si>
  <si>
    <t>K.10025.01.02.03</t>
  </si>
  <si>
    <t>W_K.10025.01.02.03: LNG Clover Creek Limit Station Modi</t>
  </si>
  <si>
    <t>K.10025.01.02.06</t>
  </si>
  <si>
    <t>W_K.10025.01.02.06: LNG Golden Givens New Limit Station</t>
  </si>
  <si>
    <t>K.10025.01.03.01</t>
  </si>
  <si>
    <t>W_K.10025.01.03.01: LNG IT Business Enablement</t>
  </si>
  <si>
    <t>K.10026.01.01.03</t>
  </si>
  <si>
    <t>W_K.10026.01.01.03: WHH Small Tools</t>
  </si>
  <si>
    <t>K.10026.01.01.04</t>
  </si>
  <si>
    <t>W_K.10026.01.01.04: WHH Thermal Plant Work</t>
  </si>
  <si>
    <t>K.10028.01.01.01</t>
  </si>
  <si>
    <t>W_K.10028.01.01.01: WLD Small Tools</t>
  </si>
  <si>
    <t>K.10028.01.01.03</t>
  </si>
  <si>
    <t>W_K.10028.01.01.03: WLD Wind Plant Work</t>
  </si>
  <si>
    <t>K.10028.01.01.04</t>
  </si>
  <si>
    <t>W_K.10028.01.01.04: WLD Ongoing UOP Replacements</t>
  </si>
  <si>
    <t>K.10038.01.01.01</t>
  </si>
  <si>
    <t>W_K.10038.01.01.01: Cust Sited Energy Storage Demos CEIP</t>
  </si>
  <si>
    <t>R.10004.01.01.01</t>
  </si>
  <si>
    <t>W_R.10004.01.01.01: C Franchises</t>
  </si>
  <si>
    <t>R.10005.01.01.01</t>
  </si>
  <si>
    <t>W_R.10005.01.01.01: E Eastside 230Kv Subs Richards Creek</t>
  </si>
  <si>
    <t>R.10005.01.01.02</t>
  </si>
  <si>
    <t>W_R.10005.01.01.02: E Eastside 230Kv Subs Talbot Hill</t>
  </si>
  <si>
    <t>R.10005.01.01.04</t>
  </si>
  <si>
    <t>W_R.10005.01.01.04: E Eastside 230Kv Subs Rose Hill</t>
  </si>
  <si>
    <t>R.10005.01.01.07</t>
  </si>
  <si>
    <t>W_R.10005.01.01.07: E Eastside 230Kv Tlines</t>
  </si>
  <si>
    <t>R.10005.01.01.08</t>
  </si>
  <si>
    <t>W_R.10005.01.01.08: E Talbot Hill Paccar Reconductor</t>
  </si>
  <si>
    <t>R.10006.01.01.03</t>
  </si>
  <si>
    <t>W_R.10006.01.01.03: E Substation SCADA CEIP</t>
  </si>
  <si>
    <t>R.10006.01.01.04</t>
  </si>
  <si>
    <t>W_R.10006.01.01.04: E Trans Automation</t>
  </si>
  <si>
    <t>R.10006.01.01.07</t>
  </si>
  <si>
    <t>W_R.10006.01.01.07: E Electric System Modeling</t>
  </si>
  <si>
    <t>R.10007.02.01.02</t>
  </si>
  <si>
    <t>W_R.10007.02.01.02: E Bellingham Substation Rebuild Sub</t>
  </si>
  <si>
    <t>R.10007.06.01.01</t>
  </si>
  <si>
    <t>W_R.10007.06.01.01: E 5 Yr Electric Refundable CIAC</t>
  </si>
  <si>
    <t>R.10007.07.01.01</t>
  </si>
  <si>
    <t>W_R.10007.07.01.01: E Customer Reimbursed</t>
  </si>
  <si>
    <t>R.10007.08.01.01</t>
  </si>
  <si>
    <t>W_R.10007.08.01.01: E OH UG Commercial Services</t>
  </si>
  <si>
    <t>R.10007.08.02.01</t>
  </si>
  <si>
    <t>W_R.10007.08.02.01: E OH UG Residential Services</t>
  </si>
  <si>
    <t>R.10007.08.02.02</t>
  </si>
  <si>
    <t>W_R.10007.08.02.02: E UG Residential Services In Plats</t>
  </si>
  <si>
    <t>R.10007.09.01.01</t>
  </si>
  <si>
    <t>W_R.10007.09.01.01: E Commercial Line Extension</t>
  </si>
  <si>
    <t>R.10007.09.02.01</t>
  </si>
  <si>
    <t>W_R.10007.09.02.01: E Multi Family Line Extension</t>
  </si>
  <si>
    <t>R.10007.09.03.02</t>
  </si>
  <si>
    <t>W_R.10007.09.03.02: E Plats Line Extension</t>
  </si>
  <si>
    <t>R.10007.09.04.01</t>
  </si>
  <si>
    <t>W_R.10007.09.04.01: E Single Family Line Extension</t>
  </si>
  <si>
    <t>R.10007.12.01.01</t>
  </si>
  <si>
    <t>W_R.10007.12.01.01: E Microsoft Campus Rebuild</t>
  </si>
  <si>
    <t>R.10007.12.03.01</t>
  </si>
  <si>
    <t>W_R.10007.12.03.01: E Customer Reimbursed Major Projects</t>
  </si>
  <si>
    <t>R.10008.01.01.01</t>
  </si>
  <si>
    <t>W_R.10008.01.01.01: E Conversions Sched 73 Cust Driven</t>
  </si>
  <si>
    <t>R.10008.01.01.02</t>
  </si>
  <si>
    <t>W_R.10008.01.01.02: E OH UG Reloc - Removal Cust Driven Dist</t>
  </si>
  <si>
    <t>R.10008.02.01.01</t>
  </si>
  <si>
    <t>W_R.10008.02.01.01: E Franchises</t>
  </si>
  <si>
    <t>R.10008.03.01.01</t>
  </si>
  <si>
    <t>W_R.10008.03.01.01: E Conversions Sched 74 PI Driven</t>
  </si>
  <si>
    <t>R.10008.03.01.03</t>
  </si>
  <si>
    <t>W_R.10008.03.01.03: E OH UG Rel PI Driven NonReimb Dist</t>
  </si>
  <si>
    <t>R.10008.03.01.04</t>
  </si>
  <si>
    <t>W_R.10008.03.01.04: E OH UG Rel PI Driven Reimburse Dist</t>
  </si>
  <si>
    <t>R.10008.03.01.05</t>
  </si>
  <si>
    <t>W_R.10008.03.01.05: E PI Driven Relocations Trans</t>
  </si>
  <si>
    <t>R.10008.03.01.13</t>
  </si>
  <si>
    <t>W_R.10008.03.01.13: E Elec Facility Replacement Trans</t>
  </si>
  <si>
    <t>R.10008.03.01.14</t>
  </si>
  <si>
    <t>W_R.10008.03.01.14: E Sound Transit Reimburse</t>
  </si>
  <si>
    <t>R.10008.05.01.01</t>
  </si>
  <si>
    <t>W_R.10008.05.01.01: E Sound Transit Dist</t>
  </si>
  <si>
    <t>R.10008.05.01.02</t>
  </si>
  <si>
    <t>W_R.10008.05.01.02: E Sound Transit East Link Dist</t>
  </si>
  <si>
    <t>R.10008.07.01.01</t>
  </si>
  <si>
    <t>W_R.10008.07.01.01: E WSDOT Clr Zone Pole Prog Dist</t>
  </si>
  <si>
    <t>R.10008.07.02.01</t>
  </si>
  <si>
    <t>W_R.10008.07.02.01: E King County Clr Zone Pole Prog Dist</t>
  </si>
  <si>
    <t>R.10009.01.01.01</t>
  </si>
  <si>
    <t>W_R.10009.01.01.01: E BPA 3rd AC Transmission Intertie Work</t>
  </si>
  <si>
    <t>R.10009.02.01.02</t>
  </si>
  <si>
    <t>W_R.10009.02.01.02: E Central Bellevue Dist Growth Feeder</t>
  </si>
  <si>
    <t>R.10009.02.01.03</t>
  </si>
  <si>
    <t>W_R.10009.02.01.03: E Central Bellevue Dist Rel Feeder</t>
  </si>
  <si>
    <t>R.10009.04.01.02</t>
  </si>
  <si>
    <t>W_R.10009.04.01.02: E Damage Claims Cap Writeoff</t>
  </si>
  <si>
    <t>R.10009.05.01.01</t>
  </si>
  <si>
    <t>W_R.10009.05.01.01: E Emergency NonOutage OH Repl Dist</t>
  </si>
  <si>
    <t>R.10009.05.01.02</t>
  </si>
  <si>
    <t>W_R.10009.05.01.02: E Emergency NonOutage OH Repl Trans</t>
  </si>
  <si>
    <t>R.10009.05.01.03</t>
  </si>
  <si>
    <t>W_R.10009.05.01.03: E Emergency NonOutage UG Repl Dist</t>
  </si>
  <si>
    <t>R.10009.05.02.01</t>
  </si>
  <si>
    <t>W_R.10009.05.02.01: E Emergency OH Replacement Trans</t>
  </si>
  <si>
    <t>R.10009.05.02.02</t>
  </si>
  <si>
    <t>W_R.10009.05.02.02: E Emergency Outage OH Replacement Dist</t>
  </si>
  <si>
    <t>R.10009.05.02.03</t>
  </si>
  <si>
    <t>W_R.10009.05.02.03: E Emergency Outage UG Replacement Dist</t>
  </si>
  <si>
    <t>R.10009.05.02.04</t>
  </si>
  <si>
    <t>W_R.10009.05.02.04: E Unplanned OH Distribution Abnormals</t>
  </si>
  <si>
    <t>R.10009.05.02.05</t>
  </si>
  <si>
    <t>W_R.10009.05.02.05: E Unplanned UG Distribution Abnormals</t>
  </si>
  <si>
    <t>R.10009.07.01.01</t>
  </si>
  <si>
    <t>W_R.10009.07.01.01: E OH System Capacity New Dist</t>
  </si>
  <si>
    <t>R.10009.07.01.03</t>
  </si>
  <si>
    <t>W_R.10009.07.01.03: E UG System Capacity New Dist</t>
  </si>
  <si>
    <t>R.10009.07.03.01</t>
  </si>
  <si>
    <t>W_R.10009.07.03.01: E OH UG System Improv Opport New Dist</t>
  </si>
  <si>
    <t>R.10009.08.01.02</t>
  </si>
  <si>
    <t>W_R.10009.08.01.02: E UG Cable Remediation Dist</t>
  </si>
  <si>
    <t>R.10009.08.01.07</t>
  </si>
  <si>
    <t>W_R.10009.08.01.07: E UG Cable Remediation Progr IPM</t>
  </si>
  <si>
    <t>R.10009.08.02.01</t>
  </si>
  <si>
    <t>W_R.10009.08.02.01: E Bellingham Subs</t>
  </si>
  <si>
    <t>R.10009.08.02.03</t>
  </si>
  <si>
    <t>W_R.10009.08.02.03: E North Bend Subs Rebuild Subs</t>
  </si>
  <si>
    <t>R.10009.08.02.05</t>
  </si>
  <si>
    <t>W_R.10009.08.02.05: E OH Clearance Alley Syst Dist</t>
  </si>
  <si>
    <t>R.10009.08.02.07</t>
  </si>
  <si>
    <t>W_R.10009.08.02.07: E OH Sys Rel Upgrades Outage Dist</t>
  </si>
  <si>
    <t>R.10009.08.02.09</t>
  </si>
  <si>
    <t>W_R.10009.08.02.09: E OH Syst Rel Upgrades Rebuild Dist</t>
  </si>
  <si>
    <t>R.10009.08.02.10</t>
  </si>
  <si>
    <t>W_R.10009.08.02.10: E OH Syst Rel Upgrades UG Convers Dist</t>
  </si>
  <si>
    <t>R.10009.08.02.12</t>
  </si>
  <si>
    <t>W_R.10009.08.02.12: E OH Syst Rel Upgr Reclosers Dist</t>
  </si>
  <si>
    <t>R.10009.08.02.13</t>
  </si>
  <si>
    <t>W_R.10009.08.02.13: E UG Sys Rel Upgr Pm Switch Dist</t>
  </si>
  <si>
    <t>R.10009.08.02.14</t>
  </si>
  <si>
    <t>W_R.10009.08.02.14: E OH Syst Rel Upgr Tree WirE Dist</t>
  </si>
  <si>
    <t>R.10009.08.02.15</t>
  </si>
  <si>
    <t>W_R.10009.08.02.15: E OH Syst Rel Upgr Fusesaver Dist</t>
  </si>
  <si>
    <t>R.10009.08.02.17</t>
  </si>
  <si>
    <t>W_R.10009.08.02.17: E OH System Capacity Upgrade Dist</t>
  </si>
  <si>
    <t>R.10009.08.02.18</t>
  </si>
  <si>
    <t>W_R.10009.08.02.18: E OH Sys Capacity Upgrades Uprates Trans</t>
  </si>
  <si>
    <t>R.10009.08.02.19</t>
  </si>
  <si>
    <t>W_R.10009.08.02.19: E OH System Reliability Upgrades Trans</t>
  </si>
  <si>
    <t>R.10009.08.02.20</t>
  </si>
  <si>
    <t>W_R.10009.08.02.20: E OH Transformer PCB Remediation</t>
  </si>
  <si>
    <t>R.10009.08.02.22</t>
  </si>
  <si>
    <t>W_R.10009.08.02.22: E 6 Copper Open Wire 2nd Repl Dist</t>
  </si>
  <si>
    <t>R.10009.08.02.23</t>
  </si>
  <si>
    <t>W_R.10009.08.02.23: E Project Initiation</t>
  </si>
  <si>
    <t>R.10009.08.02.24</t>
  </si>
  <si>
    <t>W_R.10009.08.02.24: E Sedro Mar Pt 230 Remediate Underbuild</t>
  </si>
  <si>
    <t>R.10009.08.02.25</t>
  </si>
  <si>
    <t>W_R.10009.08.02.25: E UG Syst Rel Upgrades Dist</t>
  </si>
  <si>
    <t>R.10009.08.02.28</t>
  </si>
  <si>
    <t>W_R.10009.08.02.28: E UG System Capacity Upgrade Dist</t>
  </si>
  <si>
    <t>R.10009.08.03.01</t>
  </si>
  <si>
    <t>W_R.10009.08.03.01: E Fish And Wildlife Program Dist</t>
  </si>
  <si>
    <t>R.10009.08.05.02</t>
  </si>
  <si>
    <t>W_R.10009.08.05.02: E Emergent Pole Replacement Dist</t>
  </si>
  <si>
    <t>R.10009.08.05.03</t>
  </si>
  <si>
    <t>W_R.10009.08.05.03: E Emergent Pole Replacement Trans</t>
  </si>
  <si>
    <t>R.10009.08.05.04</t>
  </si>
  <si>
    <t>W_R.10009.08.05.04: E Pole Replacement Due To Joint Use</t>
  </si>
  <si>
    <t>R.10009.08.05.05</t>
  </si>
  <si>
    <t>W_R.10009.08.05.05: E Pole Replacement Plan Dist</t>
  </si>
  <si>
    <t>R.10009.08.05.07</t>
  </si>
  <si>
    <t>W_R.10009.08.05.07: E Pole Replacement Plan Trans</t>
  </si>
  <si>
    <t>R.10009.08.05.16</t>
  </si>
  <si>
    <t>W_R.10009.08.05.16: E Pole Inspection and Restoration Dist</t>
  </si>
  <si>
    <t>R.10009.08.05.17</t>
  </si>
  <si>
    <t>W_R.10009.08.05.17: E Pole Inspection and Restoration Trans</t>
  </si>
  <si>
    <t>R.10009.08.06.01</t>
  </si>
  <si>
    <t>W_R.10009.08.06.01: E Root Cause Analysis</t>
  </si>
  <si>
    <t>R.10009.09.01.02</t>
  </si>
  <si>
    <t>W_R.10009.09.01.02: E Emergent Major Projects Trans</t>
  </si>
  <si>
    <t>R.10009.12.01.01</t>
  </si>
  <si>
    <t>W_R.10009.12.01.01: C AMI Network Installations Gen Plant</t>
  </si>
  <si>
    <t>R.10009.12.01.03</t>
  </si>
  <si>
    <t>W_R.10009.12.01.03: E AMI Netwrk Installtion TransDist</t>
  </si>
  <si>
    <t>R.10009.12.01.04</t>
  </si>
  <si>
    <t>W_R.10009.12.01.04: E AMI Electric Meter Deployment</t>
  </si>
  <si>
    <t>R.10009.12.01.05</t>
  </si>
  <si>
    <t>W_R.10009.12.01.05: G AMI Gas Module Deployment</t>
  </si>
  <si>
    <t>R.10009.12.01.09</t>
  </si>
  <si>
    <t>W_R.10009.12.01.09: G Opt Out AMI to NCM Capital Exch</t>
  </si>
  <si>
    <t>R.10009.12.02.04</t>
  </si>
  <si>
    <t>W_R.10009.12.02.04: E Conservation Voltage Reduction</t>
  </si>
  <si>
    <t>R.10009.12.03.01</t>
  </si>
  <si>
    <t>W_R.10009.12.03.01: E Distribution Automation Dist</t>
  </si>
  <si>
    <t>R.10009.12.03.04</t>
  </si>
  <si>
    <t>W_R.10009.12.03.04: E Network and Automate Grid</t>
  </si>
  <si>
    <t>R.10009.14.01.01</t>
  </si>
  <si>
    <t>W_R.10009.14.01.01: E Substation Replacement Battery Dist</t>
  </si>
  <si>
    <t>R.10009.14.01.02</t>
  </si>
  <si>
    <t>W_R.10009.14.01.02: E Substation Replacement Battery Trans</t>
  </si>
  <si>
    <t>R.10009.14.03.01</t>
  </si>
  <si>
    <t>W_R.10009.14.03.01: E Subs Repl Electron Mech Relays Dist</t>
  </si>
  <si>
    <t>R.10009.14.03.03</t>
  </si>
  <si>
    <t>W_R.10009.14.03.03: E Purchase PAC Engineering Software</t>
  </si>
  <si>
    <t>R.10009.14.04.01</t>
  </si>
  <si>
    <t>W_R.10009.14.04.01: E Substation Replacement SpcC Dist</t>
  </si>
  <si>
    <t>R.10009.14.05.02</t>
  </si>
  <si>
    <t>W_R.10009.14.05.02: E Emergent Substation Replacement Dist</t>
  </si>
  <si>
    <t>R.10009.14.05.03</t>
  </si>
  <si>
    <t>W_R.10009.14.05.03: E Emergent Substation Replacement Trans</t>
  </si>
  <si>
    <t>R.10009.14.05.05</t>
  </si>
  <si>
    <t>W_R.10009.14.05.05: E Subs Replacement Circuit Switcher Dist</t>
  </si>
  <si>
    <t>R.10009.14.05.06</t>
  </si>
  <si>
    <t>W_R.10009.14.05.06: E Subs Replacement Dist</t>
  </si>
  <si>
    <t>R.10009.14.05.07</t>
  </si>
  <si>
    <t>W_R.10009.14.05.07: E Subs Replacement Fuses Dist</t>
  </si>
  <si>
    <t>R.10009.14.05.10</t>
  </si>
  <si>
    <t>W_R.10009.14.05.10: E Subs Replacement Transfer Trip Dist</t>
  </si>
  <si>
    <t>R.10009.14.05.11</t>
  </si>
  <si>
    <t>W_R.10009.14.05.11: E Subs Replacement Vegetation Management</t>
  </si>
  <si>
    <t>R.10009.14.05.15</t>
  </si>
  <si>
    <t>W_R.10009.14.05.15: E Subs CAP Transient Security Issues Dis</t>
  </si>
  <si>
    <t>R.10009.14.06.01</t>
  </si>
  <si>
    <t>W_R.10009.14.06.01: E Subs Replacement Transformers Dist</t>
  </si>
  <si>
    <t>R.10009.14.07.01</t>
  </si>
  <si>
    <t>W_R.10009.14.07.01: E Subs Replacement Breaker Replcmt Trans</t>
  </si>
  <si>
    <t>R.10009.17.01.01</t>
  </si>
  <si>
    <t>W_R.10009.17.01.01: E Mazama Pcket Gopher Habitat Mitigation</t>
  </si>
  <si>
    <t>R.10011.01.01.02</t>
  </si>
  <si>
    <t>W_R.10011.01.01.02: G ERX Pilot Dist</t>
  </si>
  <si>
    <t>R.10011.01.01.03</t>
  </si>
  <si>
    <t>W_R.10011.01.01.03: G Gas System Monitoring Equip Replc</t>
  </si>
  <si>
    <t>R.10011.01.01.04</t>
  </si>
  <si>
    <t>W_R.10011.01.01.04: G Gauges Sems Dist</t>
  </si>
  <si>
    <t>R.10011.01.01.07</t>
  </si>
  <si>
    <t>W_R.10011.01.01.07: G Williams Pipeline Equipment Upgrades</t>
  </si>
  <si>
    <t>R.10011.01.01.10</t>
  </si>
  <si>
    <t>W_R.10011.01.01.10: G Service Replacements CBP</t>
  </si>
  <si>
    <t>R.10012.01.01.01</t>
  </si>
  <si>
    <t>W_R.10012.01.01.01: G Altered Modified Comm Ind Mains</t>
  </si>
  <si>
    <t>R.10012.01.01.02</t>
  </si>
  <si>
    <t>W_R.10012.01.01.02: G Altered Modified Comm Ind Service</t>
  </si>
  <si>
    <t>R.10012.01.02.01</t>
  </si>
  <si>
    <t>W_R.10012.01.02.01: G Altered Modified Residential Mains</t>
  </si>
  <si>
    <t>R.10012.01.02.02</t>
  </si>
  <si>
    <t>W_R.10012.01.02.02: G Altered Modified Residential Services</t>
  </si>
  <si>
    <t>R.10012.02.01.01</t>
  </si>
  <si>
    <t>W_R.10012.02.01.01: G 5 Yr Gas Refundable CIAC</t>
  </si>
  <si>
    <t>R.10012.03.01.01</t>
  </si>
  <si>
    <t>W_R.10012.03.01.01: G Commercial Industrial Mains</t>
  </si>
  <si>
    <t>R.10012.03.02.01</t>
  </si>
  <si>
    <t>W_R.10012.03.02.01: G Multi Family Mains</t>
  </si>
  <si>
    <t>R.10012.03.03.01</t>
  </si>
  <si>
    <t>W_R.10012.03.03.01: G Plats Mains</t>
  </si>
  <si>
    <t>R.10012.03.03.02</t>
  </si>
  <si>
    <t>W_R.10012.03.03.02: G Residential Mains</t>
  </si>
  <si>
    <t>R.10012.04.01.01</t>
  </si>
  <si>
    <t>W_R.10012.04.01.01: G Commercial Industrial Service</t>
  </si>
  <si>
    <t>R.10012.04.02.01</t>
  </si>
  <si>
    <t>W_R.10012.04.02.01: G Multi Family Service</t>
  </si>
  <si>
    <t>R.10012.04.03.02</t>
  </si>
  <si>
    <t>W_R.10012.04.03.02: G Residential Services</t>
  </si>
  <si>
    <t>R.10012.04.03.03</t>
  </si>
  <si>
    <t>W_R.10012.04.03.03: G Residential Services In Plat Dev</t>
  </si>
  <si>
    <t>R.10012.06.01.01</t>
  </si>
  <si>
    <t>W_R.10012.06.01.01: G Gas Retire Only No Additions</t>
  </si>
  <si>
    <t>R.10013.01.01.01</t>
  </si>
  <si>
    <t>W_R.10013.01.01.01: G Cust Driven Relocate Reimburse Dist</t>
  </si>
  <si>
    <t>R.10013.02.01.01</t>
  </si>
  <si>
    <t>W_R.10013.02.01.01: G Franchises</t>
  </si>
  <si>
    <t>R.10013.03.01.02</t>
  </si>
  <si>
    <t>W_R.10013.03.01.02: G I5 Tacoma Hov Relocate</t>
  </si>
  <si>
    <t>R.10013.04.01.01</t>
  </si>
  <si>
    <t>W_R.10013.04.01.01: G PI Driven Relocate NonReimb Dist</t>
  </si>
  <si>
    <t>R.10013.04.01.02</t>
  </si>
  <si>
    <t>W_R.10013.04.01.02: G PI Driven Relocate Reimb Dist</t>
  </si>
  <si>
    <t>R.10013.04.01.04</t>
  </si>
  <si>
    <t>W_R.10013.04.01.04: G Sound Transit Reimburse</t>
  </si>
  <si>
    <t>R.10013.05.01.01</t>
  </si>
  <si>
    <t>W_R.10013.05.01.01: G Seattle Core Alaskan Way Viaduct</t>
  </si>
  <si>
    <t>R.10013.05.01.02</t>
  </si>
  <si>
    <t>W_R.10013.05.01.02: G Seattle Core IP Main</t>
  </si>
  <si>
    <t>R.10013.05.01.03</t>
  </si>
  <si>
    <t>W_R.10013.05.01.03: G Seattle Core Other Projects</t>
  </si>
  <si>
    <t>R.10013.05.01.05</t>
  </si>
  <si>
    <t>W_R.10013.05.01.05: G Seattle Core Services</t>
  </si>
  <si>
    <t>R.10013.06.01.01</t>
  </si>
  <si>
    <t>W_R.10013.06.01.01: G Sound Transit Dist</t>
  </si>
  <si>
    <t>R.10013.07.01.01</t>
  </si>
  <si>
    <t>W_R.10013.07.01.01: G Relocate Bulk Dist Like Kind Dist</t>
  </si>
  <si>
    <t>R.10013.07.01.02</t>
  </si>
  <si>
    <t>W_R.10013.07.01.02: G System Improv Opport Dist</t>
  </si>
  <si>
    <t>R.10014.01.01.01</t>
  </si>
  <si>
    <t>W_R.10014.01.01.01: G Swarr Propane Air Plant Upgrades</t>
  </si>
  <si>
    <t>R.10015.01.01.01</t>
  </si>
  <si>
    <t>W_R.10015.01.01.01: G CP System Improv Main With Serv Dist</t>
  </si>
  <si>
    <t>R.10015.01.01.02</t>
  </si>
  <si>
    <t>W_R.10015.01.01.02: G CP System Improv Service Dist</t>
  </si>
  <si>
    <t>R.10015.01.01.03</t>
  </si>
  <si>
    <t>W_R.10015.01.01.03: G CP System Improv Dist</t>
  </si>
  <si>
    <t>R.10015.01.01.05</t>
  </si>
  <si>
    <t>W_R.10015.01.01.05: G Emergent CP System Improv Dist</t>
  </si>
  <si>
    <t>R.10015.02.01.02</t>
  </si>
  <si>
    <t>W_R.10015.02.01.02: G Damage Claims Cap Writeoff</t>
  </si>
  <si>
    <t>R.10015.03.01.01</t>
  </si>
  <si>
    <t>W_R.10015.03.01.01: G DIMP Brdg Sld Dist Unmaintain Facil</t>
  </si>
  <si>
    <t>R.10015.03.02.01</t>
  </si>
  <si>
    <t>W_R.10015.03.02.01: G DIMP Mobile Home Encroachment Program</t>
  </si>
  <si>
    <t>R.10015.03.04.01</t>
  </si>
  <si>
    <t>W_R.10015.03.04.01: G DIMP Dupont Pipe Repl Main With Serv</t>
  </si>
  <si>
    <t>R.10015.03.04.02</t>
  </si>
  <si>
    <t>W_R.10015.03.04.02: G DIMP Older Stw Repl Main With Service</t>
  </si>
  <si>
    <t>R.10015.03.04.03</t>
  </si>
  <si>
    <t>W_R.10015.03.04.03: G DIMP Older Stw Repl Service Only</t>
  </si>
  <si>
    <t>R.10015.03.05.04</t>
  </si>
  <si>
    <t>W_R.10015.03.05.04: G DIMP Regulator Station Sidewalk Regs</t>
  </si>
  <si>
    <t>R.10015.03.06.01</t>
  </si>
  <si>
    <t>W_R.10015.03.06.01: G DIMP Legacy Cross Bore Inspection Dist</t>
  </si>
  <si>
    <t>R.10015.03.06.02</t>
  </si>
  <si>
    <t>W_R.10015.03.06.02: G DIMP Legacy Crss Bore Replacement Dist</t>
  </si>
  <si>
    <t>R.10015.03.07.01</t>
  </si>
  <si>
    <t>W_R.10015.03.07.01: G DIMP Continuing Surveillance Other</t>
  </si>
  <si>
    <t>R.10015.03.07.03</t>
  </si>
  <si>
    <t>W_R.10015.03.07.03: G DIMP Shallow Serv and Main Repl</t>
  </si>
  <si>
    <t>R.10015.03.08.01</t>
  </si>
  <si>
    <t>W_R.10015.03.08.01: G DIMP Buried MSA Serv Or Riser Repl Opp</t>
  </si>
  <si>
    <t>R.10015.03.09.01</t>
  </si>
  <si>
    <t>W_R.10015.03.09.01: G DIMP Preventative Maint Facilities</t>
  </si>
  <si>
    <t>R.10015.03.09.03</t>
  </si>
  <si>
    <t>W_R.10015.03.09.03: G DIMP Preventive Maint Dist Reg Dist</t>
  </si>
  <si>
    <t>R.10015.03.09.05</t>
  </si>
  <si>
    <t>W_R.10015.03.09.05: G DIMP Preventive Maintenance MSA Dist</t>
  </si>
  <si>
    <t>R.10015.03.09.07</t>
  </si>
  <si>
    <t>W_R.10015.03.09.07: G DIMP Preventive Maint Farm Taps Dist</t>
  </si>
  <si>
    <t>R.10015.03.09.14</t>
  </si>
  <si>
    <t>W_R.10015.03.09.14: G Idle Riser Remediation</t>
  </si>
  <si>
    <t>R.10015.03.09.15</t>
  </si>
  <si>
    <t>W_R.10015.03.09.15: G Buried Meter Riser Replacement</t>
  </si>
  <si>
    <t>R.10015.03.11.01</t>
  </si>
  <si>
    <t>W_R.10015.03.11.01: G DIMP Guard Posts</t>
  </si>
  <si>
    <t>R.10015.04.01.02</t>
  </si>
  <si>
    <t>W_R.10015.04.01.02: G Leak Repair Main</t>
  </si>
  <si>
    <t>R.10015.04.01.03</t>
  </si>
  <si>
    <t>W_R.10015.04.01.03: G Leak Repair Service</t>
  </si>
  <si>
    <t>R.10015.04.01.04</t>
  </si>
  <si>
    <t>W_R.10015.04.01.04: G Scattered Short Main Rehab</t>
  </si>
  <si>
    <t>R.10015.04.01.05</t>
  </si>
  <si>
    <t>W_R.10015.04.01.05: G Service Replacement Misc</t>
  </si>
  <si>
    <t>R.10015.04.01.06</t>
  </si>
  <si>
    <t>W_R.10015.04.01.06: G Sewer Cross Bore Repair Main</t>
  </si>
  <si>
    <t>R.10015.04.01.07</t>
  </si>
  <si>
    <t>W_R.10015.04.01.07: G Sewer Cross Bore Repair Service</t>
  </si>
  <si>
    <t>R.10015.04.01.08</t>
  </si>
  <si>
    <t>W_R.10015.04.01.08: G Gas Work Release Main</t>
  </si>
  <si>
    <t>R.10015.04.01.09</t>
  </si>
  <si>
    <t>W_R.10015.04.01.09: G Gas Work Release Service</t>
  </si>
  <si>
    <t>R.10015.04.01.12</t>
  </si>
  <si>
    <t>W_R.10015.04.01.12: G Nonhaz Main Repair Methane PRP</t>
  </si>
  <si>
    <t>R.10015.04.01.13</t>
  </si>
  <si>
    <t>W_R.10015.04.01.13: G Nonhaz Service Repair Methane PRP</t>
  </si>
  <si>
    <t>R.10015.05.01.01</t>
  </si>
  <si>
    <t>W_R.10015.05.01.01: G System Capacity New Dist</t>
  </si>
  <si>
    <t>R.10015.06.01.01</t>
  </si>
  <si>
    <t>W_R.10015.06.01.01: G Cold Weather Action Reinforcement</t>
  </si>
  <si>
    <t>R.10015.06.01.02</t>
  </si>
  <si>
    <t>W_R.10015.06.01.02: G Odorizer Componant Repl Bulk Dist</t>
  </si>
  <si>
    <t>R.10015.06.01.04</t>
  </si>
  <si>
    <t>W_R.10015.06.01.04: G System Capacity Upgrade Bulk Dist</t>
  </si>
  <si>
    <t>R.10015.06.01.05</t>
  </si>
  <si>
    <t>W_R.10015.06.01.05: G System Capacity Upgrade Dist</t>
  </si>
  <si>
    <t>R.10015.07.01.01</t>
  </si>
  <si>
    <t>W_R.10015.07.01.01: G Gas Lightups Clearing</t>
  </si>
  <si>
    <t>R.10019.01.01.02</t>
  </si>
  <si>
    <t>W_R.10019.01.01.02: Bainbridge Trans WIN-MUR Loop</t>
  </si>
  <si>
    <t>R.10019.03.01.03</t>
  </si>
  <si>
    <t>W_R.10019.03.01.03: E West Kitsap Reliability Project</t>
  </si>
  <si>
    <t>R.10022.01.01.01</t>
  </si>
  <si>
    <t>W_R.10022.01.01.01: E Sumner Valley Area Capacity</t>
  </si>
  <si>
    <t>R.10024.01.01.04</t>
  </si>
  <si>
    <t>W_R.10024.01.01.04: G AMR Operations</t>
  </si>
  <si>
    <t>R.10024.01.01.05</t>
  </si>
  <si>
    <t>W_R.10024.01.01.05: E AMR Operations</t>
  </si>
  <si>
    <t>R.10024.01.01.07</t>
  </si>
  <si>
    <t>W_R.10024.01.01.07: E Opt Out AMR to NCM Capital Exch</t>
  </si>
  <si>
    <t>R.10024.01.01.09</t>
  </si>
  <si>
    <t>W_R.10024.01.01.09: G AMI Operations</t>
  </si>
  <si>
    <t>R.10024.02.01.01</t>
  </si>
  <si>
    <t>W_R.10024.02.01.01: G NonRegistering Meters Dist</t>
  </si>
  <si>
    <t>R.10024.02.01.03</t>
  </si>
  <si>
    <t>W_R.10024.02.01.03: G Periodic Meter Changeout IMO Dist</t>
  </si>
  <si>
    <t>R.10024.04.01.01</t>
  </si>
  <si>
    <t>W_R.10024.04.01.01: Click Enhancements</t>
  </si>
  <si>
    <t>R.10027.01.01.01</t>
  </si>
  <si>
    <t>W_R.10027.01.01.01: E Moorlnds Vitulli 115Kv Reconduc Trans</t>
  </si>
  <si>
    <t>R.10027.02.01.01</t>
  </si>
  <si>
    <t>W_R.10027.02.01.01: E Vernell Substation Feeder</t>
  </si>
  <si>
    <t>R.10027.02.01.02</t>
  </si>
  <si>
    <t>W_R.10027.02.01.02: E BelRed Area Capacity Project</t>
  </si>
  <si>
    <t>R.10028.01.01.01</t>
  </si>
  <si>
    <t>W_R.10028.01.01.01: E North Bellevue Bank No3</t>
  </si>
  <si>
    <t>R.10029.01.01.01</t>
  </si>
  <si>
    <t>W_R.10029.01.01.01: G Tolt Hp 16in Phase 1 Main</t>
  </si>
  <si>
    <t>R.10031.01.01.02</t>
  </si>
  <si>
    <t>W_R.10031.01.01.02: E Lake Hills Phantom Lake 115Kv Tline</t>
  </si>
  <si>
    <t>R.10031.03.01.01</t>
  </si>
  <si>
    <t>W_R.10031.03.01.01: E Sammamish Juanita 115Kv Tline</t>
  </si>
  <si>
    <t>R.10033.01.01.03</t>
  </si>
  <si>
    <t>W_R.10033.01.01.03: E Small Tool Electric Operations Tool</t>
  </si>
  <si>
    <t>R.10033.01.01.09</t>
  </si>
  <si>
    <t>W_R.10033.01.01.09: G Small Tool Gas Operations Tool</t>
  </si>
  <si>
    <t>R.10033.01.01.19</t>
  </si>
  <si>
    <t>W_R.10033.01.01.19: E Small Tools PTS on CC4587</t>
  </si>
  <si>
    <t>R.10033.02.01.01</t>
  </si>
  <si>
    <t>W_R.10033.02.01.01: C Operational Training ISR Program</t>
  </si>
  <si>
    <t>R.10035.02.01.01</t>
  </si>
  <si>
    <t>W_R.10035.02.01.01: E Greenwater Tap 55 155Kv Conversion</t>
  </si>
  <si>
    <t>R.10036.02.01.01</t>
  </si>
  <si>
    <t>W_R.10036.02.01.01: C Capitalization of Real Estate Permits</t>
  </si>
  <si>
    <t>R.10036.03.01.01</t>
  </si>
  <si>
    <t>W_R.10036.03.01.01: C Transient Deterrent</t>
  </si>
  <si>
    <t>R.10037.01.01.01</t>
  </si>
  <si>
    <t>W_R.10037.01.01.01: E Removal Cost Meters</t>
  </si>
  <si>
    <t>R.10037.01.01.06</t>
  </si>
  <si>
    <t>W_R.10037.01.01.06: G Removal Cost Meters</t>
  </si>
  <si>
    <t>R.10039.02.01.01</t>
  </si>
  <si>
    <t>W_R.10039.02.01.01: E Buckley Substation Feeder</t>
  </si>
  <si>
    <t>R.10039.02.01.02</t>
  </si>
  <si>
    <t>W_R.10039.02.01.02: E Buckley Substation Sub</t>
  </si>
  <si>
    <t>R.10039.02.01.03</t>
  </si>
  <si>
    <t>W_R.10039.02.01.03: E Electr Enum 55Kv 115Kv Sub Electr Hght</t>
  </si>
  <si>
    <t>R.10039.02.01.05</t>
  </si>
  <si>
    <t>W_R.10039.02.01.05: E Electr Enum 55Kv To 115Kv Sub Enum</t>
  </si>
  <si>
    <t>R.10039.02.01.06</t>
  </si>
  <si>
    <t>W_R.10039.02.01.06: E Electr Enum 55Kv To 115Kv Fiber</t>
  </si>
  <si>
    <t>R.10039.02.01.07</t>
  </si>
  <si>
    <t>W_R.10039.02.01.07: E Electr Enum 55Kv To 115Kv Tline</t>
  </si>
  <si>
    <t>R.10040.01.01.01</t>
  </si>
  <si>
    <t>W_R.10040.01.01.01: E Seabeck Area Reliability Improvement</t>
  </si>
  <si>
    <t>R.10042.01.01.01</t>
  </si>
  <si>
    <t>W_R.10042.01.01.01: E Silverdale 115Kv Tap To VJN Tline</t>
  </si>
  <si>
    <t>R.10047.02.01.02</t>
  </si>
  <si>
    <t>W_R.10047.02.01.02: G SP Alignment Trans and Dist</t>
  </si>
  <si>
    <t>R.10050.02.01.01</t>
  </si>
  <si>
    <t>W_R.10050.02.01.01: E Carpenter Substation Feeder Dist</t>
  </si>
  <si>
    <t>R.10050.04.01.01</t>
  </si>
  <si>
    <t>W_R.10050.04.01.01: E Nisqually Sub Proj Property Purchase</t>
  </si>
  <si>
    <t>R.10051.02.01.01</t>
  </si>
  <si>
    <t>W_R.10051.02.01.01: E Thurston Transmission Capacity</t>
  </si>
  <si>
    <t>R.10054.01.01.01</t>
  </si>
  <si>
    <t>W_R.10054.01.01.01: E Bellingham Sedro 4 115Kv Recond Tline</t>
  </si>
  <si>
    <t>R.10055.01.01.01</t>
  </si>
  <si>
    <t>W_R.10055.01.01.01: E Maxwelton Substation Feeders</t>
  </si>
  <si>
    <t>R.10055.01.01.03</t>
  </si>
  <si>
    <t>W_R.10055.01.01.03: E Maxwelton Substation Trans</t>
  </si>
  <si>
    <t>R.10055.02.01.01</t>
  </si>
  <si>
    <t>W_R.10055.02.01.01: E Whidbey Island 115Kv Row</t>
  </si>
  <si>
    <t>R.10056.01.01.01</t>
  </si>
  <si>
    <t>W_R.10056.01.01.01: E Wilkeson Substation Sub</t>
  </si>
  <si>
    <t>R.10058.01.01.01</t>
  </si>
  <si>
    <t>W_R.10058.01.01.01: E Skookumchuck Wind Farm</t>
  </si>
  <si>
    <t>R.10059.01.01.01</t>
  </si>
  <si>
    <t>W_R.10059.01.01.01: E Smart Grid Living Lab</t>
  </si>
  <si>
    <t>R.10059.02.01.01</t>
  </si>
  <si>
    <t>W_R.10059.02.01.01: E ADMS Circuit Enablement</t>
  </si>
  <si>
    <t>R.10059.03.01.01</t>
  </si>
  <si>
    <t>W_R.10059.03.01.01: E Resilience Enhancement CEIP</t>
  </si>
  <si>
    <t>R.10060.01.01.02</t>
  </si>
  <si>
    <t>W_R.10060.01.01.02: G Vashon Interim Supply at Gig Harbor</t>
  </si>
  <si>
    <t>X.10003.01.01.01</t>
  </si>
  <si>
    <t>W_X.10003.01.01.01: Street and Area Lighting Services</t>
  </si>
  <si>
    <t>X.10003.01.03.01</t>
  </si>
  <si>
    <t>W_X.10003.01.03.01: Street Light Replacement</t>
  </si>
  <si>
    <t>X.10003.01.03.02</t>
  </si>
  <si>
    <t>W_X.10003.01.03.02: Smart Street Lighting</t>
  </si>
  <si>
    <t>X.10005.01.01.01</t>
  </si>
  <si>
    <t>W_X.10005.01.01.01: Wireless and Wireline Construction</t>
  </si>
  <si>
    <t>X.10006.01.01.01</t>
  </si>
  <si>
    <t>W_X.10006.01.01.01: Customer Sited Energy Storage Pilot</t>
  </si>
  <si>
    <t>X.10006.02.01.01</t>
  </si>
  <si>
    <t>W_X.10006.02.01.01: EV Charging Program PSE Internal</t>
  </si>
  <si>
    <t>X.10006.02.02.02</t>
  </si>
  <si>
    <t>W_X.10006.02.02.02: EV Charging Program Infrastructure</t>
  </si>
  <si>
    <t>X.10006.03.01.02</t>
  </si>
  <si>
    <t>W_X.10006.03.01.02: Community Solar Program</t>
  </si>
  <si>
    <t>X.10006.03.01.04</t>
  </si>
  <si>
    <t>W_X.10006.03.01.04: Community Solar Program IT</t>
  </si>
  <si>
    <t>X.10006.03.01.05</t>
  </si>
  <si>
    <t>W_X.10006.03.01.05: Community Solar Program 2022-25</t>
  </si>
  <si>
    <t>K.10005.01.02.01</t>
  </si>
  <si>
    <t>W_K.10005.01.02.01: COL U3 U4 Operational (non-production)</t>
  </si>
  <si>
    <t>X.10006.04.01.02</t>
  </si>
  <si>
    <t>W_X.10006.04.01.02: Renewable Natural Gas Program IT</t>
  </si>
  <si>
    <t>PLACEHOLDER WBS 21</t>
  </si>
  <si>
    <t>PLACEHOLDER WBS 21: IP Scada</t>
  </si>
  <si>
    <t>Placeholder WBS 48</t>
  </si>
  <si>
    <t>Placeholder WBS 48: Data Enablement and Enrichment Program</t>
  </si>
  <si>
    <t>R.10059.04.01.01</t>
  </si>
  <si>
    <t>W_R.10059.04.01.01: E Wildfire Resilience</t>
  </si>
  <si>
    <t>PLACEHOLDER WBS 63</t>
  </si>
  <si>
    <t>PLACEHOLDER WBS 63: E King County Franchise Fee</t>
  </si>
  <si>
    <t>PLACEHOLDER WBS 65</t>
  </si>
  <si>
    <t>PLACEHOLDER WBS 65: Pipeline Modernization</t>
  </si>
  <si>
    <t>F.10003.03.01.01</t>
  </si>
  <si>
    <t>W_F.10003.03.01.01: Wireless Spectrum</t>
  </si>
  <si>
    <t>F.10017.13.02.02</t>
  </si>
  <si>
    <t>W_F.10017.13.02.02: Annual VOIP Deployment and Refresh</t>
  </si>
  <si>
    <t>F.10025.02.01.04</t>
  </si>
  <si>
    <t>W_F.10025.02.01.04: Tenable.io</t>
  </si>
  <si>
    <t>K.10012.01.01.04</t>
  </si>
  <si>
    <t>W_K.10012.01.01.04: BPCC Customer Self Service</t>
  </si>
  <si>
    <t>K.10035.01.01.02</t>
  </si>
  <si>
    <t>W_K.10035.01.01.02: FRA Unit 2 to 4 Hot Gas Path</t>
  </si>
  <si>
    <t>R.10009.12.04.01</t>
  </si>
  <si>
    <t>W_R.10009.12.04.01: E Trans Automation Placeholder</t>
  </si>
  <si>
    <t>R.10015.06.01.06</t>
  </si>
  <si>
    <t>W_R.10015.06.01.06: G System Capacity Uprate Bulk Dist</t>
  </si>
  <si>
    <t>R.10037.01.01.07</t>
  </si>
  <si>
    <t>W_R.10037.01.01.07: G Scrap Sale Plt Meters Dist</t>
  </si>
  <si>
    <t>R.10009.07.03.02</t>
  </si>
  <si>
    <t>W_R.10009.07.03.02: E OH UG System Improv Opport New Trans</t>
  </si>
  <si>
    <t>F.10017.09.05.02</t>
  </si>
  <si>
    <t>W_F.10017.09.05.02: RSA Token Refresh</t>
  </si>
  <si>
    <t>R.10059.05.01.01</t>
  </si>
  <si>
    <t>W_R.10059.05.01.01: E Submarine Cable - Mercer Island</t>
  </si>
  <si>
    <t>R.10059.02.01.02</t>
  </si>
  <si>
    <t>W_R.10059.02.01.02: E Circuit Enablement EV</t>
  </si>
  <si>
    <t>R.99999.99.99.99</t>
  </si>
  <si>
    <t>W_R.99999.99.99.99: General Transmission Project (Rate Case Only)</t>
  </si>
  <si>
    <t>Total All Items Considered in 2022 GAP Year CWIP Closings</t>
  </si>
  <si>
    <t>Storm</t>
  </si>
  <si>
    <t>Energy</t>
  </si>
  <si>
    <t>(blank)</t>
  </si>
  <si>
    <t>Sum of 2022 Total Actual CWIP Closings</t>
  </si>
  <si>
    <t>Sum of JAK5 SEF16 Forecast CWIP Closings</t>
  </si>
  <si>
    <t>Common</t>
  </si>
  <si>
    <t>Electric Portion of Common</t>
  </si>
  <si>
    <t>Gas Portion of Common</t>
  </si>
  <si>
    <t>check actual</t>
  </si>
  <si>
    <t>check forecast</t>
  </si>
  <si>
    <t>check variance</t>
  </si>
  <si>
    <t>Electric and Gas Combined</t>
  </si>
  <si>
    <t>Electric + Allocated Common</t>
  </si>
  <si>
    <t>Gas + Allocated Common</t>
  </si>
  <si>
    <t>Project</t>
  </si>
  <si>
    <t>Not Ops</t>
  </si>
  <si>
    <t>Specific</t>
  </si>
  <si>
    <t>Programmatic Programmatic</t>
  </si>
  <si>
    <t>Programmatic Customer Driven</t>
  </si>
  <si>
    <t>Customer Requests - Electric</t>
  </si>
  <si>
    <t>Public Improvement - Electric</t>
  </si>
  <si>
    <t>Capacity - Electric</t>
  </si>
  <si>
    <t>AMI - Common</t>
  </si>
  <si>
    <t>AMI - Electric</t>
  </si>
  <si>
    <t>AMI - Gas</t>
  </si>
  <si>
    <t>Customer Requests - Gas</t>
  </si>
  <si>
    <t>Public Improvement - Gas</t>
  </si>
  <si>
    <t>Pipeline Replacement</t>
  </si>
  <si>
    <t>Capacity - Gas</t>
  </si>
  <si>
    <t>Sammamish Juanita</t>
  </si>
  <si>
    <t>EV Circuit</t>
  </si>
  <si>
    <t>(Multiple Items)</t>
  </si>
  <si>
    <t>Forecast Used to Set Rates</t>
  </si>
  <si>
    <t>Actual Plant Closings</t>
  </si>
  <si>
    <t>Over (Under) Closed</t>
  </si>
  <si>
    <t>Explanation</t>
  </si>
  <si>
    <t>Energize Eastside Settlement Change</t>
  </si>
  <si>
    <t>JAK-5 Filing Date</t>
  </si>
  <si>
    <t>Jul - Dec 2021</t>
  </si>
  <si>
    <t>Total</t>
  </si>
  <si>
    <t>Original Filing</t>
  </si>
  <si>
    <t>Compliance Filing</t>
  </si>
  <si>
    <t>Change</t>
  </si>
  <si>
    <t xml:space="preserve">Assumed the </t>
  </si>
  <si>
    <t>Depreciation Rate</t>
  </si>
  <si>
    <t>reduction due to</t>
  </si>
  <si>
    <t>EE delayed in-</t>
  </si>
  <si>
    <t>service date was</t>
  </si>
  <si>
    <t>redeployed to</t>
  </si>
  <si>
    <t>same depr</t>
  </si>
  <si>
    <t>groups as EE</t>
  </si>
  <si>
    <t>See Tab "Eng ES Stlmt Chg"</t>
  </si>
  <si>
    <t>1 - AMI</t>
  </si>
  <si>
    <t>2 - Bainbridge</t>
  </si>
  <si>
    <t>4 - Emergent Work</t>
  </si>
  <si>
    <t>8 - Pipe Replacement</t>
  </si>
  <si>
    <t>9 - Projected</t>
  </si>
  <si>
    <t>3G - CIAC, NCC, PI</t>
  </si>
  <si>
    <t>3E - CIAC, NCC, PI</t>
  </si>
  <si>
    <t>6E - Grid Mod</t>
  </si>
  <si>
    <t>6G - Gas Mod</t>
  </si>
  <si>
    <t>7E - Maj Proj</t>
  </si>
  <si>
    <t>7G - Maj Proj</t>
  </si>
  <si>
    <t>10 - Sammamish</t>
  </si>
  <si>
    <t>11 - Thurston</t>
  </si>
  <si>
    <t>Adjusted CBR</t>
  </si>
  <si>
    <t>Act &gt; GRC</t>
  </si>
  <si>
    <t>EOP 2022</t>
  </si>
  <si>
    <t>Remove Tacoma LNG Facility</t>
  </si>
  <si>
    <t>(in billions)</t>
  </si>
  <si>
    <t>Test Year EOP</t>
  </si>
  <si>
    <t>Remove AMI</t>
  </si>
  <si>
    <t>Accumulated Depreciation</t>
  </si>
  <si>
    <t>Accumulated Deferred Income Taxes</t>
  </si>
  <si>
    <t>Total AMI</t>
  </si>
  <si>
    <t>GRC (excludes AMI and TLNG Facility)</t>
  </si>
  <si>
    <t>W_F.10018.02.03.02: Opex to Capital Maint 2022-2026</t>
  </si>
  <si>
    <t>Part of W_F.10007.02.01.02: IT Operational Program in the GRC</t>
  </si>
  <si>
    <t>Annual Deficiency</t>
  </si>
  <si>
    <t>Threshold</t>
  </si>
  <si>
    <t>Annual Threshold</t>
  </si>
  <si>
    <t>As Filed</t>
  </si>
  <si>
    <t>For STR Staff Informal DR 2 part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</si>
</sst>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0.0000%"/>
    <numFmt numFmtId="167" formatCode="_(* #,##0.000000_);_(* \(#,##0.000000\);_(* &quot;-&quot;??????_);_(@_)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_(&quot;$&quot;* #,##0_);_(&quot;$&quot;* \(#,##0\);_(&quot;$&quot;* &quot;-&quot;??_);_(@_)"/>
    <numFmt numFmtId="172" formatCode="0.0%"/>
    <numFmt numFmtId="173" formatCode="_(&quot;$&quot;* #,##0.00000000000_);_(&quot;$&quot;* \(#,##0.00000000000\);_(&quot;$&quot;* &quot;-&quot;??_);_(@_)"/>
  </numFmts>
  <fonts count="3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3E7E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FF3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indexed="64"/>
      </right>
      <top style="thin">
        <color rgb="FFC3E7E3"/>
      </top>
      <bottom style="thin">
        <color rgb="FFC3E7E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6" fillId="3" borderId="0" applyNumberFormat="0" applyBorder="0" applyAlignment="0" applyProtection="0"/>
    <xf numFmtId="0" fontId="32" fillId="7" borderId="39" applyNumberFormat="0" applyAlignment="0" applyProtection="0"/>
    <xf numFmtId="0" fontId="34" fillId="0" borderId="0"/>
  </cellStyleXfs>
  <cellXfs count="343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left"/>
    </xf>
    <xf numFmtId="43" fontId="0" fillId="0" borderId="0" xfId="0" applyNumberFormat="1"/>
    <xf numFmtId="10" fontId="0" fillId="0" borderId="0" xfId="2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43" fontId="0" fillId="0" borderId="0" xfId="1" applyFont="1"/>
    <xf numFmtId="0" fontId="0" fillId="0" borderId="0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0" borderId="0" xfId="0" applyNumberFormat="1" applyFont="1"/>
    <xf numFmtId="43" fontId="0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3"/>
    <xf numFmtId="0" fontId="6" fillId="0" borderId="0" xfId="3" applyFont="1"/>
    <xf numFmtId="0" fontId="7" fillId="0" borderId="0" xfId="3" applyFont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0" fontId="7" fillId="0" borderId="0" xfId="3" applyFont="1" applyBorder="1" applyAlignment="1">
      <alignment horizontal="center"/>
    </xf>
    <xf numFmtId="0" fontId="5" fillId="0" borderId="0" xfId="3" applyAlignment="1">
      <alignment horizontal="center"/>
    </xf>
    <xf numFmtId="0" fontId="7" fillId="0" borderId="0" xfId="3" applyFont="1"/>
    <xf numFmtId="41" fontId="5" fillId="0" borderId="0" xfId="3" applyNumberFormat="1"/>
    <xf numFmtId="0" fontId="5" fillId="0" borderId="1" xfId="3" applyBorder="1"/>
    <xf numFmtId="41" fontId="5" fillId="0" borderId="1" xfId="3" applyNumberFormat="1" applyBorder="1"/>
    <xf numFmtId="41" fontId="7" fillId="0" borderId="0" xfId="3" applyNumberFormat="1" applyFont="1"/>
    <xf numFmtId="0" fontId="7" fillId="0" borderId="0" xfId="3" applyFont="1" applyFill="1" applyBorder="1"/>
    <xf numFmtId="41" fontId="7" fillId="0" borderId="2" xfId="3" applyNumberFormat="1" applyFont="1" applyBorder="1"/>
    <xf numFmtId="41" fontId="0" fillId="0" borderId="1" xfId="0" applyNumberFormat="1" applyBorder="1"/>
    <xf numFmtId="0" fontId="8" fillId="0" borderId="0" xfId="4"/>
    <xf numFmtId="0" fontId="4" fillId="0" borderId="0" xfId="4" applyFont="1" applyAlignment="1">
      <alignment horizontal="centerContinuous"/>
    </xf>
    <xf numFmtId="0" fontId="4" fillId="0" borderId="0" xfId="4" applyFont="1" applyAlignment="1">
      <alignment horizontal="left"/>
    </xf>
    <xf numFmtId="0" fontId="4" fillId="0" borderId="0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43" fontId="8" fillId="0" borderId="0" xfId="4" applyNumberFormat="1"/>
    <xf numFmtId="43" fontId="8" fillId="0" borderId="0" xfId="4" applyNumberFormat="1" applyBorder="1"/>
    <xf numFmtId="43" fontId="8" fillId="0" borderId="0" xfId="4" applyNumberFormat="1" applyFill="1" applyBorder="1"/>
    <xf numFmtId="43" fontId="8" fillId="0" borderId="0" xfId="4" applyNumberFormat="1" applyFill="1"/>
    <xf numFmtId="0" fontId="8" fillId="0" borderId="0" xfId="4" applyFill="1"/>
    <xf numFmtId="0" fontId="8" fillId="0" borderId="0" xfId="4" applyAlignment="1">
      <alignment horizontal="center"/>
    </xf>
    <xf numFmtId="10" fontId="0" fillId="0" borderId="0" xfId="5" applyNumberFormat="1" applyFont="1"/>
    <xf numFmtId="0" fontId="9" fillId="0" borderId="0" xfId="6"/>
    <xf numFmtId="0" fontId="7" fillId="0" borderId="1" xfId="6" applyFont="1" applyBorder="1" applyAlignment="1">
      <alignment horizontal="center"/>
    </xf>
    <xf numFmtId="43" fontId="0" fillId="0" borderId="0" xfId="7" applyFont="1"/>
    <xf numFmtId="43" fontId="0" fillId="0" borderId="0" xfId="7" applyFont="1" applyFill="1"/>
    <xf numFmtId="0" fontId="7" fillId="0" borderId="0" xfId="6" applyFont="1"/>
    <xf numFmtId="43" fontId="0" fillId="0" borderId="1" xfId="7" applyFont="1" applyBorder="1"/>
    <xf numFmtId="43" fontId="0" fillId="0" borderId="0" xfId="7" applyFont="1" applyFill="1" applyBorder="1"/>
    <xf numFmtId="43" fontId="0" fillId="0" borderId="1" xfId="7" applyFont="1" applyBorder="1" applyAlignment="1">
      <alignment horizontal="center"/>
    </xf>
    <xf numFmtId="43" fontId="0" fillId="0" borderId="0" xfId="7" applyFont="1" applyBorder="1"/>
    <xf numFmtId="43" fontId="7" fillId="0" borderId="0" xfId="7" applyFont="1"/>
    <xf numFmtId="43" fontId="5" fillId="0" borderId="0" xfId="7" applyFont="1"/>
    <xf numFmtId="0" fontId="9" fillId="0" borderId="0" xfId="6" applyAlignment="1">
      <alignment horizontal="right"/>
    </xf>
    <xf numFmtId="10" fontId="9" fillId="0" borderId="0" xfId="6" applyNumberFormat="1" applyAlignment="1">
      <alignment horizontal="left"/>
    </xf>
    <xf numFmtId="0" fontId="2" fillId="0" borderId="0" xfId="6" applyFont="1"/>
    <xf numFmtId="0" fontId="9" fillId="0" borderId="0" xfId="6" applyFill="1" applyAlignment="1">
      <alignment horizontal="right"/>
    </xf>
    <xf numFmtId="0" fontId="9" fillId="0" borderId="0" xfId="6" applyFill="1"/>
    <xf numFmtId="43" fontId="0" fillId="0" borderId="1" xfId="7" applyFont="1" applyFill="1" applyBorder="1"/>
    <xf numFmtId="0" fontId="10" fillId="0" borderId="0" xfId="0" applyFont="1"/>
    <xf numFmtId="0" fontId="9" fillId="0" borderId="4" xfId="6" applyFill="1" applyBorder="1"/>
    <xf numFmtId="43" fontId="0" fillId="0" borderId="4" xfId="7" applyFont="1" applyFill="1" applyBorder="1"/>
    <xf numFmtId="43" fontId="0" fillId="0" borderId="5" xfId="7" applyFont="1" applyBorder="1"/>
    <xf numFmtId="43" fontId="7" fillId="0" borderId="6" xfId="7" applyFont="1" applyBorder="1"/>
    <xf numFmtId="43" fontId="7" fillId="0" borderId="7" xfId="7" applyFont="1" applyBorder="1"/>
    <xf numFmtId="43" fontId="5" fillId="0" borderId="7" xfId="7" applyFont="1" applyBorder="1"/>
    <xf numFmtId="0" fontId="4" fillId="0" borderId="0" xfId="4" applyFont="1"/>
    <xf numFmtId="0" fontId="4" fillId="0" borderId="7" xfId="4" applyFont="1" applyBorder="1"/>
    <xf numFmtId="43" fontId="4" fillId="0" borderId="7" xfId="4" applyNumberFormat="1" applyFont="1" applyBorder="1"/>
    <xf numFmtId="43" fontId="4" fillId="0" borderId="0" xfId="4" applyNumberFormat="1" applyFont="1" applyFill="1" applyBorder="1"/>
    <xf numFmtId="0" fontId="4" fillId="0" borderId="0" xfId="4" applyFont="1" applyBorder="1"/>
    <xf numFmtId="43" fontId="4" fillId="0" borderId="0" xfId="4" applyNumberFormat="1" applyFont="1" applyBorder="1"/>
    <xf numFmtId="0" fontId="4" fillId="0" borderId="2" xfId="4" applyFont="1" applyBorder="1"/>
    <xf numFmtId="43" fontId="4" fillId="0" borderId="2" xfId="4" applyNumberFormat="1" applyFont="1" applyBorder="1"/>
    <xf numFmtId="0" fontId="4" fillId="0" borderId="3" xfId="4" applyFont="1" applyBorder="1"/>
    <xf numFmtId="0" fontId="4" fillId="0" borderId="0" xfId="4" applyFont="1" applyAlignment="1">
      <alignment horizontal="center"/>
    </xf>
    <xf numFmtId="0" fontId="0" fillId="0" borderId="0" xfId="0" applyAlignment="1">
      <alignment horizontal="centerContinuous"/>
    </xf>
    <xf numFmtId="0" fontId="8" fillId="0" borderId="4" xfId="4" applyBorder="1"/>
    <xf numFmtId="0" fontId="4" fillId="0" borderId="4" xfId="4" applyFont="1" applyBorder="1"/>
    <xf numFmtId="0" fontId="11" fillId="0" borderId="0" xfId="4" applyFont="1" applyAlignment="1">
      <alignment horizontal="centerContinuous"/>
    </xf>
    <xf numFmtId="0" fontId="11" fillId="0" borderId="0" xfId="0" applyFont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43" fontId="3" fillId="0" borderId="7" xfId="0" applyNumberFormat="1" applyFont="1" applyBorder="1"/>
    <xf numFmtId="0" fontId="0" fillId="0" borderId="9" xfId="0" applyBorder="1"/>
    <xf numFmtId="0" fontId="12" fillId="0" borderId="0" xfId="0" applyFont="1"/>
    <xf numFmtId="0" fontId="12" fillId="0" borderId="4" xfId="0" applyFont="1" applyBorder="1"/>
    <xf numFmtId="0" fontId="8" fillId="0" borderId="1" xfId="4" applyBorder="1"/>
    <xf numFmtId="0" fontId="8" fillId="0" borderId="8" xfId="4" applyBorder="1"/>
    <xf numFmtId="0" fontId="0" fillId="0" borderId="0" xfId="0" applyFill="1" applyBorder="1"/>
    <xf numFmtId="0" fontId="9" fillId="0" borderId="1" xfId="6" applyBorder="1"/>
    <xf numFmtId="0" fontId="7" fillId="0" borderId="8" xfId="6" applyFont="1" applyFill="1" applyBorder="1" applyAlignment="1">
      <alignment horizontal="center"/>
    </xf>
    <xf numFmtId="166" fontId="0" fillId="0" borderId="0" xfId="5" applyNumberFormat="1" applyFont="1"/>
    <xf numFmtId="10" fontId="13" fillId="0" borderId="18" xfId="2" applyNumberFormat="1" applyFont="1" applyBorder="1"/>
    <xf numFmtId="0" fontId="13" fillId="0" borderId="0" xfId="8" applyFont="1"/>
    <xf numFmtId="165" fontId="13" fillId="0" borderId="0" xfId="8" applyNumberFormat="1" applyFont="1"/>
    <xf numFmtId="168" fontId="15" fillId="0" borderId="13" xfId="8" applyNumberFormat="1" applyFont="1" applyBorder="1"/>
    <xf numFmtId="168" fontId="15" fillId="0" borderId="12" xfId="8" applyNumberFormat="1" applyFont="1" applyBorder="1"/>
    <xf numFmtId="0" fontId="15" fillId="0" borderId="11" xfId="8" applyFont="1" applyBorder="1" applyAlignment="1">
      <alignment horizontal="left"/>
    </xf>
    <xf numFmtId="165" fontId="13" fillId="0" borderId="26" xfId="8" applyNumberFormat="1" applyFont="1" applyBorder="1"/>
    <xf numFmtId="165" fontId="13" fillId="0" borderId="25" xfId="8" applyNumberFormat="1" applyFont="1" applyBorder="1"/>
    <xf numFmtId="0" fontId="13" fillId="0" borderId="27" xfId="8" applyFont="1" applyBorder="1"/>
    <xf numFmtId="0" fontId="13" fillId="0" borderId="26" xfId="8" applyFont="1" applyBorder="1"/>
    <xf numFmtId="0" fontId="13" fillId="0" borderId="25" xfId="8" applyFont="1" applyBorder="1"/>
    <xf numFmtId="164" fontId="13" fillId="0" borderId="18" xfId="9" applyNumberFormat="1" applyFont="1" applyBorder="1"/>
    <xf numFmtId="164" fontId="13" fillId="0" borderId="0" xfId="9" applyNumberFormat="1" applyFont="1" applyBorder="1"/>
    <xf numFmtId="164" fontId="13" fillId="0" borderId="17" xfId="9" applyNumberFormat="1" applyFont="1" applyBorder="1"/>
    <xf numFmtId="0" fontId="13" fillId="0" borderId="18" xfId="8" applyFont="1" applyBorder="1"/>
    <xf numFmtId="0" fontId="13" fillId="0" borderId="0" xfId="8" applyFont="1" applyBorder="1" applyAlignment="1">
      <alignment horizontal="left"/>
    </xf>
    <xf numFmtId="0" fontId="13" fillId="0" borderId="17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164" fontId="13" fillId="0" borderId="24" xfId="9" applyNumberFormat="1" applyFont="1" applyBorder="1"/>
    <xf numFmtId="164" fontId="13" fillId="0" borderId="3" xfId="9" applyNumberFormat="1" applyFont="1" applyBorder="1"/>
    <xf numFmtId="164" fontId="13" fillId="0" borderId="23" xfId="9" applyNumberFormat="1" applyFont="1" applyBorder="1"/>
    <xf numFmtId="167" fontId="13" fillId="0" borderId="18" xfId="10" applyNumberFormat="1" applyFont="1" applyBorder="1"/>
    <xf numFmtId="167" fontId="13" fillId="0" borderId="0" xfId="10" applyNumberFormat="1" applyFont="1" applyBorder="1"/>
    <xf numFmtId="167" fontId="13" fillId="0" borderId="17" xfId="10" applyNumberFormat="1" applyFont="1" applyBorder="1"/>
    <xf numFmtId="165" fontId="13" fillId="0" borderId="22" xfId="8" applyNumberFormat="1" applyFont="1" applyBorder="1"/>
    <xf numFmtId="165" fontId="13" fillId="0" borderId="10" xfId="8" applyNumberFormat="1" applyFont="1" applyBorder="1"/>
    <xf numFmtId="165" fontId="13" fillId="0" borderId="21" xfId="8" applyNumberFormat="1" applyFont="1" applyBorder="1"/>
    <xf numFmtId="165" fontId="13" fillId="0" borderId="18" xfId="8" applyNumberFormat="1" applyFont="1" applyBorder="1"/>
    <xf numFmtId="165" fontId="13" fillId="0" borderId="0" xfId="8" applyNumberFormat="1" applyFont="1" applyBorder="1"/>
    <xf numFmtId="165" fontId="13" fillId="0" borderId="17" xfId="8" applyNumberFormat="1" applyFont="1" applyBorder="1"/>
    <xf numFmtId="10" fontId="13" fillId="0" borderId="18" xfId="10" applyNumberFormat="1" applyFont="1" applyBorder="1"/>
    <xf numFmtId="10" fontId="13" fillId="0" borderId="0" xfId="8" applyNumberFormat="1" applyFont="1" applyBorder="1"/>
    <xf numFmtId="10" fontId="13" fillId="0" borderId="17" xfId="8" applyNumberFormat="1" applyFont="1" applyBorder="1"/>
    <xf numFmtId="10" fontId="13" fillId="0" borderId="0" xfId="10" applyNumberFormat="1" applyFont="1" applyBorder="1"/>
    <xf numFmtId="10" fontId="13" fillId="0" borderId="17" xfId="10" applyNumberFormat="1" applyFont="1" applyBorder="1"/>
    <xf numFmtId="0" fontId="13" fillId="0" borderId="0" xfId="8" applyFont="1" applyBorder="1"/>
    <xf numFmtId="0" fontId="13" fillId="0" borderId="17" xfId="8" applyFont="1" applyBorder="1"/>
    <xf numFmtId="0" fontId="14" fillId="0" borderId="20" xfId="8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19" xfId="8" applyFont="1" applyBorder="1" applyAlignment="1">
      <alignment horizontal="center"/>
    </xf>
    <xf numFmtId="0" fontId="14" fillId="0" borderId="20" xfId="8" applyFont="1" applyBorder="1" applyAlignment="1">
      <alignment horizontal="centerContinuous"/>
    </xf>
    <xf numFmtId="0" fontId="14" fillId="0" borderId="1" xfId="8" applyFont="1" applyBorder="1" applyAlignment="1">
      <alignment horizontal="centerContinuous"/>
    </xf>
    <xf numFmtId="0" fontId="14" fillId="0" borderId="19" xfId="8" applyFont="1" applyBorder="1" applyAlignment="1">
      <alignment horizontal="centerContinuous"/>
    </xf>
    <xf numFmtId="0" fontId="14" fillId="0" borderId="18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7" xfId="8" applyFont="1" applyBorder="1" applyAlignment="1">
      <alignment horizontal="center"/>
    </xf>
    <xf numFmtId="0" fontId="14" fillId="0" borderId="18" xfId="8" applyFont="1" applyBorder="1" applyAlignment="1">
      <alignment horizontal="centerContinuous"/>
    </xf>
    <xf numFmtId="0" fontId="14" fillId="0" borderId="0" xfId="8" applyFont="1" applyBorder="1" applyAlignment="1">
      <alignment horizontal="centerContinuous"/>
    </xf>
    <xf numFmtId="0" fontId="14" fillId="0" borderId="17" xfId="8" applyFont="1" applyBorder="1" applyAlignment="1">
      <alignment horizontal="centerContinuous"/>
    </xf>
    <xf numFmtId="0" fontId="13" fillId="0" borderId="16" xfId="8" applyFont="1" applyBorder="1"/>
    <xf numFmtId="0" fontId="13" fillId="0" borderId="15" xfId="8" applyFont="1" applyBorder="1"/>
    <xf numFmtId="0" fontId="13" fillId="0" borderId="14" xfId="8" applyFont="1" applyBorder="1"/>
    <xf numFmtId="0" fontId="17" fillId="0" borderId="0" xfId="11" applyFont="1"/>
    <xf numFmtId="0" fontId="18" fillId="0" borderId="0" xfId="11" applyFont="1"/>
    <xf numFmtId="0" fontId="19" fillId="0" borderId="0" xfId="11" applyFont="1" applyAlignment="1">
      <alignment horizontal="right"/>
    </xf>
    <xf numFmtId="0" fontId="20" fillId="0" borderId="0" xfId="11" applyFont="1"/>
    <xf numFmtId="0" fontId="17" fillId="0" borderId="1" xfId="11" applyFont="1" applyBorder="1" applyAlignment="1">
      <alignment horizontal="center"/>
    </xf>
    <xf numFmtId="0" fontId="1" fillId="0" borderId="0" xfId="11"/>
    <xf numFmtId="0" fontId="18" fillId="0" borderId="0" xfId="11" applyFont="1" applyAlignment="1">
      <alignment horizontal="left" indent="1"/>
    </xf>
    <xf numFmtId="10" fontId="21" fillId="0" borderId="0" xfId="11" applyNumberFormat="1" applyFont="1" applyFill="1" applyBorder="1"/>
    <xf numFmtId="10" fontId="1" fillId="0" borderId="0" xfId="11" applyNumberFormat="1"/>
    <xf numFmtId="169" fontId="21" fillId="0" borderId="0" xfId="11" applyNumberFormat="1" applyFont="1" applyFill="1" applyBorder="1"/>
    <xf numFmtId="43" fontId="1" fillId="0" borderId="0" xfId="11" applyNumberFormat="1"/>
    <xf numFmtId="41" fontId="21" fillId="0" borderId="0" xfId="11" applyNumberFormat="1" applyFont="1" applyFill="1" applyBorder="1"/>
    <xf numFmtId="41" fontId="21" fillId="0" borderId="10" xfId="11" applyNumberFormat="1" applyFont="1" applyFill="1" applyBorder="1"/>
    <xf numFmtId="169" fontId="21" fillId="0" borderId="10" xfId="11" applyNumberFormat="1" applyFont="1" applyFill="1" applyBorder="1"/>
    <xf numFmtId="169" fontId="21" fillId="0" borderId="3" xfId="11" applyNumberFormat="1" applyFont="1" applyFill="1" applyBorder="1"/>
    <xf numFmtId="5" fontId="18" fillId="0" borderId="0" xfId="11" applyNumberFormat="1" applyFont="1"/>
    <xf numFmtId="43" fontId="21" fillId="0" borderId="0" xfId="11" applyNumberFormat="1" applyFont="1" applyFill="1" applyBorder="1"/>
    <xf numFmtId="43" fontId="21" fillId="0" borderId="28" xfId="11" applyNumberFormat="1" applyFont="1" applyFill="1" applyBorder="1"/>
    <xf numFmtId="169" fontId="21" fillId="0" borderId="28" xfId="11" applyNumberFormat="1" applyFont="1" applyFill="1" applyBorder="1"/>
    <xf numFmtId="10" fontId="22" fillId="0" borderId="0" xfId="11" applyNumberFormat="1" applyFont="1" applyFill="1" applyBorder="1"/>
    <xf numFmtId="42" fontId="21" fillId="0" borderId="0" xfId="11" applyNumberFormat="1" applyFont="1" applyFill="1" applyBorder="1"/>
    <xf numFmtId="42" fontId="18" fillId="0" borderId="0" xfId="11" applyNumberFormat="1" applyFont="1"/>
    <xf numFmtId="5" fontId="21" fillId="0" borderId="0" xfId="11" applyNumberFormat="1" applyFont="1" applyFill="1" applyBorder="1"/>
    <xf numFmtId="169" fontId="21" fillId="0" borderId="2" xfId="11" applyNumberFormat="1" applyFont="1" applyFill="1" applyBorder="1"/>
    <xf numFmtId="0" fontId="23" fillId="0" borderId="0" xfId="11" applyFont="1" applyFill="1"/>
    <xf numFmtId="169" fontId="18" fillId="0" borderId="0" xfId="11" applyNumberFormat="1" applyFont="1"/>
    <xf numFmtId="43" fontId="18" fillId="0" borderId="0" xfId="11" applyNumberFormat="1" applyFont="1"/>
    <xf numFmtId="164" fontId="13" fillId="0" borderId="18" xfId="9" applyNumberFormat="1" applyFont="1" applyBorder="1" applyAlignment="1">
      <alignment horizontal="right"/>
    </xf>
    <xf numFmtId="0" fontId="13" fillId="0" borderId="0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8" xfId="8" applyFont="1" applyBorder="1" applyAlignment="1">
      <alignment horizontal="center"/>
    </xf>
    <xf numFmtId="0" fontId="13" fillId="2" borderId="17" xfId="8" applyFont="1" applyFill="1" applyBorder="1" applyAlignment="1">
      <alignment horizontal="left"/>
    </xf>
    <xf numFmtId="0" fontId="13" fillId="2" borderId="0" xfId="8" applyFont="1" applyFill="1" applyBorder="1" applyAlignment="1">
      <alignment horizontal="left"/>
    </xf>
    <xf numFmtId="0" fontId="13" fillId="2" borderId="18" xfId="8" applyFont="1" applyFill="1" applyBorder="1"/>
    <xf numFmtId="164" fontId="13" fillId="2" borderId="17" xfId="9" applyNumberFormat="1" applyFont="1" applyFill="1" applyBorder="1"/>
    <xf numFmtId="164" fontId="13" fillId="2" borderId="0" xfId="9" applyNumberFormat="1" applyFont="1" applyFill="1" applyBorder="1"/>
    <xf numFmtId="164" fontId="13" fillId="2" borderId="18" xfId="9" applyNumberFormat="1" applyFont="1" applyFill="1" applyBorder="1" applyAlignment="1">
      <alignment horizontal="right"/>
    </xf>
    <xf numFmtId="0" fontId="14" fillId="0" borderId="0" xfId="8" applyFont="1" applyBorder="1" applyAlignment="1">
      <alignment horizontal="left"/>
    </xf>
    <xf numFmtId="0" fontId="13" fillId="0" borderId="0" xfId="0" applyFont="1"/>
    <xf numFmtId="4" fontId="24" fillId="0" borderId="4" xfId="4" applyNumberFormat="1" applyFont="1" applyBorder="1" applyAlignment="1">
      <alignment horizontal="left"/>
    </xf>
    <xf numFmtId="44" fontId="8" fillId="0" borderId="0" xfId="12" applyFont="1"/>
    <xf numFmtId="44" fontId="4" fillId="0" borderId="3" xfId="12" applyFont="1" applyBorder="1"/>
    <xf numFmtId="4" fontId="24" fillId="0" borderId="0" xfId="4" applyNumberFormat="1" applyFont="1" applyBorder="1" applyAlignment="1">
      <alignment horizontal="left"/>
    </xf>
    <xf numFmtId="0" fontId="8" fillId="0" borderId="0" xfId="4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0" fontId="13" fillId="0" borderId="0" xfId="1" applyNumberFormat="1" applyFont="1"/>
    <xf numFmtId="164" fontId="13" fillId="0" borderId="3" xfId="0" applyNumberFormat="1" applyFont="1" applyBorder="1"/>
    <xf numFmtId="0" fontId="25" fillId="0" borderId="11" xfId="0" applyFont="1" applyBorder="1"/>
    <xf numFmtId="168" fontId="25" fillId="0" borderId="12" xfId="1" applyNumberFormat="1" applyFont="1" applyBorder="1"/>
    <xf numFmtId="168" fontId="25" fillId="0" borderId="13" xfId="1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Continuous"/>
    </xf>
    <xf numFmtId="0" fontId="13" fillId="0" borderId="18" xfId="0" applyFont="1" applyBorder="1"/>
    <xf numFmtId="164" fontId="13" fillId="0" borderId="0" xfId="0" applyNumberFormat="1" applyFont="1" applyBorder="1"/>
    <xf numFmtId="170" fontId="13" fillId="0" borderId="0" xfId="1" applyNumberFormat="1" applyFont="1" applyBorder="1"/>
    <xf numFmtId="0" fontId="13" fillId="0" borderId="25" xfId="0" applyFont="1" applyBorder="1"/>
    <xf numFmtId="0" fontId="13" fillId="0" borderId="26" xfId="0" applyFont="1" applyBorder="1"/>
    <xf numFmtId="170" fontId="13" fillId="0" borderId="26" xfId="1" applyNumberFormat="1" applyFont="1" applyBorder="1"/>
    <xf numFmtId="0" fontId="14" fillId="0" borderId="18" xfId="0" applyFont="1" applyBorder="1" applyAlignment="1">
      <alignment horizontal="centerContinuous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164" fontId="13" fillId="0" borderId="18" xfId="0" applyNumberFormat="1" applyFont="1" applyBorder="1"/>
    <xf numFmtId="164" fontId="13" fillId="0" borderId="24" xfId="0" applyNumberFormat="1" applyFont="1" applyBorder="1"/>
    <xf numFmtId="170" fontId="13" fillId="0" borderId="27" xfId="1" applyNumberFormat="1" applyFont="1" applyBorder="1"/>
    <xf numFmtId="0" fontId="0" fillId="0" borderId="16" xfId="0" applyBorder="1"/>
    <xf numFmtId="0" fontId="0" fillId="0" borderId="18" xfId="0" applyBorder="1"/>
    <xf numFmtId="164" fontId="13" fillId="0" borderId="18" xfId="12" applyNumberFormat="1" applyFont="1" applyBorder="1"/>
    <xf numFmtId="164" fontId="13" fillId="0" borderId="22" xfId="12" applyNumberFormat="1" applyFont="1" applyBorder="1"/>
    <xf numFmtId="164" fontId="13" fillId="0" borderId="29" xfId="12" applyNumberFormat="1" applyFont="1" applyBorder="1"/>
    <xf numFmtId="0" fontId="0" fillId="0" borderId="15" xfId="0" applyBorder="1"/>
    <xf numFmtId="0" fontId="0" fillId="0" borderId="26" xfId="0" applyBorder="1"/>
    <xf numFmtId="10" fontId="8" fillId="0" borderId="0" xfId="2" applyNumberFormat="1" applyFont="1"/>
    <xf numFmtId="0" fontId="14" fillId="0" borderId="20" xfId="0" applyFont="1" applyBorder="1"/>
    <xf numFmtId="170" fontId="13" fillId="0" borderId="18" xfId="0" applyNumberFormat="1" applyFont="1" applyBorder="1"/>
    <xf numFmtId="0" fontId="0" fillId="4" borderId="0" xfId="0" applyFill="1"/>
    <xf numFmtId="0" fontId="0" fillId="0" borderId="0" xfId="0" applyAlignment="1">
      <alignment horizontal="center" wrapText="1"/>
    </xf>
    <xf numFmtId="44" fontId="0" fillId="0" borderId="0" xfId="0" applyNumberFormat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3" fillId="0" borderId="0" xfId="0" quotePrefix="1" applyFont="1"/>
    <xf numFmtId="0" fontId="3" fillId="6" borderId="37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 wrapText="1"/>
    </xf>
    <xf numFmtId="43" fontId="0" fillId="0" borderId="4" xfId="1" applyFont="1" applyBorder="1"/>
    <xf numFmtId="43" fontId="27" fillId="0" borderId="0" xfId="0" applyNumberFormat="1" applyFont="1" applyBorder="1"/>
    <xf numFmtId="0" fontId="0" fillId="0" borderId="1" xfId="0" applyBorder="1" applyAlignment="1">
      <alignment horizontal="left"/>
    </xf>
    <xf numFmtId="43" fontId="0" fillId="0" borderId="36" xfId="1" applyFont="1" applyBorder="1"/>
    <xf numFmtId="43" fontId="0" fillId="0" borderId="8" xfId="1" applyFont="1" applyBorder="1"/>
    <xf numFmtId="43" fontId="0" fillId="0" borderId="1" xfId="0" applyNumberFormat="1" applyBorder="1"/>
    <xf numFmtId="0" fontId="3" fillId="0" borderId="2" xfId="0" applyFont="1" applyBorder="1"/>
    <xf numFmtId="0" fontId="0" fillId="0" borderId="2" xfId="0" applyBorder="1"/>
    <xf numFmtId="4" fontId="28" fillId="0" borderId="0" xfId="1" applyNumberFormat="1" applyFont="1"/>
    <xf numFmtId="0" fontId="28" fillId="0" borderId="0" xfId="0" applyFont="1"/>
    <xf numFmtId="0" fontId="3" fillId="0" borderId="0" xfId="0" applyFont="1"/>
    <xf numFmtId="0" fontId="0" fillId="0" borderId="0" xfId="0" pivotButton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14" fillId="5" borderId="30" xfId="0" applyFont="1" applyFill="1" applyBorder="1"/>
    <xf numFmtId="0" fontId="14" fillId="5" borderId="10" xfId="0" applyFont="1" applyFill="1" applyBorder="1" applyAlignment="1">
      <alignment horizontal="center" wrapText="1"/>
    </xf>
    <xf numFmtId="0" fontId="14" fillId="5" borderId="31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left"/>
    </xf>
    <xf numFmtId="44" fontId="14" fillId="0" borderId="33" xfId="0" applyNumberFormat="1" applyFont="1" applyBorder="1"/>
    <xf numFmtId="44" fontId="14" fillId="0" borderId="34" xfId="0" applyNumberFormat="1" applyFont="1" applyBorder="1"/>
    <xf numFmtId="0" fontId="14" fillId="5" borderId="35" xfId="0" applyFont="1" applyFill="1" applyBorder="1" applyAlignment="1">
      <alignment horizontal="left"/>
    </xf>
    <xf numFmtId="44" fontId="14" fillId="5" borderId="1" xfId="0" applyNumberFormat="1" applyFont="1" applyFill="1" applyBorder="1"/>
    <xf numFmtId="44" fontId="14" fillId="5" borderId="36" xfId="0" applyNumberFormat="1" applyFont="1" applyFill="1" applyBorder="1"/>
    <xf numFmtId="0" fontId="29" fillId="0" borderId="0" xfId="13" applyFont="1" applyFill="1" applyAlignment="1">
      <alignment horizontal="left"/>
    </xf>
    <xf numFmtId="43" fontId="29" fillId="0" borderId="0" xfId="13" applyNumberFormat="1" applyFont="1" applyFill="1"/>
    <xf numFmtId="43" fontId="29" fillId="0" borderId="4" xfId="13" applyNumberFormat="1" applyFont="1" applyFill="1" applyBorder="1"/>
    <xf numFmtId="0" fontId="29" fillId="0" borderId="0" xfId="13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30" fillId="0" borderId="0" xfId="0" applyNumberFormat="1" applyFont="1"/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2" fillId="7" borderId="41" xfId="14" applyBorder="1" applyAlignment="1">
      <alignment horizontal="centerContinuous"/>
    </xf>
    <xf numFmtId="0" fontId="32" fillId="7" borderId="2" xfId="14" applyBorder="1" applyAlignment="1">
      <alignment horizontal="centerContinuous"/>
    </xf>
    <xf numFmtId="0" fontId="32" fillId="7" borderId="42" xfId="14" applyBorder="1" applyAlignment="1">
      <alignment horizontal="centerContinuous"/>
    </xf>
    <xf numFmtId="0" fontId="0" fillId="0" borderId="0" xfId="0" applyNumberFormat="1"/>
    <xf numFmtId="171" fontId="0" fillId="0" borderId="0" xfId="0" applyNumberFormat="1"/>
    <xf numFmtId="43" fontId="29" fillId="0" borderId="0" xfId="1" applyFont="1" applyFill="1"/>
    <xf numFmtId="169" fontId="0" fillId="0" borderId="0" xfId="1" applyNumberFormat="1" applyFont="1"/>
    <xf numFmtId="44" fontId="3" fillId="6" borderId="2" xfId="12" applyNumberFormat="1" applyFont="1" applyFill="1" applyBorder="1"/>
    <xf numFmtId="44" fontId="0" fillId="0" borderId="0" xfId="12" applyFont="1"/>
    <xf numFmtId="44" fontId="0" fillId="0" borderId="38" xfId="12" applyFont="1" applyBorder="1"/>
    <xf numFmtId="44" fontId="33" fillId="8" borderId="40" xfId="12" applyFont="1" applyFill="1" applyBorder="1"/>
    <xf numFmtId="0" fontId="0" fillId="0" borderId="41" xfId="0" applyBorder="1"/>
    <xf numFmtId="10" fontId="0" fillId="0" borderId="42" xfId="0" applyNumberFormat="1" applyBorder="1"/>
    <xf numFmtId="3" fontId="30" fillId="0" borderId="0" xfId="0" applyNumberFormat="1" applyFont="1" applyAlignment="1">
      <alignment horizontal="right" wrapText="1"/>
    </xf>
    <xf numFmtId="0" fontId="14" fillId="5" borderId="30" xfId="0" applyFont="1" applyFill="1" applyBorder="1" applyAlignment="1">
      <alignment vertical="top" wrapText="1"/>
    </xf>
    <xf numFmtId="169" fontId="0" fillId="0" borderId="0" xfId="0" applyNumberFormat="1"/>
    <xf numFmtId="171" fontId="0" fillId="0" borderId="0" xfId="0" applyNumberFormat="1" applyFill="1" applyBorder="1"/>
    <xf numFmtId="4" fontId="30" fillId="4" borderId="0" xfId="0" applyNumberFormat="1" applyFont="1" applyFill="1"/>
    <xf numFmtId="0" fontId="14" fillId="6" borderId="43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 wrapText="1"/>
    </xf>
    <xf numFmtId="0" fontId="14" fillId="6" borderId="45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left"/>
    </xf>
    <xf numFmtId="171" fontId="13" fillId="0" borderId="0" xfId="0" applyNumberFormat="1" applyFont="1" applyFill="1" applyBorder="1"/>
    <xf numFmtId="171" fontId="13" fillId="0" borderId="47" xfId="0" applyNumberFormat="1" applyFont="1" applyBorder="1"/>
    <xf numFmtId="169" fontId="13" fillId="0" borderId="0" xfId="1" applyNumberFormat="1" applyFont="1" applyFill="1" applyBorder="1"/>
    <xf numFmtId="169" fontId="13" fillId="0" borderId="47" xfId="0" applyNumberFormat="1" applyFont="1" applyBorder="1"/>
    <xf numFmtId="0" fontId="14" fillId="6" borderId="48" xfId="0" applyFont="1" applyFill="1" applyBorder="1" applyAlignment="1">
      <alignment horizontal="left"/>
    </xf>
    <xf numFmtId="171" fontId="14" fillId="6" borderId="49" xfId="0" applyNumberFormat="1" applyFont="1" applyFill="1" applyBorder="1"/>
    <xf numFmtId="171" fontId="14" fillId="6" borderId="50" xfId="0" applyNumberFormat="1" applyFont="1" applyFill="1" applyBorder="1"/>
    <xf numFmtId="0" fontId="29" fillId="0" borderId="0" xfId="13" applyFont="1" applyFill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 applyFill="1" applyBorder="1"/>
    <xf numFmtId="0" fontId="35" fillId="6" borderId="37" xfId="0" applyFont="1" applyFill="1" applyBorder="1" applyAlignment="1">
      <alignment horizontal="center"/>
    </xf>
    <xf numFmtId="0" fontId="36" fillId="0" borderId="0" xfId="0" applyFont="1"/>
    <xf numFmtId="171" fontId="37" fillId="0" borderId="0" xfId="12" applyNumberFormat="1" applyFont="1" applyFill="1" applyBorder="1"/>
    <xf numFmtId="169" fontId="36" fillId="0" borderId="0" xfId="1" applyNumberFormat="1" applyFont="1"/>
    <xf numFmtId="171" fontId="36" fillId="0" borderId="3" xfId="0" applyNumberFormat="1" applyFont="1" applyBorder="1"/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171" fontId="36" fillId="0" borderId="0" xfId="0" applyNumberFormat="1" applyFont="1" applyBorder="1"/>
    <xf numFmtId="172" fontId="0" fillId="4" borderId="0" xfId="2" applyNumberFormat="1" applyFont="1" applyFill="1"/>
    <xf numFmtId="164" fontId="0" fillId="0" borderId="0" xfId="12" applyNumberFormat="1" applyFont="1"/>
    <xf numFmtId="170" fontId="0" fillId="0" borderId="0" xfId="1" applyNumberFormat="1" applyFont="1"/>
    <xf numFmtId="0" fontId="0" fillId="0" borderId="10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>
      <alignment horizontal="centerContinuous"/>
    </xf>
    <xf numFmtId="44" fontId="0" fillId="0" borderId="0" xfId="12" applyNumberFormat="1" applyFont="1"/>
    <xf numFmtId="43" fontId="0" fillId="0" borderId="0" xfId="1" applyNumberFormat="1" applyFont="1"/>
    <xf numFmtId="44" fontId="0" fillId="0" borderId="10" xfId="0" applyNumberFormat="1" applyBorder="1"/>
    <xf numFmtId="44" fontId="0" fillId="0" borderId="0" xfId="1" applyNumberFormat="1" applyFont="1"/>
    <xf numFmtId="44" fontId="0" fillId="0" borderId="3" xfId="0" applyNumberFormat="1" applyBorder="1"/>
    <xf numFmtId="164" fontId="0" fillId="0" borderId="10" xfId="12" applyNumberFormat="1" applyFont="1" applyBorder="1"/>
    <xf numFmtId="9" fontId="13" fillId="0" borderId="27" xfId="2" applyFont="1" applyBorder="1"/>
    <xf numFmtId="37" fontId="19" fillId="0" borderId="0" xfId="11" applyNumberFormat="1" applyFont="1" applyAlignment="1">
      <alignment horizontal="left"/>
    </xf>
    <xf numFmtId="0" fontId="22" fillId="0" borderId="0" xfId="11" applyFont="1"/>
    <xf numFmtId="10" fontId="22" fillId="0" borderId="0" xfId="11" applyNumberFormat="1" applyFont="1"/>
    <xf numFmtId="171" fontId="22" fillId="0" borderId="0" xfId="11" applyNumberFormat="1" applyFont="1"/>
    <xf numFmtId="171" fontId="22" fillId="0" borderId="0" xfId="12" applyNumberFormat="1" applyFont="1"/>
    <xf numFmtId="9" fontId="22" fillId="0" borderId="0" xfId="2" applyNumberFormat="1" applyFont="1"/>
    <xf numFmtId="0" fontId="22" fillId="0" borderId="0" xfId="11" applyFont="1" applyAlignment="1">
      <alignment horizontal="left" indent="1"/>
    </xf>
    <xf numFmtId="0" fontId="21" fillId="0" borderId="0" xfId="11" applyFont="1"/>
    <xf numFmtId="169" fontId="21" fillId="0" borderId="0" xfId="11" applyNumberFormat="1" applyFont="1"/>
    <xf numFmtId="10" fontId="0" fillId="0" borderId="0" xfId="2" applyNumberFormat="1" applyFont="1"/>
    <xf numFmtId="44" fontId="8" fillId="0" borderId="0" xfId="4" applyNumberFormat="1"/>
    <xf numFmtId="0" fontId="25" fillId="0" borderId="17" xfId="8" applyFont="1" applyBorder="1" applyAlignment="1">
      <alignment horizontal="left"/>
    </xf>
    <xf numFmtId="0" fontId="25" fillId="0" borderId="0" xfId="8" applyFont="1" applyBorder="1" applyAlignment="1">
      <alignment horizontal="left"/>
    </xf>
    <xf numFmtId="0" fontId="25" fillId="0" borderId="18" xfId="8" applyFont="1" applyBorder="1"/>
    <xf numFmtId="0" fontId="25" fillId="0" borderId="0" xfId="8" applyFont="1"/>
    <xf numFmtId="164" fontId="25" fillId="0" borderId="0" xfId="9" applyNumberFormat="1" applyFont="1" applyBorder="1"/>
    <xf numFmtId="164" fontId="25" fillId="0" borderId="18" xfId="9" applyNumberFormat="1" applyFont="1" applyBorder="1"/>
    <xf numFmtId="0" fontId="25" fillId="0" borderId="0" xfId="8" applyFont="1" applyAlignment="1">
      <alignment horizontal="centerContinuous"/>
    </xf>
    <xf numFmtId="164" fontId="13" fillId="9" borderId="18" xfId="9" applyNumberFormat="1" applyFont="1" applyFill="1" applyBorder="1"/>
    <xf numFmtId="173" fontId="13" fillId="9" borderId="18" xfId="9" applyNumberFormat="1" applyFont="1" applyFill="1" applyBorder="1"/>
  </cellXfs>
  <cellStyles count="16">
    <cellStyle name="Bad" xfId="13" builtinId="27"/>
    <cellStyle name="Calculation" xfId="14" builtinId="22"/>
    <cellStyle name="Comma" xfId="1" builtinId="3"/>
    <cellStyle name="Comma 2" xfId="7"/>
    <cellStyle name="Currency" xfId="12" builtinId="4"/>
    <cellStyle name="Currency 2" xfId="9"/>
    <cellStyle name="Normal" xfId="0" builtinId="0"/>
    <cellStyle name="Normal 2" xfId="4"/>
    <cellStyle name="Normal 2 2" xfId="8"/>
    <cellStyle name="Normal 3" xfId="3"/>
    <cellStyle name="Normal 4" xfId="6"/>
    <cellStyle name="Normal 5" xfId="11"/>
    <cellStyle name="Normal 53" xfId="15"/>
    <cellStyle name="Percent" xfId="2" builtinId="5"/>
    <cellStyle name="Percent 2" xfId="5"/>
    <cellStyle name="Percent 2 2" xfId="10"/>
  </cellStyles>
  <dxfs count="360"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alignment wrapText="1" readingOrder="0"/>
    </dxf>
    <dxf>
      <alignment horizontal="center" readingOrder="0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99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679450</xdr:colOff>
      <xdr:row>23</xdr:row>
      <xdr:rowOff>19050</xdr:rowOff>
    </xdr:from>
    <xdr:to>
      <xdr:col>7</xdr:col>
      <xdr:colOff>510574</xdr:colOff>
      <xdr:row>41</xdr:row>
      <xdr:rowOff>9112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4075" y="4038600"/>
          <a:ext cx="4584099" cy="34190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552450</xdr:colOff>
      <xdr:row>11</xdr:row>
      <xdr:rowOff>63500</xdr:rowOff>
    </xdr:from>
    <xdr:to>
      <xdr:col>3</xdr:col>
      <xdr:colOff>558800</xdr:colOff>
      <xdr:row>13</xdr:row>
      <xdr:rowOff>152400</xdr:rowOff>
    </xdr:to>
    <xdr:cxnSp macro="">
      <xdr:nvCxnSpPr>
        <xdr:cNvPr id="3" name="Straight Arrow Connector 2"/>
        <xdr:cNvCxnSpPr/>
      </xdr:nvCxnSpPr>
      <xdr:spPr>
        <a:xfrm flipV="1">
          <a:off x="4067175" y="1787525"/>
          <a:ext cx="6350" cy="479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13</xdr:col>
      <xdr:colOff>28575</xdr:colOff>
      <xdr:row>19</xdr:row>
      <xdr:rowOff>152400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495550"/>
          <a:ext cx="6134100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9</xdr:row>
      <xdr:rowOff>0</xdr:rowOff>
    </xdr:from>
    <xdr:to>
      <xdr:col>21</xdr:col>
      <xdr:colOff>198850</xdr:colOff>
      <xdr:row>24</xdr:row>
      <xdr:rowOff>152023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1524000"/>
          <a:ext cx="9400000" cy="30190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22</xdr:col>
      <xdr:colOff>360686</xdr:colOff>
      <xdr:row>53</xdr:row>
      <xdr:rowOff>37476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875" y="5162550"/>
          <a:ext cx="10114286" cy="49904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12</xdr:col>
      <xdr:colOff>190019</xdr:colOff>
      <xdr:row>67</xdr:row>
      <xdr:rowOff>142571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6875" y="10496550"/>
          <a:ext cx="3847619" cy="242857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ee, Susan" refreshedDate="45008.585550925927" createdVersion="6" refreshedVersion="6" minRefreshableVersion="3" recordCount="438">
  <cacheSource type="worksheet">
    <worksheetSource ref="A4:K442" sheet="Source Data - Act v Plan by WBS"/>
  </cacheSource>
  <cacheFields count="9">
    <cacheField name="WBS" numFmtId="0">
      <sharedItems/>
    </cacheField>
    <cacheField name="PB - WBS Level 3" numFmtId="0">
      <sharedItems count="438">
        <s v="W_C.10002.02.02.01: East Bldg Retirement"/>
        <s v="W_C.10002.02.02.02: PSE HQ Refresh Phase 2"/>
        <s v="W_C.10002.03.01.03: South King Complex"/>
        <s v="W_C.10002.04.03.01: New Headquarters TI"/>
        <s v="W_C.10002.06.01.01: Snoqualmie Technology Center"/>
        <s v="W_C.10002.07.01.01: Puyallup Serv Center Rebuild"/>
        <s v="W_C.10002.08.02.01: Operational Training Center"/>
        <s v="W_C.10002.09.01.01: BUCC Relocation"/>
        <s v="W_C.10002.10.01.01: Site Devlpmnt Feasibility and Mastr Plan"/>
        <s v="W_C.10003.01.01.01: Furniture and Fixture Installation"/>
        <s v="W_C.10003.01.03.01: Unplanned Facility Improvements"/>
        <s v="W_C.10004.01.01.02: Wireless PCS Construction"/>
        <s v="W_C.10005.01.02.01: Security System Installations Electric"/>
        <s v="W_C.10005.01.02.02: WECC Mitigation Security Installations"/>
        <s v="W_C.10006.01.01.01: Fleet Capital Purchase"/>
        <s v="W_C.10006.01.01.03: Fleet Radio Upgrade"/>
        <s v="W_C.10009.01.01.01: Storm OH Replacement Dist"/>
        <s v="W_C.10009.01.01.02: Storm OH Replacement Trans"/>
        <s v="W_C.10010.02.01.01: Shuffleton Reloc at Kent Serv Center"/>
        <s v="W_C.10010.06.01.01: Shuffleton Reloc at Todd Road"/>
        <s v="W_C.20001.01.01.01: Transformer Retirement and Disposal"/>
        <s v="W_C.40001.01.01.01: Success Factors Application"/>
        <s v="W_F.10002.01.02.03: Endur APM Upgrade"/>
        <s v="W_F.10002.01.02.04: PCI Upgrade for EIM Changes"/>
        <s v="W_F.10002.01.14.01: Data Governance Foundation"/>
        <s v="W_F.10002.01.15.01: Cust GEN Integration Pwrclerk to PSE Sys"/>
        <s v="W_F.10002.01.16.01: DER Cir Enable - Virtual PowerPlant CEIP"/>
        <s v="W_F.10002.01.17.01: iDOT Replacement"/>
        <s v="W_F.10002.03.02.01: Field Resources Call Out Tool"/>
        <s v="W_F.10002.04.01.01: Travel mgmt.-Exp Rpting and Elect pmt"/>
        <s v="W_F.10002.04.02.01: HANA 2.0 and HW Upgrade            "/>
        <s v="W_F.10002.05.01.01: Automate GEN RFP Review Process Modeling"/>
        <s v="W_F.10002.05.02.01: Check Payment Processing"/>
        <s v="W_F.10002.06.01.01: eGain Replacement"/>
        <s v="W_F.10002.06.02.01: Customer Experience Enhancement Program"/>
        <s v="W_F.10002.06.03.01: CLSD Data POI Operations Program"/>
        <s v="W_F.10002.07.01.01: IMPACT"/>
        <s v="W_F.10002.09.01.01: Power Plan Upgrade"/>
        <s v="W_F.10003.02.01.07: Data Center Hardware Refresh"/>
        <s v="W_F.10003.03.02.01: Transport Network Modernization"/>
        <s v="W_F.10007.02.01.02: IT Operational Program"/>
        <s v="W_F.10013.09.01.02: PSE ITSR"/>
        <s v="W_F.10013.09.01.03: PSE ITSR"/>
        <s v="W_F.10015.02.03.01: EMS 3X Upgrade"/>
        <s v="W_F.10015.02.06.02: Gas Control Upgrade 2022"/>
        <s v="W_F.10015.02.14.02: OSI Soft PI Historian"/>
        <s v="W_F.10015.02.14.03: Elec OSI PI Asst Framewrk PI Vision Migr"/>
        <s v="W_F.10015.02.17.02: ADMS SCADA"/>
        <s v="W_F.10015.02.18.02: Geospacial Load Forecasting"/>
        <s v="W_F.10015.02.20.01: Annual Market Changes to Support CAISO"/>
        <s v="W_F.10015.02.22.01: ESO Video Wall Replacement"/>
        <s v="W_F.10015.04.02.03: MDMS 7.5 Upgrade"/>
        <s v="W_F.10015.04.02.05: MDMS DB Partitioning Truncation"/>
        <s v="W_F.10015.05.03.01: Mitigate 2008"/>
        <s v="W_F.10015.05.04.01: Quality Framework"/>
        <s v="W_F.10015.06.05.01: SAP HR Support Packs"/>
        <s v="W_F.10015.06.05.02: SAP HR Support Packs 2022-2026"/>
        <s v="W_F.10015.06.20.01: SAP Transport Tool Upgrade"/>
        <s v="W_F.10015.06.24.01: POI HANA Memory Uplift (MAR)"/>
        <s v="W_F.10015.06.25.01: SAP Annual Upgrades 2022-2026"/>
        <s v="W_F.10015.06.26.01: Enhanced SAP Monitoring Alerting BPM"/>
        <s v="W_F.10015.08.03.05: IAM Stability and Enhancement"/>
        <s v="W_F.10015.08.09.06: PSE.com Outage Notification Engine"/>
        <s v="W_F.10015.08.11.05: ServiceNow 2021"/>
        <s v="W_F.10015.08.11.06: ServiceNow Improvements 2022-2026"/>
        <s v="W_F.10015.08.13.03: UI Enhancements Phase 3"/>
        <s v="W_F.10015.08.16.01: Cassandra Upgrade 2021"/>
        <s v="W_F.10015.08.18.01: Microservices NET Core Upgrade"/>
        <s v="W_F.10015.08.19.01: Terraform Upgrade"/>
        <s v="W_F.10015.11.01.01: Enterprise Application Data Archiving"/>
        <s v="W_F.10015.11.02.01: Command Center Upgrade 2021"/>
        <s v="W_F.10015.11.03.01: Gas Control Workstations Upgrade"/>
        <s v="W_F.10015.11.06.01: Migration to Dynatrace SaaS"/>
        <s v="W_F.10015.12.01.01: MIGRATE FROM TABLEAU TO POWER BI"/>
        <s v="W_F.10016.01.01.02: IT Enterprise Architecture System"/>
        <s v="W_F.10017.02.01.02: CLSD CLSD Annual Comm Room Refresh"/>
        <s v="W_F.10017.02.01.03: Annual Comm Room Tech Refresh 2022-26"/>
        <s v="W_F.10017.02.02.02: Annual Data Center Refresh and Growth"/>
        <s v="W_F.10017.02.02.03: Annual Data Center Tech Refresh 2022-26"/>
        <s v="W_F.10017.02.04.02: Enterpr Monitoring Standardization 2022"/>
        <s v="W_F.10017.03.01.03: PC and TB Refresh New"/>
        <s v="W_F.10017.03.05.02: Annual End User PC Refresh 2022-2026"/>
        <s v="W_F.10017.04.03.02: eWFM Back Office Component"/>
        <s v="W_F.10017.05.03.02: Annual MS Enterprise Agreement Growth"/>
        <s v="W_F.10017.05.04.01: Workplace Mobility Program"/>
        <s v="W_F.10017.05.07.01: DC Battery Management"/>
        <s v="W_F.10017.05.08.01: Underground Fuel Tank Removal"/>
        <s v="W_F.10017.07.01.02: OpenText Migrations"/>
        <s v="W_F.10017.07.01.03: IPP SharePoint Upgrade NERC"/>
        <s v="W_F.10017.08.02.02: CLSD Annual Scada Refresh New"/>
        <s v="W_F.10017.08.03.01: Enhanced Substation Communications"/>
        <s v="W_F.10017.08.07.01: 700MHz Spectrum"/>
        <s v="W_F.10017.09.04.07: SAP Security Roles Optimization"/>
        <s v="W_F.10017.09.08.01: DDoS Protection (Layer 7)"/>
        <s v="W_F.10017.10.06.04: Annual Server Growth 2022-2026"/>
        <s v="W_F.10017.10.09.02: Hyper Converged Infra Refresh"/>
        <s v="W_F.10017.10.14.01: Windows 10 Base Image"/>
        <s v="W_F.10017.10.16.01: CheckPoint Capsule Cloud Replacement"/>
        <s v="W_F.10017.10.19.01: Data Center UPS Battery Replacement"/>
        <s v="W_F.10017.11.01.03: Annual Strge Bckup Growth Refresh New"/>
        <s v="W_F.10017.11.01.04: Annual Storage Growth 2022-2026"/>
        <s v="W_F.10017.12.01.02: CLSD Annual Fiber Refresh New"/>
        <s v="W_F.10017.12.01.03: Annual Fiber Refresh Repair 2022-26"/>
        <s v="W_F.10017.12.05.02: Annual RF Refresh New"/>
        <s v="W_F.10017.12.05.03: Annual Telecom RF Refresh 2022-26"/>
        <s v="W_F.10017.12.06.03: Annual Telecom Equip Growth Tool 2022-26"/>
        <s v="W_F.10017.12.08.01: Annual Telecom Netwrk Refrh n Grwth"/>
        <s v="W_F.10017.12.08.04: Annual Telecom Network Refresh 2022-2026"/>
        <s v="W_F.10017.12.23.03: Network Refresh n Growth New"/>
        <s v="W_F.10017.12.23.04: Annual Network Tech Refresh 2022-2026"/>
        <s v="W_F.10017.12.25.02: Annual Audio Visual Tech Refresh 2022-26"/>
        <s v="W_F.10017.12.26.01: Generation Sites"/>
        <s v="W_F.10017.12.26.02: Generation Infrastructure Prgrm 2022-26"/>
        <s v="W_F.10017.12.27.01: Move of Telecom Core"/>
        <s v="W_F.10017.13.03.02: VOIP Deployment and Refresh"/>
        <s v="W_F.10017.13.04.01: Corp SIP trunking expansion"/>
        <s v="W_F.10017.13.05.01: ACTR 2021"/>
        <s v="W_F.10017.13.06.01: Voice Recording Tech Refresh"/>
        <s v="W_F.10017.15.01.03: Automation API Platform"/>
        <s v="W_F.10018.02.02.01: IT Client Software Growth"/>
        <s v="W_F.10018.02.03.01: Opex to Capex Maint"/>
        <s v="c"/>
        <s v="W_F.10025.01.04.01: Physical Security Roadmap"/>
        <s v="W_F.10025.01.04.02: Cyber Audit Web Server Upgrade"/>
        <s v="W_F.10025.02.01.06: CDC Extension &amp; Efficiency"/>
        <s v="W_F.10026.01.01.01: Robotic Process Automation"/>
        <s v="W_F.10026.01.01.02: Workspace Reservation System"/>
        <s v="W_K.10001.01.01.01: LBK Hydro Plant Work"/>
        <s v="W_K.10001.01.01.02: LBK Small Tools"/>
        <s v="W_K.10001.01.02.01: UBK Hydro Plant Work"/>
        <s v="W_K.10001.01.02.02: UBK Small Tools"/>
        <s v="W_K.10002.01.01.01: LBK Clubhouse Remodel Visitor Center"/>
        <s v="W_K.10002.01.01.06: LBK FSC Guide Net Replacement"/>
        <s v="W_K.10002.01.02.06: UBK U2 Runner Replacement"/>
        <s v="W_K.10003.01.01.01: LBK Crest Improvement and Floodwall"/>
        <s v="W_K.10003.01.01.03: LBK Hatchery Raceway Project"/>
        <s v="W_K.10003.02.01.01: UBK Phase II Spillway Stabilization"/>
        <s v="W_K.10003.02.01.02: UBK W Pass Dike Instrmt n Stability Eval"/>
        <s v="W_K.10004.01.01.01: COL 500Kv Trans Line"/>
        <s v="W_K.10006.01.01.01: ENC Small Tools"/>
        <s v="W_K.10006.01.01.02: ENC Thermal Plant Work"/>
        <s v="W_K.10007.01.01.02: FERN Thermal Plant Work"/>
        <s v="W_K.10008.01.01.03: FREDDY 1 Thermal Plant Work"/>
        <s v="W_K.10009.01.01.03: FRA Small Tools"/>
        <s v="W_K.10009.01.01.04: FRA Thermal Plant Work"/>
        <s v="W_K.10010.01.01.03: FRE Small Tools"/>
        <s v="W_K.10010.01.01.04: FRE Thermal Plant Work"/>
        <s v="W_K.10012.01.01.10: BPCC Faster Pmt Posting"/>
        <s v="W_K.10012.01.02.18: CLSD Data Analytics 2.0"/>
        <s v="W_K.10012.01.05.04: CLSD IWM Work Management System"/>
        <s v="W_K.10012.01.05.11: IWM EFR Electric First Response"/>
        <s v="W_K.10013.01.01.01: GLD Small Tools"/>
        <s v="W_K.10013.01.01.02: GLD Thermal Plant Work"/>
        <s v="W_K.10014.01.01.02: GLD CT Major Inspection"/>
        <s v="W_K.10015.01.01.01: HPK Ongoing UOP Replacements"/>
        <s v="W_K.10015.01.01.02: HPK Small Tools"/>
        <s v="W_K.10015.01.01.03: HPK Wind Plant Work"/>
        <s v="W_K.10016.01.01.01: JP Operational Capital"/>
        <s v="W_K.10017.01.01.01: BKR Aquatic Riparian Habitat"/>
        <s v="W_K.10017.01.01.02: BKR Develop Recreation Capital"/>
        <s v="W_K.10017.01.01.03: BKR Elk Habitat"/>
        <s v="W_K.10017.01.02.01: HPK Eagle Conservation Plan"/>
        <s v="W_K.10017.01.03.01: LSR1 Eagle Conservation Plan"/>
        <s v="W_K.10018.01.01.01: LSR1 Ongoing Uop Replacements"/>
        <s v="W_K.10018.01.01.02: LSR1 Small Tools"/>
        <s v="W_K.10019.01.01.01: MTF Small Tools"/>
        <s v="W_K.10019.01.01.02: MTF Thermal Plant Work"/>
        <s v="W_K.10020.01.01.03: MTF CT Major Inspection"/>
        <s v="W_K.10021.01.01.01: SNO Hydro Plant Work"/>
        <s v="W_K.10021.01.01.02: SNO Small Tools"/>
        <s v="W_K.10022.01.01.04: SNO U5 Erosion Repair"/>
        <s v="W_K.10023.01.01.01: SMS Small Tools"/>
        <s v="W_K.10023.01.01.02: SMS Thermal Plant Work"/>
        <s v="W_K.10025.01.02.01: LNG 1 Mile Pipe Connector"/>
        <s v="W_K.10025.01.02.02: LNG 4 Mile Pipe To Plant"/>
        <s v="W_K.10025.01.02.03: LNG Clover Creek Limit Station Modi"/>
        <s v="W_K.10025.01.02.06: LNG Golden Givens New Limit Station"/>
        <s v="W_K.10025.01.03.01: LNG IT Business Enablement"/>
        <s v="W_K.10026.01.01.03: WHH Small Tools"/>
        <s v="W_K.10026.01.01.04: WHH Thermal Plant Work"/>
        <s v="W_K.10028.01.01.01: WLD Small Tools"/>
        <s v="W_K.10028.01.01.03: WLD Wind Plant Work"/>
        <s v="W_K.10028.01.01.04: WLD Ongoing UOP Replacements"/>
        <s v="W_K.10038.01.01.01: Cust Sited Energy Storage Demos CEIP"/>
        <s v="W_R.10004.01.01.01: C Franchises"/>
        <s v="W_R.10005.01.01.01: E Eastside 230Kv Subs Richards Creek"/>
        <s v="W_R.10005.01.01.02: E Eastside 230Kv Subs Talbot Hill"/>
        <s v="W_R.10005.01.01.04: E Eastside 230Kv Subs Rose Hill"/>
        <s v="W_R.10005.01.01.07: E Eastside 230Kv Tlines"/>
        <s v="W_R.10005.01.01.08: E Talbot Hill Paccar Reconductor"/>
        <s v="W_R.10006.01.01.03: E Substation SCADA CEIP"/>
        <s v="W_R.10006.01.01.04: E Trans Automation"/>
        <s v="W_R.10006.01.01.07: E Electric System Modeling"/>
        <s v="W_R.10007.02.01.02: E Bellingham Substation Rebuild Sub"/>
        <s v="W_R.10007.06.01.01: E 5 Yr Electric Refundable CIAC"/>
        <s v="W_R.10007.07.01.01: E Customer Reimbursed"/>
        <s v="W_R.10007.08.01.01: E OH UG Commercial Services"/>
        <s v="W_R.10007.08.02.01: E OH UG Residential Services"/>
        <s v="W_R.10007.08.02.02: E UG Residential Services In Plats"/>
        <s v="W_R.10007.09.01.01: E Commercial Line Extension"/>
        <s v="W_R.10007.09.02.01: E Multi Family Line Extension"/>
        <s v="W_R.10007.09.03.02: E Plats Line Extension"/>
        <s v="W_R.10007.09.04.01: E Single Family Line Extension"/>
        <s v="W_R.10007.12.01.01: E Microsoft Campus Rebuild"/>
        <s v="W_R.10007.12.03.01: E Customer Reimbursed Major Projects"/>
        <s v="W_R.10008.01.01.01: E Conversions Sched 73 Cust Driven"/>
        <s v="W_R.10008.01.01.02: E OH UG Reloc - Removal Cust Driven Dist"/>
        <s v="W_R.10008.02.01.01: E Franchises"/>
        <s v="W_R.10008.03.01.01: E Conversions Sched 74 PI Driven"/>
        <s v="W_R.10008.03.01.03: E OH UG Rel PI Driven NonReimb Dist"/>
        <s v="W_R.10008.03.01.04: E OH UG Rel PI Driven Reimburse Dist"/>
        <s v="W_R.10008.03.01.05: E PI Driven Relocations Trans"/>
        <s v="W_R.10008.03.01.13: E Elec Facility Replacement Trans"/>
        <s v="W_R.10008.03.01.14: E Sound Transit Reimburse"/>
        <s v="W_R.10008.05.01.01: E Sound Transit Dist"/>
        <s v="W_R.10008.05.01.02: E Sound Transit East Link Dist"/>
        <s v="W_R.10008.07.01.01: E WSDOT Clr Zone Pole Prog Dist"/>
        <s v="W_R.10008.07.02.01: E King County Clr Zone Pole Prog Dist"/>
        <s v="W_R.10009.01.01.01: E BPA 3rd AC Transmission Intertie Work"/>
        <s v="W_R.10009.02.01.02: E Central Bellevue Dist Growth Feeder"/>
        <s v="W_R.10009.02.01.03: E Central Bellevue Dist Rel Feeder"/>
        <s v="W_R.10009.04.01.02: E Damage Claims Cap Writeoff"/>
        <s v="W_R.10009.05.01.01: E Emergency NonOutage OH Repl Dist"/>
        <s v="W_R.10009.05.01.02: E Emergency NonOutage OH Repl Trans"/>
        <s v="W_R.10009.05.01.03: E Emergency NonOutage UG Repl Dist"/>
        <s v="W_R.10009.05.02.01: E Emergency OH Replacement Trans"/>
        <s v="W_R.10009.05.02.02: E Emergency Outage OH Replacement Dist"/>
        <s v="W_R.10009.05.02.03: E Emergency Outage UG Replacement Dist"/>
        <s v="W_R.10009.05.02.04: E Unplanned OH Distribution Abnormals"/>
        <s v="W_R.10009.05.02.05: E Unplanned UG Distribution Abnormals"/>
        <s v="W_R.10009.07.01.01: E OH System Capacity New Dist"/>
        <s v="W_R.10009.07.01.03: E UG System Capacity New Dist"/>
        <s v="W_R.10009.07.03.01: E OH UG System Improv Opport New Dist"/>
        <s v="W_R.10009.08.01.02: E UG Cable Remediation Dist"/>
        <s v="W_R.10009.08.01.07: E UG Cable Remediation Progr IPM"/>
        <s v="W_R.10009.08.02.01: E Bellingham Subs"/>
        <s v="W_R.10009.08.02.03: E North Bend Subs Rebuild Subs"/>
        <s v="W_R.10009.08.02.05: E OH Clearance Alley Syst Dist"/>
        <s v="W_R.10009.08.02.07: E OH Sys Rel Upgrades Outage Dist"/>
        <s v="W_R.10009.08.02.09: E OH Syst Rel Upgrades Rebuild Dist"/>
        <s v="W_R.10009.08.02.10: E OH Syst Rel Upgrades UG Convers Dist"/>
        <s v="W_R.10009.08.02.12: E OH Syst Rel Upgr Reclosers Dist"/>
        <s v="W_R.10009.08.02.13: E UG Sys Rel Upgr Pm Switch Dist"/>
        <s v="W_R.10009.08.02.14: E OH Syst Rel Upgr Tree WirE Dist"/>
        <s v="W_R.10009.08.02.15: E OH Syst Rel Upgr Fusesaver Dist"/>
        <s v="W_R.10009.08.02.17: E OH System Capacity Upgrade Dist"/>
        <s v="W_R.10009.08.02.18: E OH Sys Capacity Upgrades Uprates Trans"/>
        <s v="W_R.10009.08.02.19: E OH System Reliability Upgrades Trans"/>
        <s v="W_R.10009.08.02.20: E OH Transformer PCB Remediation"/>
        <s v="W_R.10009.08.02.22: E 6 Copper Open Wire 2nd Repl Dist"/>
        <s v="W_R.10009.08.02.23: E Project Initiation"/>
        <s v="W_R.10009.08.02.24: E Sedro Mar Pt 230 Remediate Underbuild"/>
        <s v="W_R.10009.08.02.25: E UG Syst Rel Upgrades Dist"/>
        <s v="W_R.10009.08.02.28: E UG System Capacity Upgrade Dist"/>
        <s v="W_R.10009.08.03.01: E Fish And Wildlife Program Dist"/>
        <s v="W_R.10009.08.05.02: E Emergent Pole Replacement Dist"/>
        <s v="W_R.10009.08.05.03: E Emergent Pole Replacement Trans"/>
        <s v="W_R.10009.08.05.04: E Pole Replacement Due To Joint Use"/>
        <s v="W_R.10009.08.05.05: E Pole Replacement Plan Dist"/>
        <s v="W_R.10009.08.05.07: E Pole Replacement Plan Trans"/>
        <s v="W_R.10009.08.05.16: E Pole Inspection and Restoration Dist"/>
        <s v="W_R.10009.08.05.17: E Pole Inspection and Restoration Trans"/>
        <s v="W_R.10009.08.06.01: E Root Cause Analysis"/>
        <s v="W_R.10009.09.01.02: E Emergent Major Projects Trans"/>
        <s v="W_R.10009.12.01.01: C AMI Network Installations Gen Plant"/>
        <s v="W_R.10009.12.01.03: E AMI Netwrk Installtion TransDist"/>
        <s v="W_R.10009.12.01.04: E AMI Electric Meter Deployment"/>
        <s v="W_R.10009.12.01.05: G AMI Gas Module Deployment"/>
        <s v="W_R.10009.12.01.09: G Opt Out AMI to NCM Capital Exch"/>
        <s v="W_R.10009.12.02.04: E Conservation Voltage Reduction"/>
        <s v="W_R.10009.12.03.01: E Distribution Automation Dist"/>
        <s v="W_R.10009.12.03.04: E Network and Automate Grid"/>
        <s v="W_R.10009.14.01.01: E Substation Replacement Battery Dist"/>
        <s v="W_R.10009.14.01.02: E Substation Replacement Battery Trans"/>
        <s v="W_R.10009.14.03.01: E Subs Repl Electron Mech Relays Dist"/>
        <s v="W_R.10009.14.03.03: E Purchase PAC Engineering Software"/>
        <s v="W_R.10009.14.04.01: E Substation Replacement SpcC Dist"/>
        <s v="W_R.10009.14.05.02: E Emergent Substation Replacement Dist"/>
        <s v="W_R.10009.14.05.03: E Emergent Substation Replacement Trans"/>
        <s v="W_R.10009.14.05.05: E Subs Replacement Circuit Switcher Dist"/>
        <s v="W_R.10009.14.05.06: E Subs Replacement Dist"/>
        <s v="W_R.10009.14.05.07: E Subs Replacement Fuses Dist"/>
        <s v="W_R.10009.14.05.10: E Subs Replacement Transfer Trip Dist"/>
        <s v="W_R.10009.14.05.11: E Subs Replacement Vegetation Management"/>
        <s v="W_R.10009.14.05.15: E Subs CAP Transient Security Issues Dis"/>
        <s v="W_R.10009.14.06.01: E Subs Replacement Transformers Dist"/>
        <s v="W_R.10009.14.07.01: E Subs Replacement Breaker Replcmt Trans"/>
        <s v="W_R.10009.17.01.01: E Mazama Pcket Gopher Habitat Mitigation"/>
        <s v="W_R.10011.01.01.02: G ERX Pilot Dist"/>
        <s v="W_R.10011.01.01.03: G Gas System Monitoring Equip Replc"/>
        <s v="W_R.10011.01.01.04: G Gauges Sems Dist"/>
        <s v="W_R.10011.01.01.07: G Williams Pipeline Equipment Upgrades"/>
        <s v="W_R.10011.01.01.10: G Service Replacements CBP"/>
        <s v="W_R.10012.01.01.01: G Altered Modified Comm Ind Mains"/>
        <s v="W_R.10012.01.01.02: G Altered Modified Comm Ind Service"/>
        <s v="W_R.10012.01.02.01: G Altered Modified Residential Mains"/>
        <s v="W_R.10012.01.02.02: G Altered Modified Residential Services"/>
        <s v="W_R.10012.02.01.01: G 5 Yr Gas Refundable CIAC"/>
        <s v="W_R.10012.03.01.01: G Commercial Industrial Mains"/>
        <s v="W_R.10012.03.02.01: G Multi Family Mains"/>
        <s v="W_R.10012.03.03.01: G Plats Mains"/>
        <s v="W_R.10012.03.03.02: G Residential Mains"/>
        <s v="W_R.10012.04.01.01: G Commercial Industrial Service"/>
        <s v="W_R.10012.04.02.01: G Multi Family Service"/>
        <s v="W_R.10012.04.03.02: G Residential Services"/>
        <s v="W_R.10012.04.03.03: G Residential Services In Plat Dev"/>
        <s v="W_R.10012.06.01.01: G Gas Retire Only No Additions"/>
        <s v="W_R.10013.01.01.01: G Cust Driven Relocate Reimburse Dist"/>
        <s v="W_R.10013.02.01.01: G Franchises"/>
        <s v="W_R.10013.03.01.02: G I5 Tacoma Hov Relocate"/>
        <s v="W_R.10013.04.01.01: G PI Driven Relocate NonReimb Dist"/>
        <s v="W_R.10013.04.01.02: G PI Driven Relocate Reimb Dist"/>
        <s v="W_R.10013.04.01.04: G Sound Transit Reimburse"/>
        <s v="W_R.10013.05.01.01: G Seattle Core Alaskan Way Viaduct"/>
        <s v="W_R.10013.05.01.02: G Seattle Core IP Main"/>
        <s v="W_R.10013.05.01.03: G Seattle Core Other Projects"/>
        <s v="W_R.10013.05.01.05: G Seattle Core Services"/>
        <s v="W_R.10013.06.01.01: G Sound Transit Dist"/>
        <s v="W_R.10013.07.01.01: G Relocate Bulk Dist Like Kind Dist"/>
        <s v="W_R.10013.07.01.02: G System Improv Opport Dist"/>
        <s v="W_R.10014.01.01.01: G Swarr Propane Air Plant Upgrades"/>
        <s v="W_R.10015.01.01.01: G CP System Improv Main With Serv Dist"/>
        <s v="W_R.10015.01.01.02: G CP System Improv Service Dist"/>
        <s v="W_R.10015.01.01.03: G CP System Improv Dist"/>
        <s v="W_R.10015.01.01.05: G Emergent CP System Improv Dist"/>
        <s v="W_R.10015.02.01.02: G Damage Claims Cap Writeoff"/>
        <s v="W_R.10015.03.01.01: G DIMP Brdg Sld Dist Unmaintain Facil"/>
        <s v="W_R.10015.03.02.01: G DIMP Mobile Home Encroachment Program"/>
        <s v="W_R.10015.03.04.01: G DIMP Dupont Pipe Repl Main With Serv"/>
        <s v="W_R.10015.03.04.02: G DIMP Older Stw Repl Main With Service"/>
        <s v="W_R.10015.03.04.03: G DIMP Older Stw Repl Service Only"/>
        <s v="W_R.10015.03.05.04: G DIMP Regulator Station Sidewalk Regs"/>
        <s v="W_R.10015.03.06.01: G DIMP Legacy Cross Bore Inspection Dist"/>
        <s v="W_R.10015.03.06.02: G DIMP Legacy Crss Bore Replacement Dist"/>
        <s v="W_R.10015.03.07.01: G DIMP Continuing Surveillance Other"/>
        <s v="W_R.10015.03.07.03: G DIMP Shallow Serv and Main Repl"/>
        <s v="W_R.10015.03.08.01: G DIMP Buried MSA Serv Or Riser Repl Opp"/>
        <s v="W_R.10015.03.09.01: G DIMP Preventative Maint Facilities"/>
        <s v="W_R.10015.03.09.03: G DIMP Preventive Maint Dist Reg Dist"/>
        <s v="W_R.10015.03.09.05: G DIMP Preventive Maintenance MSA Dist"/>
        <s v="W_R.10015.03.09.07: G DIMP Preventive Maint Farm Taps Dist"/>
        <s v="W_R.10015.03.09.14: G Idle Riser Remediation"/>
        <s v="W_R.10015.03.09.15: G Buried Meter Riser Replacement"/>
        <s v="W_R.10015.03.11.01: G DIMP Guard Posts"/>
        <s v="W_R.10015.04.01.02: G Leak Repair Main"/>
        <s v="W_R.10015.04.01.03: G Leak Repair Service"/>
        <s v="W_R.10015.04.01.04: G Scattered Short Main Rehab"/>
        <s v="W_R.10015.04.01.05: G Service Replacement Misc"/>
        <s v="W_R.10015.04.01.06: G Sewer Cross Bore Repair Main"/>
        <s v="W_R.10015.04.01.07: G Sewer Cross Bore Repair Service"/>
        <s v="W_R.10015.04.01.08: G Gas Work Release Main"/>
        <s v="W_R.10015.04.01.09: G Gas Work Release Service"/>
        <s v="W_R.10015.04.01.12: G Nonhaz Main Repair Methane PRP"/>
        <s v="W_R.10015.04.01.13: G Nonhaz Service Repair Methane PRP"/>
        <s v="W_R.10015.05.01.01: G System Capacity New Dist"/>
        <s v="W_R.10015.06.01.01: G Cold Weather Action Reinforcement"/>
        <s v="W_R.10015.06.01.02: G Odorizer Componant Repl Bulk Dist"/>
        <s v="W_R.10015.06.01.04: G System Capacity Upgrade Bulk Dist"/>
        <s v="W_R.10015.06.01.05: G System Capacity Upgrade Dist"/>
        <s v="W_R.10015.07.01.01: G Gas Lightups Clearing"/>
        <s v="W_R.10019.01.01.02: Bainbridge Trans WIN-MUR Loop"/>
        <s v="W_R.10019.03.01.03: E West Kitsap Reliability Project"/>
        <s v="W_R.10022.01.01.01: E Sumner Valley Area Capacity"/>
        <s v="W_R.10024.01.01.04: G AMR Operations"/>
        <s v="W_R.10024.01.01.05: E AMR Operations"/>
        <s v="W_R.10024.01.01.07: E Opt Out AMR to NCM Capital Exch"/>
        <s v="W_R.10024.01.01.09: G AMI Operations"/>
        <s v="W_R.10024.02.01.01: G NonRegistering Meters Dist"/>
        <s v="W_R.10024.02.01.03: G Periodic Meter Changeout IMO Dist"/>
        <s v="W_R.10024.04.01.01: Click Enhancements"/>
        <s v="W_R.10027.01.01.01: E Moorlnds Vitulli 115Kv Reconduc Trans"/>
        <s v="W_R.10027.02.01.01: E Vernell Substation Feeder"/>
        <s v="W_R.10027.02.01.02: E BelRed Area Capacity Project"/>
        <s v="W_R.10028.01.01.01: E North Bellevue Bank No3"/>
        <s v="W_R.10029.01.01.01: G Tolt Hp 16in Phase 1 Main"/>
        <s v="W_R.10031.01.01.02: E Lake Hills Phantom Lake 115Kv Tline"/>
        <s v="W_R.10031.03.01.01: E Sammamish Juanita 115Kv Tline"/>
        <s v="W_R.10033.01.01.03: E Small Tool Electric Operations Tool"/>
        <s v="W_R.10033.01.01.09: G Small Tool Gas Operations Tool"/>
        <s v="W_R.10033.01.01.19: E Small Tools PTS on CC4587"/>
        <s v="W_R.10033.02.01.01: C Operational Training ISR Program"/>
        <s v="W_R.10035.02.01.01: E Greenwater Tap 55 155Kv Conversion"/>
        <s v="W_R.10036.02.01.01: C Capitalization of Real Estate Permits"/>
        <s v="W_R.10036.03.01.01: C Transient Deterrent"/>
        <s v="W_R.10037.01.01.01: E Removal Cost Meters"/>
        <s v="W_R.10037.01.01.06: G Removal Cost Meters"/>
        <s v="W_R.10039.02.01.01: E Buckley Substation Feeder"/>
        <s v="W_R.10039.02.01.02: E Buckley Substation Sub"/>
        <s v="W_R.10039.02.01.03: E Electr Enum 55Kv 115Kv Sub Electr Hght"/>
        <s v="W_R.10039.02.01.05: E Electr Enum 55Kv To 115Kv Sub Enum"/>
        <s v="W_R.10039.02.01.06: E Electr Enum 55Kv To 115Kv Fiber"/>
        <s v="W_R.10039.02.01.07: E Electr Enum 55Kv To 115Kv Tline"/>
        <s v="W_R.10040.01.01.01: E Seabeck Area Reliability Improvement"/>
        <s v="W_R.10042.01.01.01: E Silverdale 115Kv Tap To VJN Tline"/>
        <s v="W_R.10047.02.01.02: G SP Alignment Trans and Dist"/>
        <s v="W_R.10050.02.01.01: E Carpenter Substation Feeder Dist"/>
        <s v="W_R.10050.04.01.01: E Nisqually Sub Proj Property Purchase"/>
        <s v="W_R.10051.02.01.01: E Thurston Transmission Capacity"/>
        <s v="W_R.10054.01.01.01: E Bellingham Sedro 4 115Kv Recond Tline"/>
        <s v="W_R.10055.01.01.01: E Maxwelton Substation Feeders"/>
        <s v="W_R.10055.01.01.03: E Maxwelton Substation Trans"/>
        <s v="W_R.10055.02.01.01: E Whidbey Island 115Kv Row"/>
        <s v="W_R.10056.01.01.01: E Wilkeson Substation Sub"/>
        <s v="W_R.10058.01.01.01: E Skookumchuck Wind Farm"/>
        <s v="W_R.10059.01.01.01: E Smart Grid Living Lab"/>
        <s v="W_R.10059.02.01.01: E ADMS Circuit Enablement"/>
        <s v="W_R.10059.03.01.01: E Resilience Enhancement CEIP"/>
        <s v="W_R.10060.01.01.02: G Vashon Interim Supply at Gig Harbor"/>
        <s v="W_X.10003.01.01.01: Street and Area Lighting Services"/>
        <s v="W_X.10003.01.03.01: Street Light Replacement"/>
        <s v="W_X.10003.01.03.02: Smart Street Lighting"/>
        <s v="W_X.10005.01.01.01: Wireless and Wireline Construction"/>
        <s v="W_X.10006.01.01.01: Customer Sited Energy Storage Pilot"/>
        <s v="W_X.10006.02.01.01: EV Charging Program PSE Internal"/>
        <s v="W_X.10006.02.02.02: EV Charging Program Infrastructure"/>
        <s v="W_X.10006.03.01.02: Community Solar Program"/>
        <s v="W_X.10006.03.01.04: Community Solar Program IT"/>
        <s v="W_X.10006.03.01.05: Community Solar Program 2022-25"/>
        <s v="W_K.10005.01.02.01: COL U3 U4 Operational (non-production)"/>
        <s v="W_X.10006.04.01.02: Renewable Natural Gas Program IT"/>
        <s v="PLACEHOLDER WBS 21: IP Scada"/>
        <s v="Placeholder WBS 48: Data Enablement and Enrichment Program"/>
        <s v="W_R.10059.04.01.01: E Wildfire Resilience"/>
        <s v="PLACEHOLDER WBS 63: E King County Franchise Fee"/>
        <s v="PLACEHOLDER WBS 65: Pipeline Modernization"/>
        <s v="W_F.10003.03.01.01: Wireless Spectrum"/>
        <s v="W_F.10017.13.02.02: Annual VOIP Deployment and Refresh"/>
        <s v="W_F.10025.02.01.04: Tenable.io"/>
        <s v="W_K.10012.01.01.04: BPCC Customer Self Service"/>
        <s v="W_K.10035.01.01.02: FRA Unit 2 to 4 Hot Gas Path"/>
        <s v="W_R.10009.12.04.01: E Trans Automation Placeholder"/>
        <s v="W_R.10015.06.01.06: G System Capacity Uprate Bulk Dist"/>
        <s v="W_R.10037.01.01.07: G Scrap Sale Plt Meters Dist"/>
        <s v="W_R.10009.07.03.02: E OH UG System Improv Opport New Trans"/>
        <s v="W_F.10017.09.05.02: RSA Token Refresh"/>
        <s v="W_R.10059.05.01.01: E Submarine Cable - Mercer Island"/>
        <s v="W_R.10059.02.01.02: E Circuit Enablement EV"/>
        <s v="W_R.99999.99.99.99: General Transmission Project (Rate Case Only)"/>
      </sharedItems>
    </cacheField>
    <cacheField name="Cost Center Manager" numFmtId="0">
      <sharedItems/>
    </cacheField>
    <cacheField name="Director" numFmtId="0">
      <sharedItems count="29">
        <s v="Dawn Reyes"/>
        <s v="Roque Bamba"/>
        <s v="Jeff Neumann"/>
        <s v="Dan'l Koch"/>
        <s v="Eileen Figone"/>
        <s v="Joshua Kensosk"/>
        <s v="Lorna Luebbe"/>
        <s v="Thomas Hunt"/>
        <s v="Brian Fellon"/>
        <s v="Suzanne Tamayo"/>
        <s v="Kurt Palmer"/>
        <s v="Timothy Foley"/>
        <s v="William Einstein"/>
        <s v="Patrick Murphy"/>
        <s v="Jennifer Boyer"/>
        <s v="Elizabeth Norton"/>
        <s v="Ryan Blood"/>
        <s v="Shauna Tran"/>
        <s v="Mark Carlson"/>
        <s v="Benjamin Farrow"/>
        <s v="Catherine Koch"/>
        <s v="Stephen King"/>
        <s v="Jennifer Tada"/>
        <s v="David Landers"/>
        <s v="John Mannetti"/>
        <s v="Harry Shapiro"/>
        <s v="Troy Hutson"/>
        <s v="Joel Molander"/>
        <s v="Energize Eastside Plug"/>
      </sharedItems>
    </cacheField>
    <cacheField name="Area" numFmtId="0">
      <sharedItems count="8">
        <s v="Facilities"/>
        <s v="IT"/>
        <s v="Operations"/>
        <s v="Storm"/>
        <s v="Other"/>
        <s v="NP&amp;S"/>
        <s v="Generation"/>
        <s v="AMI"/>
      </sharedItems>
    </cacheField>
    <cacheField name="2022 Total Actual CWIP Closings" numFmtId="0">
      <sharedItems containsString="0" containsBlank="1" containsNumber="1" minValue="-40350087.849999994" maxValue="8593299.5"/>
    </cacheField>
    <cacheField name="JAK5 SEF16 Forecast CWIP Closings" numFmtId="43">
      <sharedItems containsString="0" containsBlank="1" containsNumber="1" minValue="-90721963.827774242" maxValue="17388699.999999959"/>
    </cacheField>
    <cacheField name="Variance" numFmtId="43">
      <sharedItems containsSemiMixedTypes="0" containsString="0" containsNumber="1" minValue="-40350087.849999994" maxValue="89300811.587774247"/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ree, Susan" refreshedDate="45010.553416319446" createdVersion="6" refreshedVersion="6" minRefreshableVersion="3" recordCount="438">
  <cacheSource type="worksheet">
    <worksheetSource ref="A4:J442" sheet="Source Data - Act v Plan by WBS"/>
  </cacheSource>
  <cacheFields count="10">
    <cacheField name="WBS" numFmtId="0">
      <sharedItems/>
    </cacheField>
    <cacheField name="PB - WBS Level 3" numFmtId="0">
      <sharedItems/>
    </cacheField>
    <cacheField name="Energy" numFmtId="0">
      <sharedItems count="6">
        <s v="Common"/>
        <s v="Electric"/>
        <s v="Gas"/>
        <s v="G" u="1"/>
        <s v="E" u="1"/>
        <s v="C" u="1"/>
      </sharedItems>
    </cacheField>
    <cacheField name="Project" numFmtId="0">
      <sharedItems containsBlank="1" count="31">
        <m/>
        <s v="Projected"/>
        <s v="Not Ops"/>
        <e v="#N/A"/>
        <s v="Energize Eastside"/>
        <s v="Grid Modernization"/>
        <s v="CIAC - Electric"/>
        <s v="Customer Requests - Electric"/>
        <s v="Major Projects Electric"/>
        <s v="Public Improvement - Electric"/>
        <s v="Emergent Electric"/>
        <s v="Capacity - Electric"/>
        <s v="AMI - Common"/>
        <s v="AMI - Electric"/>
        <s v="AMI - Gas"/>
        <s v="Gas Modernization"/>
        <s v="Major Projects Gas"/>
        <s v="Customer Requests - Gas"/>
        <s v="CIAC - Gas"/>
        <s v="Public Improvement - Gas"/>
        <s v="Emergent Gas"/>
        <s v="Pipeline Replacement"/>
        <s v="Capacity - Gas"/>
        <s v="Bainbridge Tlines Trans"/>
        <s v="Sammamish Juanita"/>
        <s v="Thurston Transmission Capacity"/>
        <s v="Resilience Enhancement"/>
        <s v="Marine Crossing"/>
        <s v="EV Circuit"/>
        <s v="Major Projects Electric - Not in JAK5" u="1"/>
        <s v="Pipeline Replacement - Not in JAK5 " u="1"/>
      </sharedItems>
    </cacheField>
    <cacheField name="U&amp;U Category" numFmtId="0">
      <sharedItems containsBlank="1" count="7">
        <m/>
        <s v="Projected"/>
        <s v="Not Ops"/>
        <e v="#N/A"/>
        <s v="Specific"/>
        <s v="Programmatic Programmatic"/>
        <s v="Programmatic Customer Driven"/>
      </sharedItems>
    </cacheField>
    <cacheField name="Explanation" numFmtId="0">
      <sharedItems containsBlank="1" containsMixedTypes="1" containsNumber="1" containsInteger="1" minValue="1" maxValue="9" count="20">
        <m/>
        <s v="9 - Projected"/>
        <s v="6E - Grid Mod"/>
        <s v="3E - CIAC, NCC, PI"/>
        <s v="3G - CIAC, NCC, PI"/>
        <s v="7E - Maj Proj"/>
        <s v="4 - Emergent Work"/>
        <s v="1 - AMI"/>
        <s v="6G - Gas Mod"/>
        <s v="7G - Maj Proj"/>
        <s v="8 - Pipe Replacement"/>
        <s v="2 - Bainbridge"/>
        <s v="10 - Sammamish"/>
        <s v="11 - Thurston"/>
        <n v="2" u="1"/>
        <n v="1" u="1"/>
        <n v="3" u="1"/>
        <n v="8" u="1"/>
        <n v="9" u="1"/>
        <n v="4" u="1"/>
      </sharedItems>
    </cacheField>
    <cacheField name="Area" numFmtId="0">
      <sharedItems count="8">
        <s v="Facilities"/>
        <s v="IT"/>
        <s v="Operations"/>
        <s v="Storm"/>
        <s v="Other"/>
        <s v="NP&amp;S"/>
        <s v="Generation"/>
        <s v="AMI"/>
      </sharedItems>
    </cacheField>
    <cacheField name="2022 Total Actual CWIP Closings" numFmtId="0">
      <sharedItems containsString="0" containsBlank="1" containsNumber="1" minValue="-40350087.849999994" maxValue="8593299.5"/>
    </cacheField>
    <cacheField name="JAK5 SEF16 Forecast CWIP Closings" numFmtId="0">
      <sharedItems containsString="0" containsBlank="1" containsNumber="1" minValue="-90721963.827774242" maxValue="17388699.999999959"/>
    </cacheField>
    <cacheField name="Variance" numFmtId="0">
      <sharedItems containsSemiMixedTypes="0" containsString="0" containsNumber="1" minValue="-40350087.849999994" maxValue="89300811.587774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s v="C.10002.02.02.01"/>
    <x v="0"/>
    <s v="Michael Kirk"/>
    <x v="0"/>
    <x v="0"/>
    <n v="-4226582.16"/>
    <n v="0"/>
    <n v="-4226582.16"/>
    <m/>
  </r>
  <r>
    <s v="C.10002.02.02.02"/>
    <x v="1"/>
    <s v="John Klippert"/>
    <x v="1"/>
    <x v="0"/>
    <n v="-3012717.12"/>
    <n v="0"/>
    <n v="-3012717.12"/>
    <m/>
  </r>
  <r>
    <s v="C.10002.03.01.03"/>
    <x v="2"/>
    <s v="Michael Kirk"/>
    <x v="0"/>
    <x v="0"/>
    <n v="-1885.74"/>
    <n v="0"/>
    <n v="-1885.74"/>
    <m/>
  </r>
  <r>
    <s v="C.10002.04.03.01"/>
    <x v="3"/>
    <s v="Michael Kirk"/>
    <x v="0"/>
    <x v="0"/>
    <n v="-25402.97"/>
    <n v="0"/>
    <n v="-25402.97"/>
    <m/>
  </r>
  <r>
    <s v="C.10002.06.01.01"/>
    <x v="4"/>
    <s v="Jason R Weber"/>
    <x v="2"/>
    <x v="1"/>
    <n v="-138.87"/>
    <n v="0"/>
    <n v="-138.87"/>
    <m/>
  </r>
  <r>
    <s v="C.10002.07.01.01"/>
    <x v="5"/>
    <s v="Michael Kirk"/>
    <x v="0"/>
    <x v="0"/>
    <n v="-750044.19"/>
    <n v="-612173.52985905576"/>
    <n v="-137870.66014094418"/>
    <m/>
  </r>
  <r>
    <s v="C.10002.08.02.01"/>
    <x v="6"/>
    <s v="Michael Kirk"/>
    <x v="0"/>
    <x v="0"/>
    <n v="0"/>
    <n v="-2499999.9999999958"/>
    <n v="2499999.9999999958"/>
    <m/>
  </r>
  <r>
    <s v="C.10002.09.01.01"/>
    <x v="7"/>
    <s v="Michael Kirk"/>
    <x v="0"/>
    <x v="0"/>
    <n v="-5081733.0999999996"/>
    <n v="-222496.30987401874"/>
    <n v="-4859236.790125981"/>
    <m/>
  </r>
  <r>
    <s v="C.10002.10.01.01"/>
    <x v="8"/>
    <s v="Michael Kirk"/>
    <x v="0"/>
    <x v="0"/>
    <n v="-77736.899999999994"/>
    <n v="0"/>
    <n v="-77736.899999999994"/>
    <m/>
  </r>
  <r>
    <s v="C.10003.01.01.01"/>
    <x v="9"/>
    <s v="Michael Kirk"/>
    <x v="0"/>
    <x v="0"/>
    <n v="-931984.88000000012"/>
    <n v="-2000000.000000004"/>
    <n v="1068015.1200000038"/>
    <m/>
  </r>
  <r>
    <s v="C.10003.01.03.01"/>
    <x v="10"/>
    <s v="Michael Kirk"/>
    <x v="0"/>
    <x v="0"/>
    <n v="-2482679.0100000002"/>
    <n v="-3517943.5273017157"/>
    <n v="1035264.5173017154"/>
    <m/>
  </r>
  <r>
    <s v="C.10004.01.01.02"/>
    <x v="11"/>
    <s v="Brett Conrad"/>
    <x v="3"/>
    <x v="2"/>
    <n v="319620.77"/>
    <n v="-102066.67948257366"/>
    <n v="421687.44948257366"/>
    <m/>
  </r>
  <r>
    <s v="C.10005.01.02.01"/>
    <x v="12"/>
    <s v="David Foster"/>
    <x v="4"/>
    <x v="1"/>
    <n v="-2777267.29"/>
    <n v="-4150542.9239990781"/>
    <n v="1373275.6339990781"/>
    <m/>
  </r>
  <r>
    <s v="C.10005.01.02.02"/>
    <x v="13"/>
    <s v="David Foster"/>
    <x v="4"/>
    <x v="1"/>
    <n v="-2360340.17"/>
    <n v="-5512377.9848884968"/>
    <n v="3152037.8148884969"/>
    <m/>
  </r>
  <r>
    <s v="C.10006.01.01.01"/>
    <x v="14"/>
    <s v="Sheryl Koens"/>
    <x v="0"/>
    <x v="0"/>
    <n v="-3087362.1500000004"/>
    <n v="-951000"/>
    <n v="-2136362.1500000004"/>
    <m/>
  </r>
  <r>
    <s v="C.10006.01.01.03"/>
    <x v="15"/>
    <s v="Sheryl Koens"/>
    <x v="0"/>
    <x v="0"/>
    <n v="-187123.93999999997"/>
    <n v="-299999.99999999994"/>
    <n v="112876.05999999997"/>
    <m/>
  </r>
  <r>
    <s v="C.10009.01.01.01"/>
    <x v="16"/>
    <s v="David Stickley"/>
    <x v="5"/>
    <x v="3"/>
    <n v="-7803062.8199999994"/>
    <n v="-2591851.5917673563"/>
    <n v="-5211211.2282326426"/>
    <m/>
  </r>
  <r>
    <s v="C.10009.01.01.02"/>
    <x v="17"/>
    <s v="David Stickley"/>
    <x v="5"/>
    <x v="3"/>
    <n v="-324036.53000000003"/>
    <n v="-1083281.8529110118"/>
    <n v="759245.32291101175"/>
    <m/>
  </r>
  <r>
    <s v="C.10010.02.01.01"/>
    <x v="18"/>
    <s v="Michael Kirk"/>
    <x v="0"/>
    <x v="0"/>
    <n v="-84987.920000000013"/>
    <n v="255991.8340744134"/>
    <n v="-340979.75407441345"/>
    <m/>
  </r>
  <r>
    <s v="C.10010.06.01.01"/>
    <x v="19"/>
    <s v="Michael Kirk"/>
    <x v="0"/>
    <x v="0"/>
    <n v="-40637.300000000003"/>
    <n v="-40637.30000000001"/>
    <n v="0"/>
    <m/>
  </r>
  <r>
    <s v="C.20001.01.01.01"/>
    <x v="20"/>
    <s v="John Rork Jr"/>
    <x v="6"/>
    <x v="4"/>
    <n v="0"/>
    <n v="-141000"/>
    <n v="141000"/>
    <m/>
  </r>
  <r>
    <s v="C.40001.01.01.01"/>
    <x v="21"/>
    <s v="Charisse Berni"/>
    <x v="7"/>
    <x v="1"/>
    <n v="-49085.19"/>
    <n v="0"/>
    <n v="-49085.19"/>
    <m/>
  </r>
  <r>
    <s v="F.10002.01.02.03"/>
    <x v="22"/>
    <s v="Roland LaMothe"/>
    <x v="8"/>
    <x v="1"/>
    <n v="81.84"/>
    <n v="0"/>
    <n v="81.84"/>
    <m/>
  </r>
  <r>
    <s v="F.10002.01.02.04"/>
    <x v="23"/>
    <s v="Diane Perry"/>
    <x v="8"/>
    <x v="1"/>
    <n v="-174136.85000000003"/>
    <n v="-251490.49683625373"/>
    <n v="77353.646836253698"/>
    <m/>
  </r>
  <r>
    <s v="F.10002.01.14.01"/>
    <x v="24"/>
    <s v="Timothy Foley"/>
    <x v="8"/>
    <x v="1"/>
    <n v="-3252262.88"/>
    <n v="-8470701.4769779239"/>
    <n v="5218438.596977924"/>
    <m/>
  </r>
  <r>
    <s v="F.10002.01.15.01"/>
    <x v="25"/>
    <s v="Calvin Hill"/>
    <x v="8"/>
    <x v="1"/>
    <n v="-21027.68"/>
    <n v="0"/>
    <n v="-21027.68"/>
    <m/>
  </r>
  <r>
    <s v="F.10002.01.16.01"/>
    <x v="26"/>
    <s v="Suzanne Tamayo"/>
    <x v="9"/>
    <x v="1"/>
    <m/>
    <n v="-147308.85548345"/>
    <n v="147308.85548345"/>
    <m/>
  </r>
  <r>
    <s v="F.10002.01.17.01"/>
    <x v="27"/>
    <s v="Jason R Weber"/>
    <x v="2"/>
    <x v="1"/>
    <n v="-736615.76000000013"/>
    <n v="0"/>
    <n v="-736615.76000000013"/>
    <m/>
  </r>
  <r>
    <s v="F.10002.03.02.01"/>
    <x v="28"/>
    <s v="James Weiss"/>
    <x v="8"/>
    <x v="1"/>
    <n v="-2682734.14"/>
    <n v="0"/>
    <n v="-2682734.14"/>
    <m/>
  </r>
  <r>
    <s v="F.10002.04.01.01"/>
    <x v="29"/>
    <s v="Daniel Snyder"/>
    <x v="8"/>
    <x v="1"/>
    <n v="-70209.110000000015"/>
    <n v="0"/>
    <n v="-70209.110000000015"/>
    <m/>
  </r>
  <r>
    <s v="F.10002.04.02.01"/>
    <x v="30"/>
    <s v="Michael Vu"/>
    <x v="8"/>
    <x v="1"/>
    <n v="2272"/>
    <n v="0"/>
    <n v="2272"/>
    <m/>
  </r>
  <r>
    <s v="F.10002.05.01.01"/>
    <x v="31"/>
    <s v="Roland LaMothe"/>
    <x v="8"/>
    <x v="1"/>
    <n v="23683.05"/>
    <n v="0"/>
    <n v="23683.05"/>
    <m/>
  </r>
  <r>
    <s v="F.10002.05.02.01"/>
    <x v="32"/>
    <s v="Jason R Weber"/>
    <x v="2"/>
    <x v="1"/>
    <n v="-361022.92000000004"/>
    <n v="0"/>
    <n v="-361022.92000000004"/>
    <m/>
  </r>
  <r>
    <s v="F.10002.06.01.01"/>
    <x v="33"/>
    <s v="Janet Jones"/>
    <x v="8"/>
    <x v="1"/>
    <n v="-5151685.43"/>
    <n v="-5479256.6619912293"/>
    <n v="327571.23199122958"/>
    <m/>
  </r>
  <r>
    <s v="F.10002.06.02.01"/>
    <x v="34"/>
    <s v="Janet Jones"/>
    <x v="8"/>
    <x v="1"/>
    <n v="-1802364.3299999998"/>
    <n v="0"/>
    <n v="-1802364.3299999998"/>
    <m/>
  </r>
  <r>
    <s v="F.10002.06.03.01"/>
    <x v="35"/>
    <s v="Timothy Foley"/>
    <x v="8"/>
    <x v="1"/>
    <n v="37663.159999999989"/>
    <n v="0"/>
    <n v="37663.159999999989"/>
    <m/>
  </r>
  <r>
    <s v="F.10002.07.01.01"/>
    <x v="36"/>
    <s v="Janet Jones"/>
    <x v="8"/>
    <x v="1"/>
    <n v="-539823.54"/>
    <n v="0"/>
    <n v="-539823.54"/>
    <m/>
  </r>
  <r>
    <s v="F.10002.09.01.01"/>
    <x v="37"/>
    <s v="James Weiss"/>
    <x v="8"/>
    <x v="1"/>
    <n v="-2283675.2600000002"/>
    <n v="0"/>
    <n v="-2283675.2600000002"/>
    <m/>
  </r>
  <r>
    <s v="F.10003.02.01.07"/>
    <x v="38"/>
    <s v="Jason Shamp"/>
    <x v="2"/>
    <x v="1"/>
    <n v="-7470171.5599999996"/>
    <n v="0"/>
    <n v="-7470171.5599999996"/>
    <m/>
  </r>
  <r>
    <s v="F.10003.03.02.01"/>
    <x v="39"/>
    <s v="Jason Weber"/>
    <x v="2"/>
    <x v="1"/>
    <n v="-1587346.7000000002"/>
    <n v="0"/>
    <n v="-1587346.7000000002"/>
    <m/>
  </r>
  <r>
    <s v="F.10007.02.01.02"/>
    <x v="40"/>
    <s v="Suzanne Tamayo"/>
    <x v="9"/>
    <x v="1"/>
    <n v="0"/>
    <n v="-26905131.616054956"/>
    <n v="26905131.616054956"/>
    <m/>
  </r>
  <r>
    <s v="F.10013.09.01.02"/>
    <x v="41"/>
    <s v="Diane Perry"/>
    <x v="8"/>
    <x v="1"/>
    <n v="12919.580000000002"/>
    <n v="0"/>
    <n v="12919.580000000002"/>
    <m/>
  </r>
  <r>
    <s v="F.10013.09.01.03"/>
    <x v="42"/>
    <s v="Gerritt Rosa"/>
    <x v="8"/>
    <x v="1"/>
    <n v="-662880.43999999994"/>
    <n v="0"/>
    <n v="-662880.43999999994"/>
    <m/>
  </r>
  <r>
    <s v="F.10015.02.03.01"/>
    <x v="43"/>
    <s v="Diane Perry"/>
    <x v="8"/>
    <x v="1"/>
    <n v="-331.81"/>
    <n v="0"/>
    <n v="-331.81"/>
    <m/>
  </r>
  <r>
    <s v="F.10015.02.06.02"/>
    <x v="44"/>
    <s v="Deepa Panchapakesan"/>
    <x v="8"/>
    <x v="1"/>
    <n v="0"/>
    <n v="-3113278.1971035767"/>
    <n v="3113278.1971035767"/>
    <m/>
  </r>
  <r>
    <s v="F.10015.02.14.02"/>
    <x v="45"/>
    <s v="Deepa Panchapakesan"/>
    <x v="8"/>
    <x v="1"/>
    <n v="-1191411.69"/>
    <n v="0"/>
    <n v="-1191411.69"/>
    <m/>
  </r>
  <r>
    <s v="F.10015.02.14.03"/>
    <x v="46"/>
    <s v="Deepa Panchapakesan"/>
    <x v="8"/>
    <x v="1"/>
    <n v="-157967.89000000001"/>
    <n v="0"/>
    <n v="-157967.89000000001"/>
    <m/>
  </r>
  <r>
    <s v="F.10015.02.17.02"/>
    <x v="47"/>
    <s v="Deepa Panchapakesan"/>
    <x v="8"/>
    <x v="1"/>
    <n v="-46876.67"/>
    <n v="0"/>
    <n v="-46876.67"/>
    <m/>
  </r>
  <r>
    <s v="F.10015.02.18.02"/>
    <x v="48"/>
    <s v="Laurent Sayer"/>
    <x v="8"/>
    <x v="1"/>
    <n v="-1956354.6900000002"/>
    <n v="0"/>
    <n v="-1956354.6900000002"/>
    <m/>
  </r>
  <r>
    <s v="F.10015.02.20.01"/>
    <x v="49"/>
    <s v="John Klippert"/>
    <x v="1"/>
    <x v="1"/>
    <n v="-118095.04999999999"/>
    <n v="0"/>
    <n v="-118095.04999999999"/>
    <m/>
  </r>
  <r>
    <s v="F.10015.02.22.01"/>
    <x v="50"/>
    <s v="Chakradhari Damidi"/>
    <x v="8"/>
    <x v="1"/>
    <n v="-386246.23"/>
    <n v="0"/>
    <n v="-386246.23"/>
    <m/>
  </r>
  <r>
    <s v="F.10015.04.02.03"/>
    <x v="51"/>
    <s v="Laurent Sayer"/>
    <x v="8"/>
    <x v="1"/>
    <n v="-100132.16"/>
    <n v="-106897.64030778737"/>
    <n v="6765.4803077873657"/>
    <m/>
  </r>
  <r>
    <s v="F.10015.04.02.05"/>
    <x v="52"/>
    <s v="Jason R Weber"/>
    <x v="2"/>
    <x v="1"/>
    <n v="-256985.73"/>
    <n v="0"/>
    <n v="-256985.73"/>
    <m/>
  </r>
  <r>
    <s v="F.10015.05.03.01"/>
    <x v="53"/>
    <s v="James Weiss"/>
    <x v="8"/>
    <x v="1"/>
    <n v="3200.73"/>
    <n v="0"/>
    <n v="3200.73"/>
    <m/>
  </r>
  <r>
    <s v="F.10015.05.04.01"/>
    <x v="54"/>
    <s v="Michael Garcia"/>
    <x v="9"/>
    <x v="1"/>
    <n v="-590210.21"/>
    <n v="-180361.76376031534"/>
    <n v="-409848.44623968459"/>
    <m/>
  </r>
  <r>
    <s v="F.10015.06.05.01"/>
    <x v="55"/>
    <s v="Daniel Snyder"/>
    <x v="8"/>
    <x v="1"/>
    <n v="-447725.04000000004"/>
    <n v="0"/>
    <n v="-447725.04000000004"/>
    <m/>
  </r>
  <r>
    <s v="F.10015.06.05.02"/>
    <x v="56"/>
    <s v="Gerritt Rosa"/>
    <x v="8"/>
    <x v="1"/>
    <n v="-253010.78000000003"/>
    <n v="0"/>
    <n v="-253010.78000000003"/>
    <m/>
  </r>
  <r>
    <s v="F.10015.06.20.01"/>
    <x v="57"/>
    <s v="Michael Vu"/>
    <x v="8"/>
    <x v="1"/>
    <n v="541.63000000000011"/>
    <n v="0"/>
    <n v="541.63000000000011"/>
    <m/>
  </r>
  <r>
    <s v="F.10015.06.24.01"/>
    <x v="58"/>
    <s v="Chakradhari Damidi"/>
    <x v="8"/>
    <x v="1"/>
    <n v="369.9"/>
    <n v="0"/>
    <n v="369.9"/>
    <m/>
  </r>
  <r>
    <s v="F.10015.06.25.01"/>
    <x v="59"/>
    <s v="Jason R Weber"/>
    <x v="2"/>
    <x v="1"/>
    <n v="-1776208.4200000002"/>
    <n v="0"/>
    <n v="-1776208.4200000002"/>
    <m/>
  </r>
  <r>
    <s v="F.10015.06.26.01"/>
    <x v="60"/>
    <s v="Jason R Weber"/>
    <x v="2"/>
    <x v="1"/>
    <n v="-588672.32999999996"/>
    <n v="0"/>
    <n v="-588672.32999999996"/>
    <m/>
  </r>
  <r>
    <s v="F.10015.08.03.05"/>
    <x v="61"/>
    <s v="Gerald (Jerry) E VanCorbach"/>
    <x v="2"/>
    <x v="1"/>
    <n v="-2029399.1999999997"/>
    <n v="0"/>
    <n v="-2029399.1999999997"/>
    <m/>
  </r>
  <r>
    <s v="F.10015.08.09.06"/>
    <x v="62"/>
    <s v="Janet Jones"/>
    <x v="8"/>
    <x v="1"/>
    <n v="-465.23999999999796"/>
    <n v="0"/>
    <n v="-465.23999999999796"/>
    <m/>
  </r>
  <r>
    <s v="F.10015.08.11.05"/>
    <x v="63"/>
    <s v="George Hendrickson"/>
    <x v="8"/>
    <x v="1"/>
    <n v="1386.9100000000021"/>
    <n v="0"/>
    <n v="1386.9100000000021"/>
    <m/>
  </r>
  <r>
    <s v="F.10015.08.11.06"/>
    <x v="64"/>
    <s v="Jerry VanCorbach"/>
    <x v="2"/>
    <x v="1"/>
    <n v="-240888.25"/>
    <n v="0"/>
    <n v="-240888.25"/>
    <m/>
  </r>
  <r>
    <s v="F.10015.08.13.03"/>
    <x v="65"/>
    <s v="James Weiss"/>
    <x v="8"/>
    <x v="1"/>
    <n v="-3614400.6199999996"/>
    <n v="-2808710.0639910274"/>
    <n v="-805690.55600897223"/>
    <m/>
  </r>
  <r>
    <s v="F.10015.08.16.01"/>
    <x v="66"/>
    <s v="Janet Jones"/>
    <x v="8"/>
    <x v="1"/>
    <n v="-43.319999999999993"/>
    <n v="0"/>
    <n v="-43.319999999999993"/>
    <m/>
  </r>
  <r>
    <s v="F.10015.08.18.01"/>
    <x v="67"/>
    <s v="Chakradhari Damidi"/>
    <x v="8"/>
    <x v="1"/>
    <n v="-102980.74"/>
    <n v="0"/>
    <n v="-102980.74"/>
    <m/>
  </r>
  <r>
    <s v="F.10015.08.19.01"/>
    <x v="68"/>
    <s v="Gerritt Rosa"/>
    <x v="8"/>
    <x v="1"/>
    <n v="-52869.98"/>
    <n v="0"/>
    <n v="-52869.98"/>
    <m/>
  </r>
  <r>
    <s v="F.10015.11.01.01"/>
    <x v="69"/>
    <s v="Timothy Foley"/>
    <x v="8"/>
    <x v="1"/>
    <n v="2887"/>
    <n v="0"/>
    <n v="2887"/>
    <m/>
  </r>
  <r>
    <s v="F.10015.11.02.01"/>
    <x v="70"/>
    <s v="Laurent Sayer"/>
    <x v="8"/>
    <x v="1"/>
    <n v="-139490.20000000001"/>
    <n v="0"/>
    <n v="-139490.20000000001"/>
    <m/>
  </r>
  <r>
    <s v="F.10015.11.03.01"/>
    <x v="71"/>
    <s v="Deepa Panchapakesan"/>
    <x v="8"/>
    <x v="1"/>
    <n v="-154464.01"/>
    <n v="0"/>
    <n v="-154464.01"/>
    <m/>
  </r>
  <r>
    <s v="F.10015.11.06.01"/>
    <x v="72"/>
    <s v="Todd W Ogilvie"/>
    <x v="2"/>
    <x v="1"/>
    <n v="-63848.45"/>
    <n v="0"/>
    <n v="-63848.45"/>
    <m/>
  </r>
  <r>
    <s v="F.10015.12.01.01"/>
    <x v="73"/>
    <s v="Chakradhari Damidi"/>
    <x v="8"/>
    <x v="1"/>
    <n v="-312301.53000000003"/>
    <n v="0"/>
    <n v="-312301.53000000003"/>
    <m/>
  </r>
  <r>
    <s v="F.10016.01.01.02"/>
    <x v="74"/>
    <s v="Kurt Palmer"/>
    <x v="10"/>
    <x v="1"/>
    <n v="-305888.91000000003"/>
    <n v="0"/>
    <n v="-305888.91000000003"/>
    <m/>
  </r>
  <r>
    <s v="F.10017.02.01.02"/>
    <x v="75"/>
    <s v="Carolyn Danielson"/>
    <x v="2"/>
    <x v="1"/>
    <n v="-27004.170000000006"/>
    <n v="0"/>
    <n v="-27004.170000000006"/>
    <m/>
  </r>
  <r>
    <s v="F.10017.02.01.03"/>
    <x v="76"/>
    <s v="Jason R Weber"/>
    <x v="2"/>
    <x v="1"/>
    <n v="-250954.45"/>
    <n v="0"/>
    <n v="-250954.45"/>
    <m/>
  </r>
  <r>
    <s v="F.10017.02.02.02"/>
    <x v="77"/>
    <s v="Carolyn Danielson"/>
    <x v="2"/>
    <x v="1"/>
    <n v="-425.04999999999916"/>
    <n v="0"/>
    <n v="-425.04999999999916"/>
    <m/>
  </r>
  <r>
    <s v="F.10017.02.02.03"/>
    <x v="78"/>
    <s v="Gerritt Rosa"/>
    <x v="8"/>
    <x v="1"/>
    <n v="-327695.64"/>
    <n v="0"/>
    <n v="-327695.64"/>
    <m/>
  </r>
  <r>
    <s v="F.10017.02.04.02"/>
    <x v="79"/>
    <s v="Todd W Ogilvie"/>
    <x v="2"/>
    <x v="1"/>
    <n v="-1961451.9100000001"/>
    <n v="0"/>
    <n v="-1961451.9100000001"/>
    <m/>
  </r>
  <r>
    <s v="F.10017.03.01.03"/>
    <x v="80"/>
    <s v="Lindsay Yonce"/>
    <x v="2"/>
    <x v="1"/>
    <n v="-19981.150000000005"/>
    <n v="0"/>
    <n v="-19981.150000000005"/>
    <m/>
  </r>
  <r>
    <s v="F.10017.03.05.02"/>
    <x v="81"/>
    <s v="Laurent P Sayer"/>
    <x v="8"/>
    <x v="1"/>
    <n v="-3157927.13"/>
    <n v="0"/>
    <n v="-3157927.13"/>
    <m/>
  </r>
  <r>
    <s v="F.10017.04.03.02"/>
    <x v="82"/>
    <s v="Gerald (Jerry) E VanCorbach"/>
    <x v="2"/>
    <x v="1"/>
    <n v="0"/>
    <n v="-51398.742577202989"/>
    <n v="51398.742577202989"/>
    <m/>
  </r>
  <r>
    <s v="F.10017.05.03.02"/>
    <x v="83"/>
    <s v="William Zimmerman"/>
    <x v="2"/>
    <x v="1"/>
    <n v="0"/>
    <n v="-230625.28709657837"/>
    <n v="230625.28709657837"/>
    <m/>
  </r>
  <r>
    <s v="F.10017.05.04.01"/>
    <x v="84"/>
    <s v="Kevin Rodwell"/>
    <x v="2"/>
    <x v="1"/>
    <n v="-459375.68"/>
    <n v="0"/>
    <n v="-459375.68"/>
    <m/>
  </r>
  <r>
    <s v="F.10017.05.07.01"/>
    <x v="85"/>
    <s v="Carolyn Danielson"/>
    <x v="2"/>
    <x v="1"/>
    <n v="-113200.85"/>
    <n v="0"/>
    <n v="-113200.85"/>
    <m/>
  </r>
  <r>
    <s v="F.10017.05.08.01"/>
    <x v="86"/>
    <s v="Carolyn Danielson"/>
    <x v="2"/>
    <x v="1"/>
    <n v="-299332.45"/>
    <n v="0"/>
    <n v="-299332.45"/>
    <m/>
  </r>
  <r>
    <s v="F.10017.07.01.02"/>
    <x v="87"/>
    <s v="James Weiss"/>
    <x v="8"/>
    <x v="1"/>
    <n v="-56351.91"/>
    <n v="0"/>
    <n v="-56351.91"/>
    <m/>
  </r>
  <r>
    <s v="F.10017.07.01.03"/>
    <x v="88"/>
    <s v="Chakradhari Damidi"/>
    <x v="11"/>
    <x v="1"/>
    <n v="-306484.38"/>
    <n v="0"/>
    <n v="-306484.38"/>
    <m/>
  </r>
  <r>
    <s v="F.10017.08.02.02"/>
    <x v="89"/>
    <s v="Jason Weber"/>
    <x v="2"/>
    <x v="1"/>
    <n v="-73787.26999999999"/>
    <n v="0"/>
    <n v="-73787.26999999999"/>
    <m/>
  </r>
  <r>
    <s v="F.10017.08.03.01"/>
    <x v="90"/>
    <s v="Ronald Tornquist"/>
    <x v="2"/>
    <x v="1"/>
    <n v="-3356315.0699999994"/>
    <n v="-645020.33614717005"/>
    <n v="-2711294.7338528293"/>
    <m/>
  </r>
  <r>
    <s v="F.10017.08.07.01"/>
    <x v="91"/>
    <s v="Ronald Tornquist"/>
    <x v="2"/>
    <x v="1"/>
    <n v="-1428860.6400000001"/>
    <n v="-18552.151941120021"/>
    <n v="-1410308.4880588802"/>
    <m/>
  </r>
  <r>
    <s v="F.10017.09.04.07"/>
    <x v="92"/>
    <s v="Michael Vu"/>
    <x v="8"/>
    <x v="1"/>
    <n v="-524957.73"/>
    <n v="0"/>
    <n v="-524957.73"/>
    <m/>
  </r>
  <r>
    <s v="F.10017.09.08.01"/>
    <x v="93"/>
    <s v="Jerry VanCorbach"/>
    <x v="2"/>
    <x v="1"/>
    <n v="-0.59000000000000341"/>
    <n v="0"/>
    <n v="-0.59000000000000341"/>
    <m/>
  </r>
  <r>
    <s v="F.10017.10.06.04"/>
    <x v="94"/>
    <s v="Anthony Pagano"/>
    <x v="1"/>
    <x v="1"/>
    <n v="-173015.98"/>
    <n v="0"/>
    <n v="-173015.98"/>
    <m/>
  </r>
  <r>
    <s v="F.10017.10.09.02"/>
    <x v="95"/>
    <s v="Carol Wallace"/>
    <x v="12"/>
    <x v="5"/>
    <n v="-247721.98"/>
    <n v="0"/>
    <n v="-247721.98"/>
    <m/>
  </r>
  <r>
    <s v="F.10017.10.14.01"/>
    <x v="96"/>
    <s v="Kevin Rodwell"/>
    <x v="2"/>
    <x v="1"/>
    <n v="15500"/>
    <n v="0"/>
    <n v="15500"/>
    <m/>
  </r>
  <r>
    <s v="F.10017.10.16.01"/>
    <x v="97"/>
    <s v="Michael Kirk"/>
    <x v="0"/>
    <x v="0"/>
    <n v="-2.2899999999999636"/>
    <n v="0"/>
    <n v="-2.2899999999999636"/>
    <m/>
  </r>
  <r>
    <s v="F.10017.10.19.01"/>
    <x v="98"/>
    <s v="Eileen F Figone"/>
    <x v="4"/>
    <x v="1"/>
    <n v="-882038.44000000006"/>
    <n v="0"/>
    <n v="-882038.44000000006"/>
    <m/>
  </r>
  <r>
    <s v="F.10017.11.01.03"/>
    <x v="99"/>
    <s v="Jason Shamp"/>
    <x v="2"/>
    <x v="1"/>
    <n v="-470084.62"/>
    <n v="0"/>
    <n v="-470084.62"/>
    <m/>
  </r>
  <r>
    <s v="F.10017.11.01.04"/>
    <x v="100"/>
    <s v="Gerritt Rosa"/>
    <x v="8"/>
    <x v="1"/>
    <n v="-576124.28"/>
    <n v="0"/>
    <n v="-576124.28"/>
    <m/>
  </r>
  <r>
    <s v="F.10017.12.01.02"/>
    <x v="101"/>
    <s v="Jason Weber"/>
    <x v="2"/>
    <x v="1"/>
    <n v="-33539.71"/>
    <n v="0"/>
    <n v="-33539.71"/>
    <m/>
  </r>
  <r>
    <s v="F.10017.12.01.03"/>
    <x v="102"/>
    <s v="Jason R Weber"/>
    <x v="2"/>
    <x v="1"/>
    <n v="-476264.60000000003"/>
    <n v="0"/>
    <n v="-476264.60000000003"/>
    <m/>
  </r>
  <r>
    <s v="F.10017.12.05.02"/>
    <x v="103"/>
    <s v="Jason Weber"/>
    <x v="2"/>
    <x v="1"/>
    <n v="-93040.03"/>
    <n v="0"/>
    <n v="-93040.03"/>
    <m/>
  </r>
  <r>
    <s v="F.10017.12.05.03"/>
    <x v="104"/>
    <s v="Lindsay Yonce"/>
    <x v="4"/>
    <x v="1"/>
    <n v="-148811.32999999999"/>
    <n v="0"/>
    <n v="-148811.32999999999"/>
    <m/>
  </r>
  <r>
    <s v="F.10017.12.06.03"/>
    <x v="105"/>
    <s v="Patrick Murphy"/>
    <x v="13"/>
    <x v="1"/>
    <n v="-57991.95"/>
    <n v="0"/>
    <n v="-57991.95"/>
    <m/>
  </r>
  <r>
    <s v="F.10017.12.08.01"/>
    <x v="106"/>
    <s v="Jason Weber"/>
    <x v="2"/>
    <x v="1"/>
    <n v="-68093.81"/>
    <n v="0"/>
    <n v="-68093.81"/>
    <m/>
  </r>
  <r>
    <s v="F.10017.12.08.04"/>
    <x v="107"/>
    <s v="Gerritt Rosa"/>
    <x v="8"/>
    <x v="1"/>
    <n v="-146553.16999999998"/>
    <n v="0"/>
    <n v="-146553.16999999998"/>
    <m/>
  </r>
  <r>
    <s v="F.10017.12.23.03"/>
    <x v="108"/>
    <s v="Gerald (Jerry) E VanCorbach"/>
    <x v="2"/>
    <x v="1"/>
    <n v="-417130.12"/>
    <n v="0"/>
    <n v="-417130.12"/>
    <m/>
  </r>
  <r>
    <s v="F.10017.12.23.04"/>
    <x v="109"/>
    <s v="Anthony Pagano"/>
    <x v="1"/>
    <x v="1"/>
    <n v="-508126.07"/>
    <n v="0"/>
    <n v="-508126.07"/>
    <m/>
  </r>
  <r>
    <s v="F.10017.12.25.02"/>
    <x v="110"/>
    <s v="Joshua Peavler"/>
    <x v="14"/>
    <x v="1"/>
    <n v="-75762.13"/>
    <n v="0"/>
    <n v="-75762.13"/>
    <m/>
  </r>
  <r>
    <s v="F.10017.12.26.01"/>
    <x v="111"/>
    <s v="Jason Weber"/>
    <x v="2"/>
    <x v="1"/>
    <n v="-1318800.5499999998"/>
    <n v="0"/>
    <n v="-1318800.5499999998"/>
    <m/>
  </r>
  <r>
    <s v="F.10017.12.26.02"/>
    <x v="112"/>
    <s v="Roland J LaMothe"/>
    <x v="8"/>
    <x v="1"/>
    <n v="-321365.08000000007"/>
    <n v="0"/>
    <n v="-321365.08000000007"/>
    <m/>
  </r>
  <r>
    <s v="F.10017.12.27.01"/>
    <x v="113"/>
    <s v="Jason Weber"/>
    <x v="2"/>
    <x v="1"/>
    <n v="-1244576.51"/>
    <n v="-1661834.5599999996"/>
    <n v="417258.04999999958"/>
    <m/>
  </r>
  <r>
    <s v="F.10017.13.03.02"/>
    <x v="114"/>
    <s v="James Burbidge"/>
    <x v="2"/>
    <x v="1"/>
    <n v="-139346.36000000002"/>
    <n v="-421.66687436472955"/>
    <n v="-138924.6931256353"/>
    <m/>
  </r>
  <r>
    <s v="F.10017.13.04.01"/>
    <x v="115"/>
    <s v="Gerald (Jerry) E VanCorbach"/>
    <x v="2"/>
    <x v="1"/>
    <n v="-596672.58000000007"/>
    <n v="0"/>
    <n v="-596672.58000000007"/>
    <m/>
  </r>
  <r>
    <s v="F.10017.13.05.01"/>
    <x v="116"/>
    <s v="James Burbidge"/>
    <x v="2"/>
    <x v="1"/>
    <n v="0"/>
    <n v="-44173.665237850924"/>
    <n v="44173.665237850924"/>
    <m/>
  </r>
  <r>
    <s v="F.10017.13.06.01"/>
    <x v="117"/>
    <s v="Gerald (Jerry) E VanCorbach"/>
    <x v="2"/>
    <x v="1"/>
    <n v="0"/>
    <n v="-41949.841007986557"/>
    <n v="41949.841007986557"/>
    <m/>
  </r>
  <r>
    <s v="F.10017.15.01.03"/>
    <x v="118"/>
    <s v="Jason Shamp"/>
    <x v="2"/>
    <x v="1"/>
    <n v="0"/>
    <n v="-644.54759564736275"/>
    <n v="644.54759564736275"/>
    <m/>
  </r>
  <r>
    <s v="F.10018.02.02.01"/>
    <x v="119"/>
    <s v="Frank Chandler"/>
    <x v="9"/>
    <x v="1"/>
    <n v="-152444.1"/>
    <n v="-20176.051433830791"/>
    <n v="-132268.04856616922"/>
    <m/>
  </r>
  <r>
    <s v="F.10018.02.03.01"/>
    <x v="120"/>
    <s v="Frank Chandler"/>
    <x v="9"/>
    <x v="1"/>
    <n v="-4803142.9999999991"/>
    <n v="0"/>
    <n v="-4803142.9999999991"/>
    <m/>
  </r>
  <r>
    <s v="F.10018.02.03.02"/>
    <x v="121"/>
    <s v="Gerritt Rosa"/>
    <x v="8"/>
    <x v="1"/>
    <n v="-13890829.82"/>
    <n v="0"/>
    <n v="-13890829.82"/>
    <m/>
  </r>
  <r>
    <s v="F.10025.01.04.01"/>
    <x v="122"/>
    <s v="Suzanne Tamayo"/>
    <x v="9"/>
    <x v="1"/>
    <n v="-3464827.4699999997"/>
    <n v="-1003078.9999999995"/>
    <n v="-2461748.4700000002"/>
    <m/>
  </r>
  <r>
    <s v="F.10025.01.04.02"/>
    <x v="123"/>
    <s v="Stephanie Kreshel"/>
    <x v="1"/>
    <x v="1"/>
    <n v="-92038.919999999984"/>
    <n v="0"/>
    <n v="-92038.919999999984"/>
    <m/>
  </r>
  <r>
    <s v="F.10025.02.01.06"/>
    <x v="124"/>
    <s v="Jerry VanCorbach"/>
    <x v="2"/>
    <x v="1"/>
    <n v="-12718.160000000002"/>
    <n v="0"/>
    <n v="-12718.160000000002"/>
    <m/>
  </r>
  <r>
    <s v="F.10026.01.01.01"/>
    <x v="125"/>
    <s v="Liz (Elizabeth) Norton"/>
    <x v="15"/>
    <x v="1"/>
    <n v="-836483.47"/>
    <n v="0"/>
    <n v="-836483.47"/>
    <m/>
  </r>
  <r>
    <s v="F.10026.01.01.02"/>
    <x v="126"/>
    <s v="Liz (Elizabeth) Norton"/>
    <x v="15"/>
    <x v="1"/>
    <n v="-59322.22"/>
    <n v="0"/>
    <n v="-59322.22"/>
    <m/>
  </r>
  <r>
    <s v="K.10001.01.01.01"/>
    <x v="127"/>
    <s v="Pamela Snavely"/>
    <x v="16"/>
    <x v="6"/>
    <n v="-148152.47"/>
    <n v="-204487.45520890108"/>
    <n v="56334.985208901082"/>
    <m/>
  </r>
  <r>
    <s v="K.10001.01.01.02"/>
    <x v="128"/>
    <s v="Pamela Snavely"/>
    <x v="16"/>
    <x v="6"/>
    <n v="-117661.39"/>
    <n v="-9182.5081694425899"/>
    <n v="-108478.88183055741"/>
    <m/>
  </r>
  <r>
    <s v="K.10001.01.02.01"/>
    <x v="129"/>
    <s v="Pamela Snavely"/>
    <x v="16"/>
    <x v="6"/>
    <n v="-3271155.48"/>
    <n v="-2083698.3723989616"/>
    <n v="-1187457.1076010384"/>
    <m/>
  </r>
  <r>
    <s v="K.10001.01.02.02"/>
    <x v="130"/>
    <s v="Pamela Snavely"/>
    <x v="16"/>
    <x v="6"/>
    <n v="-4351.8999999999996"/>
    <n v="-8741.8672479930447"/>
    <n v="4389.967247993045"/>
    <m/>
  </r>
  <r>
    <s v="K.10002.01.01.01"/>
    <x v="131"/>
    <s v="Pamela Snavely"/>
    <x v="16"/>
    <x v="6"/>
    <n v="-6855945.3500000006"/>
    <n v="-7274662.1972517809"/>
    <n v="418716.84725178033"/>
    <m/>
  </r>
  <r>
    <s v="K.10002.01.01.06"/>
    <x v="132"/>
    <s v="Pamela Snavely"/>
    <x v="16"/>
    <x v="6"/>
    <n v="-1624.43"/>
    <n v="0"/>
    <n v="-1624.43"/>
    <m/>
  </r>
  <r>
    <s v="K.10002.01.02.06"/>
    <x v="133"/>
    <s v="Pamela Snavely"/>
    <x v="16"/>
    <x v="6"/>
    <n v="-17735305.920000002"/>
    <n v="-12334338.251034532"/>
    <n v="-5400967.66896547"/>
    <m/>
  </r>
  <r>
    <s v="K.10003.01.01.01"/>
    <x v="134"/>
    <s v="Thomas Danielson"/>
    <x v="16"/>
    <x v="6"/>
    <n v="-900406.27000000014"/>
    <n v="0"/>
    <n v="-900406.27000000014"/>
    <m/>
  </r>
  <r>
    <s v="K.10003.01.01.03"/>
    <x v="135"/>
    <s v="Pamela Snavely"/>
    <x v="16"/>
    <x v="6"/>
    <n v="-73042.259999999995"/>
    <n v="0"/>
    <n v="-73042.259999999995"/>
    <m/>
  </r>
  <r>
    <s v="K.10003.02.01.01"/>
    <x v="136"/>
    <s v="Thomas Danielson"/>
    <x v="16"/>
    <x v="6"/>
    <n v="0"/>
    <n v="-9218984.0155663453"/>
    <n v="9218984.0155663453"/>
    <m/>
  </r>
  <r>
    <s v="K.10003.02.01.02"/>
    <x v="137"/>
    <s v="Thomas Danielson"/>
    <x v="16"/>
    <x v="6"/>
    <n v="-17153.780000000002"/>
    <n v="0"/>
    <n v="-17153.780000000002"/>
    <m/>
  </r>
  <r>
    <s v="K.10004.01.01.01"/>
    <x v="138"/>
    <s v="Stephanie Imamovic"/>
    <x v="17"/>
    <x v="4"/>
    <n v="-2630258.21"/>
    <n v="-824670.06"/>
    <n v="-1805588.15"/>
    <m/>
  </r>
  <r>
    <s v="K.10006.01.01.01"/>
    <x v="139"/>
    <s v="Matthew Blanton"/>
    <x v="16"/>
    <x v="6"/>
    <n v="-8759.5500000000011"/>
    <n v="-8907.725538949464"/>
    <n v="148.17553894946286"/>
    <m/>
  </r>
  <r>
    <s v="K.10006.01.01.02"/>
    <x v="140"/>
    <s v="Matthew Blanton"/>
    <x v="16"/>
    <x v="6"/>
    <n v="-1198744.01"/>
    <n v="-744086.76464406971"/>
    <n v="-454657.2453559303"/>
    <m/>
  </r>
  <r>
    <s v="K.10007.01.01.02"/>
    <x v="141"/>
    <s v="Nancy Atwood"/>
    <x v="18"/>
    <x v="6"/>
    <n v="-584026.15"/>
    <n v="-971673.7679454037"/>
    <n v="387647.61794540368"/>
    <m/>
  </r>
  <r>
    <s v="K.10008.01.01.03"/>
    <x v="142"/>
    <s v="Nancy Atwood"/>
    <x v="18"/>
    <x v="6"/>
    <n v="-137200.89000000001"/>
    <n v="-64769.006217385446"/>
    <n v="-72431.883782614575"/>
    <m/>
  </r>
  <r>
    <s v="K.10009.01.01.03"/>
    <x v="143"/>
    <s v="Charlie Sziebert"/>
    <x v="16"/>
    <x v="6"/>
    <n v="-22178.059999999998"/>
    <n v="-8750.1066301967039"/>
    <n v="-13427.953369803294"/>
    <m/>
  </r>
  <r>
    <s v="K.10009.01.01.04"/>
    <x v="144"/>
    <s v="Charlie Sziebert"/>
    <x v="16"/>
    <x v="6"/>
    <n v="-655845.82000000007"/>
    <n v="-3101707.4075276647"/>
    <n v="2445861.5875276644"/>
    <m/>
  </r>
  <r>
    <s v="K.10010.01.01.03"/>
    <x v="145"/>
    <s v="Charlie Sziebert"/>
    <x v="16"/>
    <x v="6"/>
    <n v="-8998.5299999999988"/>
    <n v="-9740.0318393317229"/>
    <n v="741.50183933172411"/>
    <m/>
  </r>
  <r>
    <s v="K.10010.01.01.04"/>
    <x v="146"/>
    <s v="Charlie Sziebert"/>
    <x v="16"/>
    <x v="6"/>
    <n v="-2139214.87"/>
    <n v="-3561953.8520971662"/>
    <n v="1422738.9820971661"/>
    <m/>
  </r>
  <r>
    <s v="K.10012.01.01.10"/>
    <x v="147"/>
    <s v="Brian Fellon"/>
    <x v="8"/>
    <x v="1"/>
    <n v="0"/>
    <n v="-811171.05334335181"/>
    <n v="811171.05334335181"/>
    <m/>
  </r>
  <r>
    <s v="K.10012.01.02.18"/>
    <x v="148"/>
    <s v="Brian Fellon"/>
    <x v="8"/>
    <x v="1"/>
    <n v="-0.5700000000000216"/>
    <n v="0"/>
    <n v="-0.5700000000000216"/>
    <m/>
  </r>
  <r>
    <s v="K.10012.01.05.04"/>
    <x v="149"/>
    <s v="Brian Fellon"/>
    <x v="8"/>
    <x v="1"/>
    <n v="-126005.21999999999"/>
    <n v="0"/>
    <n v="-126005.21999999999"/>
    <m/>
  </r>
  <r>
    <s v="K.10012.01.05.11"/>
    <x v="150"/>
    <s v="Brian Fellon"/>
    <x v="8"/>
    <x v="1"/>
    <n v="100729.54"/>
    <n v="0"/>
    <n v="100729.54"/>
    <m/>
  </r>
  <r>
    <s v="K.10013.01.01.01"/>
    <x v="151"/>
    <s v="Gerald Klug"/>
    <x v="18"/>
    <x v="6"/>
    <n v="-44521.57"/>
    <n v="-8742.1993310007401"/>
    <n v="-35779.370668999261"/>
    <m/>
  </r>
  <r>
    <s v="K.10013.01.01.02"/>
    <x v="152"/>
    <s v="Gerald Klug"/>
    <x v="18"/>
    <x v="6"/>
    <n v="-1669853.0900000003"/>
    <n v="-2337319.7836062713"/>
    <n v="667466.69360627094"/>
    <m/>
  </r>
  <r>
    <s v="K.10014.01.01.02"/>
    <x v="153"/>
    <s v="Gerald Klug"/>
    <x v="18"/>
    <x v="6"/>
    <n v="3595.8600000000006"/>
    <n v="9590572.292749688"/>
    <n v="-9586976.4327496886"/>
    <m/>
  </r>
  <r>
    <s v="K.10015.01.01.01"/>
    <x v="154"/>
    <s v="Paul Smith"/>
    <x v="18"/>
    <x v="6"/>
    <n v="-1701868.57"/>
    <n v="-1972285.7412400157"/>
    <n v="270417.17124001565"/>
    <m/>
  </r>
  <r>
    <s v="K.10015.01.01.02"/>
    <x v="155"/>
    <s v="Paul Smith"/>
    <x v="18"/>
    <x v="6"/>
    <n v="-5780.45"/>
    <n v="-34133.431382262374"/>
    <n v="28352.981382262373"/>
    <m/>
  </r>
  <r>
    <s v="K.10015.01.01.03"/>
    <x v="156"/>
    <s v="Paul Smith"/>
    <x v="18"/>
    <x v="6"/>
    <n v="-17826.53"/>
    <n v="-8.220930000000001"/>
    <n v="-17818.309069999999"/>
    <m/>
  </r>
  <r>
    <s v="K.10016.01.01.01"/>
    <x v="157"/>
    <s v="Patrick Haworth"/>
    <x v="18"/>
    <x v="6"/>
    <n v="-1972210.1"/>
    <n v="-2645913.9873993746"/>
    <n v="673703.88739937451"/>
    <m/>
  </r>
  <r>
    <s v="K.10017.01.01.01"/>
    <x v="158"/>
    <s v="Steven St Clair"/>
    <x v="16"/>
    <x v="6"/>
    <n v="-297080.38999999996"/>
    <n v="0"/>
    <n v="-297080.38999999996"/>
    <m/>
  </r>
  <r>
    <s v="K.10017.01.01.02"/>
    <x v="159"/>
    <s v="Pamela Snavely"/>
    <x v="16"/>
    <x v="6"/>
    <n v="-3054790.9"/>
    <n v="0"/>
    <n v="-3054790.9"/>
    <m/>
  </r>
  <r>
    <s v="K.10017.01.01.03"/>
    <x v="160"/>
    <s v="Steven St Clair"/>
    <x v="16"/>
    <x v="6"/>
    <n v="0"/>
    <n v="-78260.519081936349"/>
    <n v="78260.519081936349"/>
    <m/>
  </r>
  <r>
    <s v="K.10017.01.02.01"/>
    <x v="161"/>
    <s v="Paul Smith"/>
    <x v="18"/>
    <x v="6"/>
    <n v="0"/>
    <n v="-198780.17049297309"/>
    <n v="198780.17049297309"/>
    <m/>
  </r>
  <r>
    <s v="K.10017.01.03.01"/>
    <x v="162"/>
    <s v="Paul Smith"/>
    <x v="18"/>
    <x v="6"/>
    <n v="0"/>
    <n v="-279178.78352535918"/>
    <n v="279178.78352535918"/>
    <m/>
  </r>
  <r>
    <s v="K.10018.01.01.01"/>
    <x v="163"/>
    <s v="Paul Smith"/>
    <x v="18"/>
    <x v="6"/>
    <n v="-2366622.3299999996"/>
    <n v="-4070011.5449392949"/>
    <n v="1703389.2149392953"/>
    <m/>
  </r>
  <r>
    <s v="K.10018.01.01.02"/>
    <x v="164"/>
    <s v="Paul Smith"/>
    <x v="18"/>
    <x v="6"/>
    <n v="-8794.6999999999989"/>
    <n v="-34558.622921534588"/>
    <n v="25763.922921534591"/>
    <m/>
  </r>
  <r>
    <s v="K.10019.01.01.01"/>
    <x v="165"/>
    <s v="Sara Kiyohara"/>
    <x v="18"/>
    <x v="6"/>
    <n v="0"/>
    <n v="-9079.2784517848868"/>
    <n v="9079.2784517848868"/>
    <m/>
  </r>
  <r>
    <s v="K.10019.01.01.02"/>
    <x v="166"/>
    <s v="Sara Kiyohara"/>
    <x v="18"/>
    <x v="6"/>
    <n v="-1658913.7800000003"/>
    <n v="-1104403.2635514846"/>
    <n v="-554510.5164485157"/>
    <m/>
  </r>
  <r>
    <s v="K.10020.01.01.03"/>
    <x v="167"/>
    <s v="Sara Kiyohara"/>
    <x v="18"/>
    <x v="6"/>
    <n v="-14435849.020000001"/>
    <n v="-14828422.517420096"/>
    <n v="392573.49742009491"/>
    <m/>
  </r>
  <r>
    <s v="K.10021.01.01.01"/>
    <x v="168"/>
    <s v="Edward Cassady"/>
    <x v="18"/>
    <x v="6"/>
    <n v="-86166.02"/>
    <n v="-391203.93052065192"/>
    <n v="305037.9105206519"/>
    <m/>
  </r>
  <r>
    <s v="K.10021.01.01.02"/>
    <x v="169"/>
    <s v="Edward Cassady"/>
    <x v="18"/>
    <x v="6"/>
    <n v="-1338.08"/>
    <n v="-8680.9960424976271"/>
    <n v="7342.9160424976271"/>
    <m/>
  </r>
  <r>
    <s v="K.10022.01.01.04"/>
    <x v="170"/>
    <s v="Edward Cassady"/>
    <x v="18"/>
    <x v="6"/>
    <n v="-1796843.84"/>
    <n v="-2257824.8150250069"/>
    <n v="460980.9750250068"/>
    <m/>
  </r>
  <r>
    <s v="K.10023.01.01.01"/>
    <x v="171"/>
    <s v="Steven Nims"/>
    <x v="16"/>
    <x v="6"/>
    <n v="-4469.619999999999"/>
    <n v="-9799.756248834683"/>
    <n v="5330.136248834684"/>
    <m/>
  </r>
  <r>
    <s v="K.10023.01.01.02"/>
    <x v="172"/>
    <s v="Steven Nims"/>
    <x v="16"/>
    <x v="6"/>
    <n v="-3891601.1999999997"/>
    <n v="0"/>
    <n v="-3891601.1999999997"/>
    <m/>
  </r>
  <r>
    <s v="K.10025.01.02.01"/>
    <x v="173"/>
    <s v="Ronald Roberts"/>
    <x v="18"/>
    <x v="6"/>
    <n v="-37404.859999999993"/>
    <n v="-35882.374722248729"/>
    <n v="-1522.4852777512642"/>
    <m/>
  </r>
  <r>
    <s v="K.10025.01.02.02"/>
    <x v="174"/>
    <s v="Ronald Roberts"/>
    <x v="18"/>
    <x v="6"/>
    <n v="-13591.179999999998"/>
    <n v="-12728.323466785405"/>
    <n v="-862.85653321459358"/>
    <m/>
  </r>
  <r>
    <s v="K.10025.01.02.03"/>
    <x v="175"/>
    <s v="Ronald Roberts"/>
    <x v="18"/>
    <x v="6"/>
    <n v="0"/>
    <n v="-36089.35429507088"/>
    <n v="36089.35429507088"/>
    <m/>
  </r>
  <r>
    <s v="K.10025.01.02.06"/>
    <x v="176"/>
    <s v="Ronald Roberts"/>
    <x v="18"/>
    <x v="6"/>
    <n v="-684.16000000000008"/>
    <n v="0"/>
    <n v="-684.16000000000008"/>
    <m/>
  </r>
  <r>
    <s v="K.10025.01.03.01"/>
    <x v="177"/>
    <s v="Diane Perry"/>
    <x v="8"/>
    <x v="1"/>
    <m/>
    <m/>
    <n v="0"/>
    <m/>
  </r>
  <r>
    <s v="K.10026.01.01.03"/>
    <x v="178"/>
    <s v="Charlie Sziebert"/>
    <x v="16"/>
    <x v="6"/>
    <n v="0"/>
    <n v="-8969.9882808904422"/>
    <n v="8969.9882808904422"/>
    <m/>
  </r>
  <r>
    <s v="K.10026.01.01.04"/>
    <x v="179"/>
    <s v="Charlie Sziebert"/>
    <x v="16"/>
    <x v="6"/>
    <n v="-1432511.2600000002"/>
    <n v="-39120.151874345203"/>
    <n v="-1393391.108125655"/>
    <m/>
  </r>
  <r>
    <s v="K.10028.01.01.01"/>
    <x v="180"/>
    <s v="Scott Lichtenberg"/>
    <x v="16"/>
    <x v="6"/>
    <n v="0"/>
    <n v="-12690.482133681084"/>
    <n v="12690.482133681084"/>
    <m/>
  </r>
  <r>
    <s v="K.10028.01.01.03"/>
    <x v="181"/>
    <s v="Scott Lichtenberg"/>
    <x v="16"/>
    <x v="6"/>
    <n v="-21598.040000000005"/>
    <n v="0"/>
    <n v="-21598.040000000005"/>
    <m/>
  </r>
  <r>
    <s v="K.10028.01.01.04"/>
    <x v="182"/>
    <s v="Scott Lichtenberg"/>
    <x v="16"/>
    <x v="6"/>
    <n v="-2341537.3700000006"/>
    <n v="-4359030.2563500023"/>
    <n v="2017492.8863500017"/>
    <m/>
  </r>
  <r>
    <s v="K.10038.01.01.01"/>
    <x v="183"/>
    <s v="Therese Miranda-Blackney"/>
    <x v="19"/>
    <x v="4"/>
    <n v="-20478.250000000015"/>
    <n v="-1128673.2549599998"/>
    <n v="1108195.0049599998"/>
    <m/>
  </r>
  <r>
    <s v="R.10004.01.01.01"/>
    <x v="184"/>
    <s v="Andrew Markos"/>
    <x v="20"/>
    <x v="2"/>
    <n v="0"/>
    <n v="-146624.00000000041"/>
    <n v="146624.00000000041"/>
    <m/>
  </r>
  <r>
    <s v="R.10005.01.01.01"/>
    <x v="185"/>
    <s v="Anthony Pagano"/>
    <x v="1"/>
    <x v="2"/>
    <n v="-79903.810000000012"/>
    <n v="0"/>
    <n v="-79903.810000000012"/>
    <m/>
  </r>
  <r>
    <s v="R.10005.01.01.02"/>
    <x v="186"/>
    <s v="Anthony Pagano"/>
    <x v="1"/>
    <x v="2"/>
    <n v="-1952.77"/>
    <n v="0"/>
    <n v="-1952.77"/>
    <m/>
  </r>
  <r>
    <s v="R.10005.01.01.04"/>
    <x v="187"/>
    <s v="Anthony Pagano"/>
    <x v="1"/>
    <x v="2"/>
    <n v="0"/>
    <n v="-762596.6138704659"/>
    <n v="762596.6138704659"/>
    <m/>
  </r>
  <r>
    <s v="R.10005.01.01.07"/>
    <x v="188"/>
    <s v="Anthony Pagano"/>
    <x v="1"/>
    <x v="2"/>
    <n v="-277762.83999999997"/>
    <n v="0"/>
    <n v="-277762.83999999997"/>
    <m/>
  </r>
  <r>
    <s v="R.10005.01.01.08"/>
    <x v="189"/>
    <s v="Anthony Pagano"/>
    <x v="1"/>
    <x v="2"/>
    <n v="-61310.669999999991"/>
    <n v="-133587.2624153888"/>
    <n v="72276.592415388819"/>
    <m/>
  </r>
  <r>
    <s v="R.10006.01.01.03"/>
    <x v="190"/>
    <s v="Anthony Pagano"/>
    <x v="1"/>
    <x v="2"/>
    <n v="-6421975.79"/>
    <n v="-4270934.1688662115"/>
    <n v="-2151041.6211337885"/>
    <m/>
  </r>
  <r>
    <s v="R.10006.01.01.04"/>
    <x v="191"/>
    <s v="Anthony Pagano"/>
    <x v="1"/>
    <x v="2"/>
    <n v="-1544834.15"/>
    <n v="-1014566.9518661882"/>
    <n v="-530267.1981338117"/>
    <m/>
  </r>
  <r>
    <s v="R.10006.01.01.07"/>
    <x v="192"/>
    <s v="Anthony Pagano"/>
    <x v="1"/>
    <x v="2"/>
    <n v="-475541.9"/>
    <n v="-350939.75078643515"/>
    <n v="-124602.14921356487"/>
    <m/>
  </r>
  <r>
    <s v="R.10007.02.01.02"/>
    <x v="193"/>
    <s v="Anthony Pagano"/>
    <x v="1"/>
    <x v="2"/>
    <n v="-174.46"/>
    <n v="0"/>
    <n v="-174.46"/>
    <m/>
  </r>
  <r>
    <s v="R.10007.06.01.01"/>
    <x v="194"/>
    <s v="Tyler Pavel"/>
    <x v="21"/>
    <x v="2"/>
    <n v="8593299.5"/>
    <n v="17388699.999999959"/>
    <n v="-8795400.499999959"/>
    <m/>
  </r>
  <r>
    <s v="R.10007.07.01.01"/>
    <x v="195"/>
    <s v="Jennifer Tada"/>
    <x v="22"/>
    <x v="2"/>
    <n v="86939.409999999945"/>
    <n v="-1142819.4691762801"/>
    <n v="1229758.87917628"/>
    <m/>
  </r>
  <r>
    <s v="R.10007.08.01.01"/>
    <x v="196"/>
    <s v="Jennifer Tada"/>
    <x v="22"/>
    <x v="2"/>
    <n v="-4362726.3500000015"/>
    <n v="-3452.753015949349"/>
    <n v="-4359273.5969840521"/>
    <m/>
  </r>
  <r>
    <s v="R.10007.08.02.01"/>
    <x v="197"/>
    <s v="Jennifer Tada"/>
    <x v="22"/>
    <x v="2"/>
    <n v="-6377886.2200000016"/>
    <n v="-17543.818873808475"/>
    <n v="-6360342.4011261929"/>
    <m/>
  </r>
  <r>
    <s v="R.10007.08.02.02"/>
    <x v="198"/>
    <s v="Jennifer Tada"/>
    <x v="22"/>
    <x v="2"/>
    <n v="-602052.64000000013"/>
    <n v="0"/>
    <n v="-602052.64000000013"/>
    <m/>
  </r>
  <r>
    <s v="R.10007.09.01.01"/>
    <x v="199"/>
    <s v="Jennifer Tada"/>
    <x v="22"/>
    <x v="2"/>
    <n v="-14731545.119999997"/>
    <n v="-328048.10019989865"/>
    <n v="-14403497.019800099"/>
    <m/>
  </r>
  <r>
    <s v="R.10007.09.02.01"/>
    <x v="200"/>
    <s v="Jennifer Tada"/>
    <x v="22"/>
    <x v="2"/>
    <n v="-4681542.5399999991"/>
    <n v="-1602482.7392020761"/>
    <n v="-3079059.800797923"/>
    <m/>
  </r>
  <r>
    <s v="R.10007.09.03.02"/>
    <x v="201"/>
    <s v="Jennifer Tada"/>
    <x v="22"/>
    <x v="2"/>
    <n v="-18716986.229999997"/>
    <n v="-4737374.8751579449"/>
    <n v="-13979611.354842052"/>
    <m/>
  </r>
  <r>
    <s v="R.10007.09.04.01"/>
    <x v="202"/>
    <s v="Jennifer Tada"/>
    <x v="22"/>
    <x v="2"/>
    <n v="-13841399.749999994"/>
    <n v="-194567.04748128986"/>
    <n v="-13646832.702518705"/>
    <m/>
  </r>
  <r>
    <s v="R.10007.12.01.01"/>
    <x v="203"/>
    <s v="Anthony Pagano"/>
    <x v="1"/>
    <x v="2"/>
    <n v="-6582109.7000000002"/>
    <n v="0"/>
    <n v="-6582109.7000000002"/>
    <m/>
  </r>
  <r>
    <s v="R.10007.12.03.01"/>
    <x v="204"/>
    <s v="Anthony Pagano"/>
    <x v="1"/>
    <x v="2"/>
    <n v="-724138.4"/>
    <n v="402539.19530159194"/>
    <n v="-1126677.595301592"/>
    <m/>
  </r>
  <r>
    <s v="R.10008.01.01.01"/>
    <x v="205"/>
    <s v="Jennifer Tada"/>
    <x v="22"/>
    <x v="2"/>
    <n v="37260.210000012798"/>
    <n v="-586460.13722090423"/>
    <n v="623720.347220917"/>
    <m/>
  </r>
  <r>
    <s v="R.10008.01.01.02"/>
    <x v="206"/>
    <s v="Jennifer Tada"/>
    <x v="22"/>
    <x v="2"/>
    <n v="-1686581.2599999995"/>
    <n v="-302625.25514570269"/>
    <n v="-1383956.0048542968"/>
    <m/>
  </r>
  <r>
    <s v="R.10008.02.01.01"/>
    <x v="207"/>
    <s v="Andrew Markos"/>
    <x v="20"/>
    <x v="2"/>
    <n v="-17500.509999999998"/>
    <n v="-256323.99999999965"/>
    <n v="238823.48999999964"/>
    <m/>
  </r>
  <r>
    <s v="R.10008.03.01.01"/>
    <x v="208"/>
    <s v="Jennifer Tada"/>
    <x v="22"/>
    <x v="2"/>
    <n v="-2739220.27"/>
    <n v="-861814.15282373549"/>
    <n v="-1877406.1171762645"/>
    <m/>
  </r>
  <r>
    <s v="R.10008.03.01.03"/>
    <x v="209"/>
    <s v="Jennifer Tada"/>
    <x v="22"/>
    <x v="2"/>
    <n v="-15343313.549999997"/>
    <n v="-6305398.0468544792"/>
    <n v="-9037915.5031455178"/>
    <m/>
  </r>
  <r>
    <s v="R.10008.03.01.04"/>
    <x v="210"/>
    <s v="Jennifer Tada"/>
    <x v="22"/>
    <x v="2"/>
    <n v="-4668066.9499999983"/>
    <n v="-3782262.3531804639"/>
    <n v="-885804.59681953443"/>
    <m/>
  </r>
  <r>
    <s v="R.10008.03.01.05"/>
    <x v="211"/>
    <s v="Jennifer Tada"/>
    <x v="22"/>
    <x v="2"/>
    <n v="-423517.23000000004"/>
    <n v="-42777.416438186134"/>
    <n v="-380739.81356181391"/>
    <m/>
  </r>
  <r>
    <s v="R.10008.03.01.13"/>
    <x v="212"/>
    <s v="Stephanie Kreshel"/>
    <x v="1"/>
    <x v="2"/>
    <n v="156956.6"/>
    <n v="45751.767883173794"/>
    <n v="111204.8321168262"/>
    <m/>
  </r>
  <r>
    <s v="R.10008.03.01.14"/>
    <x v="213"/>
    <s v="Jennifer Tada"/>
    <x v="22"/>
    <x v="2"/>
    <n v="80515.219999999899"/>
    <n v="-174864.31364979941"/>
    <n v="255379.5336497993"/>
    <m/>
  </r>
  <r>
    <s v="R.10008.05.01.01"/>
    <x v="214"/>
    <s v="Anthony Pagano"/>
    <x v="1"/>
    <x v="2"/>
    <n v="1336589.9300000002"/>
    <n v="0"/>
    <n v="1336589.9300000002"/>
    <m/>
  </r>
  <r>
    <s v="R.10008.05.01.02"/>
    <x v="215"/>
    <s v="Anthony Pagano"/>
    <x v="1"/>
    <x v="2"/>
    <n v="-1989317.7800000003"/>
    <n v="0"/>
    <n v="-1989317.7800000003"/>
    <m/>
  </r>
  <r>
    <s v="R.10008.07.01.01"/>
    <x v="216"/>
    <s v="Anthony Pagano"/>
    <x v="1"/>
    <x v="2"/>
    <n v="-208574.06"/>
    <n v="-579868.1633594709"/>
    <n v="371294.1033594709"/>
    <m/>
  </r>
  <r>
    <s v="R.10008.07.02.01"/>
    <x v="217"/>
    <s v="Anthony Pagano"/>
    <x v="1"/>
    <x v="2"/>
    <n v="0"/>
    <n v="-942562.69200210588"/>
    <n v="942562.69200210588"/>
    <m/>
  </r>
  <r>
    <s v="R.10009.01.01.01"/>
    <x v="218"/>
    <s v="Anthony Pagano"/>
    <x v="1"/>
    <x v="2"/>
    <n v="-327481.64"/>
    <n v="-526997.4616409021"/>
    <n v="199515.82164090208"/>
    <m/>
  </r>
  <r>
    <s v="R.10009.02.01.02"/>
    <x v="219"/>
    <s v="John Phillips"/>
    <x v="22"/>
    <x v="2"/>
    <n v="-92371.970000000016"/>
    <n v="0"/>
    <n v="-92371.970000000016"/>
    <m/>
  </r>
  <r>
    <s v="R.10009.02.01.03"/>
    <x v="220"/>
    <s v="John Phillips"/>
    <x v="22"/>
    <x v="2"/>
    <n v="-541599.29999999993"/>
    <n v="-612257.04912493099"/>
    <n v="70657.749124931055"/>
    <m/>
  </r>
  <r>
    <s v="R.10009.04.01.02"/>
    <x v="221"/>
    <s v="Kim Marie Harris"/>
    <x v="21"/>
    <x v="4"/>
    <n v="-1922547.6499999994"/>
    <n v="0"/>
    <n v="-1922547.6499999994"/>
    <m/>
  </r>
  <r>
    <s v="R.10009.05.01.01"/>
    <x v="222"/>
    <s v="Tom Koeppel"/>
    <x v="3"/>
    <x v="2"/>
    <n v="-2276971.46"/>
    <n v="-3537856.0686793714"/>
    <n v="1260884.6086793714"/>
    <m/>
  </r>
  <r>
    <s v="R.10009.05.01.02"/>
    <x v="223"/>
    <s v="Tom Koeppel"/>
    <x v="3"/>
    <x v="2"/>
    <n v="-2289164.5"/>
    <n v="-1706503.2013557961"/>
    <n v="-582661.29864420393"/>
    <m/>
  </r>
  <r>
    <s v="R.10009.05.01.03"/>
    <x v="224"/>
    <s v="Tom Koeppel"/>
    <x v="3"/>
    <x v="2"/>
    <n v="-1392005.6"/>
    <n v="-1561540.4883292869"/>
    <n v="169534.88832928683"/>
    <m/>
  </r>
  <r>
    <s v="R.10009.05.02.01"/>
    <x v="225"/>
    <s v="Tom Koeppel"/>
    <x v="3"/>
    <x v="2"/>
    <n v="-2592100.8000000003"/>
    <n v="-1155135.265726232"/>
    <n v="-1436965.5342737683"/>
    <m/>
  </r>
  <r>
    <s v="R.10009.05.02.02"/>
    <x v="226"/>
    <s v="Tom Koeppel"/>
    <x v="3"/>
    <x v="2"/>
    <n v="-23566111.069999997"/>
    <n v="-16384171.11281178"/>
    <n v="-7181939.957188217"/>
    <m/>
  </r>
  <r>
    <s v="R.10009.05.02.03"/>
    <x v="227"/>
    <s v="Tom Koeppel"/>
    <x v="3"/>
    <x v="2"/>
    <n v="-25665121.789999995"/>
    <n v="-17735483.544329397"/>
    <n v="-7929638.245670598"/>
    <m/>
  </r>
  <r>
    <s v="R.10009.05.02.04"/>
    <x v="228"/>
    <s v="Jennifer Tada"/>
    <x v="22"/>
    <x v="2"/>
    <n v="-2885404.93"/>
    <n v="-4767615.2291070791"/>
    <n v="1882210.2991070789"/>
    <m/>
  </r>
  <r>
    <s v="R.10009.05.02.05"/>
    <x v="229"/>
    <s v="Jennifer Tada"/>
    <x v="22"/>
    <x v="2"/>
    <n v="-5809975.9299999997"/>
    <n v="-77270.408691708741"/>
    <n v="-5732705.5213082908"/>
    <m/>
  </r>
  <r>
    <s v="R.10009.07.01.01"/>
    <x v="230"/>
    <s v="Stephanie Kreshel"/>
    <x v="1"/>
    <x v="2"/>
    <n v="20729.98"/>
    <n v="-2101770.1830291268"/>
    <n v="2122500.1630291268"/>
    <m/>
  </r>
  <r>
    <s v="R.10009.07.01.03"/>
    <x v="231"/>
    <s v="Stephanie Kreshel"/>
    <x v="1"/>
    <x v="2"/>
    <n v="-3966627.5300000007"/>
    <n v="-970471.10265976202"/>
    <n v="-2996156.4273402388"/>
    <m/>
  </r>
  <r>
    <s v="R.10009.07.03.01"/>
    <x v="232"/>
    <s v="Jennifer Tada"/>
    <x v="22"/>
    <x v="2"/>
    <n v="-433258.59"/>
    <n v="-23122.496188339908"/>
    <n v="-410136.09381166013"/>
    <m/>
  </r>
  <r>
    <s v="R.10009.08.01.02"/>
    <x v="233"/>
    <s v="Stephanie Kreshel"/>
    <x v="1"/>
    <x v="2"/>
    <n v="-22055101.060000002"/>
    <n v="-19066599.134576462"/>
    <n v="-2988501.9254235402"/>
    <m/>
  </r>
  <r>
    <s v="R.10009.08.01.07"/>
    <x v="234"/>
    <s v="Stephanie Kreshel"/>
    <x v="1"/>
    <x v="2"/>
    <n v="-5481367.3600000003"/>
    <n v="-1225889.1263919855"/>
    <n v="-4255478.2336080149"/>
    <m/>
  </r>
  <r>
    <s v="R.10009.08.02.01"/>
    <x v="235"/>
    <s v="Randal Walls"/>
    <x v="3"/>
    <x v="2"/>
    <n v="-57.85"/>
    <n v="0"/>
    <n v="-57.85"/>
    <m/>
  </r>
  <r>
    <s v="R.10009.08.02.03"/>
    <x v="236"/>
    <s v="Anthony Pagano"/>
    <x v="1"/>
    <x v="2"/>
    <n v="0"/>
    <n v="-815876.02999999968"/>
    <n v="815876.02999999968"/>
    <m/>
  </r>
  <r>
    <s v="R.10009.08.02.05"/>
    <x v="237"/>
    <s v="Stephanie Kreshel"/>
    <x v="1"/>
    <x v="2"/>
    <n v="0"/>
    <n v="-35921973.44277709"/>
    <n v="35921973.44277709"/>
    <m/>
  </r>
  <r>
    <s v="R.10009.08.02.07"/>
    <x v="238"/>
    <s v="Stephanie Kreshel"/>
    <x v="1"/>
    <x v="2"/>
    <n v="-6316085.5699999994"/>
    <n v="-5647053.9177504089"/>
    <n v="-669031.65224959049"/>
    <m/>
  </r>
  <r>
    <s v="R.10009.08.02.09"/>
    <x v="239"/>
    <s v="Stephanie Kreshel"/>
    <x v="1"/>
    <x v="2"/>
    <n v="-10585242.869999999"/>
    <n v="-5346024.8646613471"/>
    <n v="-5239218.0053386521"/>
    <m/>
  </r>
  <r>
    <s v="R.10009.08.02.10"/>
    <x v="240"/>
    <s v="Stephanie Kreshel"/>
    <x v="1"/>
    <x v="2"/>
    <n v="-8530130.6899999995"/>
    <n v="-7796775.9340889389"/>
    <n v="-733354.75591106061"/>
    <m/>
  </r>
  <r>
    <s v="R.10009.08.02.12"/>
    <x v="241"/>
    <s v="Stephanie Kreshel"/>
    <x v="1"/>
    <x v="2"/>
    <n v="-2856208.79"/>
    <n v="-1941116.1751145546"/>
    <n v="-915092.61488544545"/>
    <m/>
  </r>
  <r>
    <s v="R.10009.08.02.13"/>
    <x v="242"/>
    <s v="Stephanie Kreshel"/>
    <x v="1"/>
    <x v="2"/>
    <n v="-155988.55999999997"/>
    <n v="0"/>
    <n v="-155988.55999999997"/>
    <m/>
  </r>
  <r>
    <s v="R.10009.08.02.14"/>
    <x v="243"/>
    <s v="Stephanie Kreshel"/>
    <x v="1"/>
    <x v="2"/>
    <n v="-12131135.530000001"/>
    <n v="-5943259.5284354677"/>
    <n v="-6187876.0015645334"/>
    <m/>
  </r>
  <r>
    <s v="R.10009.08.02.15"/>
    <x v="244"/>
    <s v="Stephanie Kreshel"/>
    <x v="1"/>
    <x v="2"/>
    <n v="-1452907.89"/>
    <n v="-957837.8105865703"/>
    <n v="-495070.0794134296"/>
    <m/>
  </r>
  <r>
    <s v="R.10009.08.02.17"/>
    <x v="245"/>
    <s v="Stephanie Kreshel"/>
    <x v="1"/>
    <x v="2"/>
    <n v="-1707611.7999999998"/>
    <n v="-1061291.1559889046"/>
    <n v="-646320.64401109517"/>
    <m/>
  </r>
  <r>
    <s v="R.10009.08.02.18"/>
    <x v="246"/>
    <s v="Anthony Pagano"/>
    <x v="1"/>
    <x v="2"/>
    <n v="-892.18"/>
    <n v="-809.57372929571864"/>
    <n v="-82.606270704281314"/>
    <m/>
  </r>
  <r>
    <s v="R.10009.08.02.19"/>
    <x v="247"/>
    <s v="Jennifer Boyer"/>
    <x v="23"/>
    <x v="2"/>
    <n v="-28219.920000000002"/>
    <n v="-343.58994116342234"/>
    <n v="-27876.330058836578"/>
    <m/>
  </r>
  <r>
    <s v="R.10009.08.02.20"/>
    <x v="248"/>
    <s v="Jennifer Boyer"/>
    <x v="23"/>
    <x v="2"/>
    <n v="0"/>
    <n v="-3019.2287270564416"/>
    <n v="3019.2287270564416"/>
    <m/>
  </r>
  <r>
    <s v="R.10009.08.02.22"/>
    <x v="249"/>
    <s v="Stephanie Kreshel"/>
    <x v="1"/>
    <x v="2"/>
    <n v="-524.0100000000001"/>
    <n v="-1493605.781765586"/>
    <n v="1493081.771765586"/>
    <m/>
  </r>
  <r>
    <s v="R.10009.08.02.23"/>
    <x v="250"/>
    <s v="Anthony Pagano"/>
    <x v="1"/>
    <x v="2"/>
    <n v="0"/>
    <n v="-278.03114841678655"/>
    <n v="278.03114841678655"/>
    <m/>
  </r>
  <r>
    <s v="R.10009.08.02.24"/>
    <x v="251"/>
    <s v="Anthony Pagano"/>
    <x v="1"/>
    <x v="2"/>
    <n v="-1347501.5900000003"/>
    <n v="-1413267.7423115743"/>
    <n v="65766.152311573969"/>
    <m/>
  </r>
  <r>
    <s v="R.10009.08.02.25"/>
    <x v="252"/>
    <s v="Stephanie Kreshel"/>
    <x v="1"/>
    <x v="2"/>
    <n v="-2604439.79"/>
    <n v="-161747.64343363733"/>
    <n v="-2442692.1465663626"/>
    <m/>
  </r>
  <r>
    <s v="R.10009.08.02.28"/>
    <x v="253"/>
    <s v="Stephanie Kreshel"/>
    <x v="1"/>
    <x v="2"/>
    <n v="-213059.72"/>
    <n v="-2439.4244755307986"/>
    <n v="-210620.2955244692"/>
    <m/>
  </r>
  <r>
    <s v="R.10009.08.03.01"/>
    <x v="254"/>
    <s v="Kellie Anderson"/>
    <x v="6"/>
    <x v="4"/>
    <n v="-646477.94999999995"/>
    <n v="0"/>
    <n v="-646477.94999999995"/>
    <m/>
  </r>
  <r>
    <s v="R.10009.08.05.02"/>
    <x v="255"/>
    <s v="Tom Koeppel"/>
    <x v="3"/>
    <x v="2"/>
    <n v="-4091229.6399999997"/>
    <n v="-1174487.6535068189"/>
    <n v="-2916741.9864931805"/>
    <m/>
  </r>
  <r>
    <s v="R.10009.08.05.03"/>
    <x v="256"/>
    <s v="Tom Koeppel"/>
    <x v="3"/>
    <x v="2"/>
    <n v="-6439.6200000000008"/>
    <n v="-370670.03978016641"/>
    <n v="364230.41978016641"/>
    <m/>
  </r>
  <r>
    <s v="R.10009.08.05.04"/>
    <x v="257"/>
    <s v="Malcolm McCulloch"/>
    <x v="12"/>
    <x v="5"/>
    <n v="-10254.730000000001"/>
    <n v="-1202422.340939404"/>
    <n v="1192167.610939404"/>
    <m/>
  </r>
  <r>
    <s v="R.10009.08.05.05"/>
    <x v="258"/>
    <s v="Anthony Pagano"/>
    <x v="1"/>
    <x v="2"/>
    <n v="-4625877"/>
    <n v="-19882787.855425242"/>
    <n v="15256910.855425242"/>
    <m/>
  </r>
  <r>
    <s v="R.10009.08.05.07"/>
    <x v="259"/>
    <s v="Anthony Pagano"/>
    <x v="1"/>
    <x v="2"/>
    <n v="-5907743.4300000006"/>
    <n v="-5882135.6730823377"/>
    <n v="-25607.756917662919"/>
    <m/>
  </r>
  <r>
    <s v="R.10009.08.05.16"/>
    <x v="260"/>
    <s v="Anthony Pagano"/>
    <x v="1"/>
    <x v="2"/>
    <n v="-6160077.0700000003"/>
    <n v="-132602.58469901333"/>
    <n v="-6027474.485300987"/>
    <m/>
  </r>
  <r>
    <s v="R.10009.08.05.17"/>
    <x v="261"/>
    <s v="Anthony Pagano"/>
    <x v="1"/>
    <x v="2"/>
    <n v="-46436.770000000004"/>
    <n v="-8484.2528510976499"/>
    <n v="-37952.517148902356"/>
    <m/>
  </r>
  <r>
    <s v="R.10009.08.06.01"/>
    <x v="262"/>
    <s v="Stephanie Kreshel"/>
    <x v="1"/>
    <x v="2"/>
    <n v="0"/>
    <n v="-471432.51441521733"/>
    <n v="471432.51441521733"/>
    <m/>
  </r>
  <r>
    <s v="R.10009.09.01.02"/>
    <x v="263"/>
    <s v="Anthony Pagano"/>
    <x v="1"/>
    <x v="2"/>
    <n v="0"/>
    <n v="-1168.2136096328079"/>
    <n v="1168.2136096328079"/>
    <m/>
  </r>
  <r>
    <s v="R.10009.12.01.01"/>
    <x v="264"/>
    <s v="John Mannetti"/>
    <x v="24"/>
    <x v="7"/>
    <n v="-3826724.8500000006"/>
    <n v="-42532246.445002936"/>
    <n v="38705521.595002934"/>
    <m/>
  </r>
  <r>
    <s v="R.10009.12.01.03"/>
    <x v="265"/>
    <s v="John Mannetti"/>
    <x v="24"/>
    <x v="7"/>
    <n v="-125899.80000000002"/>
    <n v="-1283134.1956212255"/>
    <n v="1157234.3956212255"/>
    <m/>
  </r>
  <r>
    <s v="R.10009.12.01.04"/>
    <x v="266"/>
    <s v="John Mannetti"/>
    <x v="24"/>
    <x v="7"/>
    <n v="-40350087.849999994"/>
    <n v="0"/>
    <n v="-40350087.849999994"/>
    <m/>
  </r>
  <r>
    <s v="R.10009.12.01.05"/>
    <x v="267"/>
    <s v="John Mannetti"/>
    <x v="24"/>
    <x v="7"/>
    <n v="-25815026.250000007"/>
    <n v="0"/>
    <n v="-25815026.250000007"/>
    <m/>
  </r>
  <r>
    <s v="R.10009.12.01.09"/>
    <x v="268"/>
    <s v="Steve Schueneman"/>
    <x v="25"/>
    <x v="2"/>
    <n v="-4.7704895589362195E-18"/>
    <n v="-2399.9999999999973"/>
    <n v="2399.9999999999973"/>
    <m/>
  </r>
  <r>
    <s v="R.10009.12.02.04"/>
    <x v="269"/>
    <s v="Anthony Pagano"/>
    <x v="1"/>
    <x v="2"/>
    <n v="-28.810000000000006"/>
    <n v="-19235.042903999998"/>
    <n v="19206.232903999997"/>
    <m/>
  </r>
  <r>
    <s v="R.10009.12.03.01"/>
    <x v="270"/>
    <s v="Anthony Pagano"/>
    <x v="1"/>
    <x v="2"/>
    <n v="-7114204.5099999998"/>
    <n v="-8217819.5401985403"/>
    <n v="1103615.0301985405"/>
    <m/>
  </r>
  <r>
    <s v="R.10009.12.03.04"/>
    <x v="271"/>
    <s v="Anthony Pagano"/>
    <x v="1"/>
    <x v="2"/>
    <n v="392"/>
    <n v="0"/>
    <n v="392"/>
    <m/>
  </r>
  <r>
    <s v="R.10009.14.01.01"/>
    <x v="272"/>
    <s v="Anthony Pagano"/>
    <x v="1"/>
    <x v="2"/>
    <n v="-326569.98"/>
    <n v="0"/>
    <n v="-326569.98"/>
    <m/>
  </r>
  <r>
    <s v="R.10009.14.01.02"/>
    <x v="273"/>
    <s v="Anthony Pagano"/>
    <x v="1"/>
    <x v="2"/>
    <n v="-105356.34"/>
    <n v="0"/>
    <n v="-105356.34"/>
    <m/>
  </r>
  <r>
    <s v="R.10009.14.03.01"/>
    <x v="274"/>
    <s v="Anthony Pagano"/>
    <x v="1"/>
    <x v="2"/>
    <n v="-895899.95000000007"/>
    <n v="0"/>
    <n v="-895899.95000000007"/>
    <m/>
  </r>
  <r>
    <s v="R.10009.14.03.03"/>
    <x v="275"/>
    <s v="Frank Chandler"/>
    <x v="9"/>
    <x v="1"/>
    <n v="-117021.46"/>
    <n v="0"/>
    <n v="-117021.46"/>
    <m/>
  </r>
  <r>
    <s v="R.10009.14.04.01"/>
    <x v="276"/>
    <s v="Anthony Pagano"/>
    <x v="1"/>
    <x v="2"/>
    <n v="-961066.92"/>
    <n v="0"/>
    <n v="-961066.92"/>
    <m/>
  </r>
  <r>
    <s v="R.10009.14.05.02"/>
    <x v="277"/>
    <s v="Randal Walls"/>
    <x v="3"/>
    <x v="2"/>
    <n v="-751434.29"/>
    <n v="-6159355.1381790107"/>
    <n v="5407920.8481790107"/>
    <m/>
  </r>
  <r>
    <s v="R.10009.14.05.03"/>
    <x v="278"/>
    <s v="Randal Walls"/>
    <x v="3"/>
    <x v="2"/>
    <n v="-1316969.5200000005"/>
    <n v="-2994517.3169782683"/>
    <n v="1677547.7969782678"/>
    <m/>
  </r>
  <r>
    <s v="R.10009.14.05.05"/>
    <x v="279"/>
    <s v="Anthony Pagano"/>
    <x v="1"/>
    <x v="2"/>
    <n v="-1626350.5599999998"/>
    <n v="-11481.873981504688"/>
    <n v="-1614868.6860184951"/>
    <m/>
  </r>
  <r>
    <s v="R.10009.14.05.06"/>
    <x v="280"/>
    <s v="Anthony Pagano"/>
    <x v="1"/>
    <x v="2"/>
    <n v="0"/>
    <n v="-8486169.6373281572"/>
    <n v="8486169.6373281572"/>
    <m/>
  </r>
  <r>
    <s v="R.10009.14.05.07"/>
    <x v="281"/>
    <s v="Anthony Pagano"/>
    <x v="1"/>
    <x v="2"/>
    <n v="-1026076.33"/>
    <n v="-12557.455440509662"/>
    <n v="-1013518.8745594902"/>
    <m/>
  </r>
  <r>
    <s v="R.10009.14.05.10"/>
    <x v="282"/>
    <s v="Anthony Pagano"/>
    <x v="1"/>
    <x v="2"/>
    <n v="-11883.58"/>
    <n v="-131113.20130301209"/>
    <n v="119229.62130301209"/>
    <m/>
  </r>
  <r>
    <s v="R.10009.14.05.11"/>
    <x v="283"/>
    <s v="Brett Conrad"/>
    <x v="3"/>
    <x v="2"/>
    <n v="0"/>
    <n v="-407526.27271763206"/>
    <n v="407526.27271763206"/>
    <m/>
  </r>
  <r>
    <s v="R.10009.14.05.15"/>
    <x v="284"/>
    <s v="Randal Walls"/>
    <x v="3"/>
    <x v="2"/>
    <n v="0"/>
    <n v="-25174.333847740021"/>
    <n v="25174.333847740021"/>
    <m/>
  </r>
  <r>
    <s v="R.10009.14.06.01"/>
    <x v="285"/>
    <s v="Anthony Pagano"/>
    <x v="1"/>
    <x v="2"/>
    <n v="-1104653.19"/>
    <n v="-27477.059530902341"/>
    <n v="-1077176.1304690975"/>
    <m/>
  </r>
  <r>
    <s v="R.10009.14.07.01"/>
    <x v="286"/>
    <s v="Anthony Pagano"/>
    <x v="1"/>
    <x v="2"/>
    <n v="-4881801.9299999988"/>
    <n v="-1233096.8502165272"/>
    <n v="-3648705.0797834713"/>
    <m/>
  </r>
  <r>
    <s v="R.10009.17.01.01"/>
    <x v="287"/>
    <s v="Andrew Markos"/>
    <x v="20"/>
    <x v="2"/>
    <n v="-106054.75000000001"/>
    <n v="-849999.99999999942"/>
    <n v="743945.24999999942"/>
    <m/>
  </r>
  <r>
    <s v="R.10011.01.01.02"/>
    <x v="288"/>
    <s v="Anthony Pagano"/>
    <x v="1"/>
    <x v="2"/>
    <n v="-19052.23"/>
    <n v="-12533.172614040554"/>
    <n v="-6519.057385959446"/>
    <m/>
  </r>
  <r>
    <s v="R.10011.01.01.03"/>
    <x v="289"/>
    <s v="Anthony Pagano"/>
    <x v="1"/>
    <x v="2"/>
    <n v="-379628.87000000005"/>
    <n v="-544318.60363704024"/>
    <n v="164689.73363704019"/>
    <m/>
  </r>
  <r>
    <s v="R.10011.01.01.04"/>
    <x v="290"/>
    <s v="Loretta Baggenstos"/>
    <x v="25"/>
    <x v="2"/>
    <n v="-31367.53"/>
    <n v="-183214.26975386785"/>
    <n v="151846.73975386785"/>
    <m/>
  </r>
  <r>
    <s v="R.10011.01.01.07"/>
    <x v="291"/>
    <s v="Anthony Pagano"/>
    <x v="1"/>
    <x v="2"/>
    <n v="0"/>
    <n v="-585638.18040723435"/>
    <n v="585638.18040723435"/>
    <m/>
  </r>
  <r>
    <s v="R.10011.01.01.10"/>
    <x v="292"/>
    <s v="Paul Riley"/>
    <x v="25"/>
    <x v="2"/>
    <n v="-2920.4199999999996"/>
    <n v="-59.562392879999997"/>
    <n v="-2860.8576071199996"/>
    <m/>
  </r>
  <r>
    <s v="R.10012.01.01.01"/>
    <x v="293"/>
    <s v="Jennifer Tada"/>
    <x v="22"/>
    <x v="2"/>
    <n v="-1421152.24"/>
    <n v="-90721963.827774242"/>
    <n v="89300811.587774247"/>
    <m/>
  </r>
  <r>
    <s v="R.10012.01.01.02"/>
    <x v="294"/>
    <s v="Jennifer Tada"/>
    <x v="22"/>
    <x v="2"/>
    <n v="-2518327.7499999995"/>
    <n v="-19817.837709763291"/>
    <n v="-2498509.9122902364"/>
    <m/>
  </r>
  <r>
    <s v="R.10012.01.02.01"/>
    <x v="295"/>
    <s v="Jennifer Tada"/>
    <x v="22"/>
    <x v="2"/>
    <n v="-1019567.7200000002"/>
    <n v="-34389.036907058799"/>
    <n v="-985178.68309294141"/>
    <m/>
  </r>
  <r>
    <s v="R.10012.01.02.02"/>
    <x v="296"/>
    <s v="Jennifer Tada"/>
    <x v="22"/>
    <x v="2"/>
    <n v="-9019755.6000000015"/>
    <n v="-17159.511265195943"/>
    <n v="-9002596.0887348056"/>
    <m/>
  </r>
  <r>
    <s v="R.10012.02.01.01"/>
    <x v="297"/>
    <s v="Tyler Pavel"/>
    <x v="21"/>
    <x v="2"/>
    <n v="1411391.3399999999"/>
    <n v="1548399.999999996"/>
    <n v="-137008.65999999619"/>
    <m/>
  </r>
  <r>
    <s v="R.10012.03.01.01"/>
    <x v="298"/>
    <s v="Jennifer Tada"/>
    <x v="22"/>
    <x v="2"/>
    <n v="-5356578.4300000006"/>
    <n v="-2907116.8388002338"/>
    <n v="-2449461.5911997668"/>
    <m/>
  </r>
  <r>
    <s v="R.10012.03.02.01"/>
    <x v="299"/>
    <s v="Jennifer Tada"/>
    <x v="22"/>
    <x v="2"/>
    <n v="-2511457.7399999993"/>
    <n v="-35940.955616185987"/>
    <n v="-2475516.7843838134"/>
    <m/>
  </r>
  <r>
    <s v="R.10012.03.03.01"/>
    <x v="300"/>
    <s v="Jennifer Tada"/>
    <x v="22"/>
    <x v="2"/>
    <n v="-6131634.3800000008"/>
    <n v="-337792.25247504498"/>
    <n v="-5793842.1275249561"/>
    <m/>
  </r>
  <r>
    <s v="R.10012.03.03.02"/>
    <x v="301"/>
    <s v="Jennifer Tada"/>
    <x v="22"/>
    <x v="2"/>
    <n v="-3092890.18"/>
    <n v="-26571.915949503546"/>
    <n v="-3066318.2640504967"/>
    <m/>
  </r>
  <r>
    <s v="R.10012.04.01.01"/>
    <x v="302"/>
    <s v="Jennifer Tada"/>
    <x v="22"/>
    <x v="2"/>
    <n v="-8793413.0299999993"/>
    <n v="-7135.7059427120903"/>
    <n v="-8786277.3240572866"/>
    <m/>
  </r>
  <r>
    <s v="R.10012.04.02.01"/>
    <x v="303"/>
    <s v="Jennifer Tada"/>
    <x v="22"/>
    <x v="2"/>
    <n v="-4288590.67"/>
    <n v="-497.08362264671564"/>
    <n v="-4288093.5863773534"/>
    <m/>
  </r>
  <r>
    <s v="R.10012.04.03.02"/>
    <x v="304"/>
    <s v="Jennifer Tada"/>
    <x v="22"/>
    <x v="2"/>
    <n v="-27454805.229999989"/>
    <n v="-335.97149033117768"/>
    <n v="-27454469.258509658"/>
    <m/>
  </r>
  <r>
    <s v="R.10012.04.03.03"/>
    <x v="305"/>
    <s v="Jennifer Tada"/>
    <x v="22"/>
    <x v="2"/>
    <n v="-9268134.8900000639"/>
    <n v="0"/>
    <n v="-9268134.8900000639"/>
    <m/>
  </r>
  <r>
    <s v="R.10012.06.01.01"/>
    <x v="306"/>
    <s v="Jennifer Tada"/>
    <x v="22"/>
    <x v="2"/>
    <n v="-7292.1"/>
    <n v="0"/>
    <n v="-7292.1"/>
    <m/>
  </r>
  <r>
    <s v="R.10013.01.01.01"/>
    <x v="307"/>
    <s v="Jennifer Tada"/>
    <x v="22"/>
    <x v="2"/>
    <n v="-97687.62"/>
    <n v="-17967502.97506113"/>
    <n v="17869815.355061129"/>
    <m/>
  </r>
  <r>
    <s v="R.10013.02.01.01"/>
    <x v="308"/>
    <s v="Andrew Markos"/>
    <x v="20"/>
    <x v="2"/>
    <n v="0"/>
    <n v="-410156.00000000029"/>
    <n v="410156.00000000029"/>
    <m/>
  </r>
  <r>
    <s v="R.10013.03.01.02"/>
    <x v="309"/>
    <s v="Anthony Pagano"/>
    <x v="1"/>
    <x v="2"/>
    <n v="-2642.54"/>
    <n v="0"/>
    <n v="-2642.54"/>
    <m/>
  </r>
  <r>
    <s v="R.10013.04.01.01"/>
    <x v="310"/>
    <s v="Jennifer Tada"/>
    <x v="22"/>
    <x v="2"/>
    <n v="-19394596.650000006"/>
    <n v="-3035414.8927939767"/>
    <n v="-16359181.75720603"/>
    <m/>
  </r>
  <r>
    <s v="R.10013.04.01.02"/>
    <x v="311"/>
    <s v="Jennifer Tada"/>
    <x v="22"/>
    <x v="2"/>
    <n v="-622494.14999999991"/>
    <n v="-88913.182825184544"/>
    <n v="-533580.96717481536"/>
    <m/>
  </r>
  <r>
    <s v="R.10013.04.01.04"/>
    <x v="312"/>
    <s v="Jennifer Tada"/>
    <x v="22"/>
    <x v="2"/>
    <n v="-1482069.7399999998"/>
    <n v="-487080.27335586469"/>
    <n v="-994989.46664413507"/>
    <m/>
  </r>
  <r>
    <s v="R.10013.05.01.01"/>
    <x v="313"/>
    <s v="Anthony Pagano"/>
    <x v="1"/>
    <x v="2"/>
    <n v="-5310891.51"/>
    <n v="-6571905.156990381"/>
    <n v="1261013.6469903812"/>
    <m/>
  </r>
  <r>
    <s v="R.10013.05.01.02"/>
    <x v="314"/>
    <s v="Anthony Pagano"/>
    <x v="1"/>
    <x v="2"/>
    <n v="-1090.33"/>
    <n v="0"/>
    <n v="-1090.33"/>
    <m/>
  </r>
  <r>
    <s v="R.10013.05.01.03"/>
    <x v="315"/>
    <s v="Michael Kirk"/>
    <x v="0"/>
    <x v="0"/>
    <n v="-156.16000000000003"/>
    <n v="0"/>
    <n v="-156.16000000000003"/>
    <m/>
  </r>
  <r>
    <s v="R.10013.05.01.05"/>
    <x v="316"/>
    <s v="Kevin Rodwell,"/>
    <x v="2"/>
    <x v="1"/>
    <n v="-326.96000000000004"/>
    <n v="0"/>
    <n v="-326.96000000000004"/>
    <m/>
  </r>
  <r>
    <s v="R.10013.06.01.01"/>
    <x v="317"/>
    <s v="Anthony Pagano"/>
    <x v="1"/>
    <x v="2"/>
    <n v="-44298.32"/>
    <n v="-51211.455382381268"/>
    <n v="6913.1353823812678"/>
    <m/>
  </r>
  <r>
    <s v="R.10013.07.01.01"/>
    <x v="318"/>
    <s v="Jennifer Tada"/>
    <x v="22"/>
    <x v="2"/>
    <n v="-6025.5099999999966"/>
    <n v="-6744.3420826951178"/>
    <n v="718.83208269512124"/>
    <m/>
  </r>
  <r>
    <s v="R.10013.07.01.02"/>
    <x v="319"/>
    <s v="Jennifer Tada"/>
    <x v="22"/>
    <x v="2"/>
    <n v="-644098.41"/>
    <n v="-2770.3443842876318"/>
    <n v="-641328.06561571243"/>
    <m/>
  </r>
  <r>
    <s v="R.10014.01.01.01"/>
    <x v="320"/>
    <s v="Anthony Pagano"/>
    <x v="1"/>
    <x v="2"/>
    <n v="0"/>
    <n v="-2776711.5906654131"/>
    <n v="2776711.5906654131"/>
    <m/>
  </r>
  <r>
    <s v="R.10015.01.01.01"/>
    <x v="321"/>
    <s v="Stephanie Kreshel"/>
    <x v="1"/>
    <x v="2"/>
    <n v="-336467.65999999992"/>
    <n v="-417207.49451054871"/>
    <n v="80739.834510548797"/>
    <m/>
  </r>
  <r>
    <s v="R.10015.01.01.02"/>
    <x v="322"/>
    <s v="Stephanie Kreshel"/>
    <x v="1"/>
    <x v="2"/>
    <n v="-2788007.5899999989"/>
    <n v="-3472519.926962988"/>
    <n v="684512.33696298907"/>
    <m/>
  </r>
  <r>
    <s v="R.10015.01.01.03"/>
    <x v="323"/>
    <s v="Kathleen (Niecie) Weatherby"/>
    <x v="20"/>
    <x v="2"/>
    <n v="-125166.12"/>
    <n v="-1014615.6276073115"/>
    <n v="889449.50760731148"/>
    <m/>
  </r>
  <r>
    <s v="R.10015.01.01.05"/>
    <x v="324"/>
    <s v="Paul Riley"/>
    <x v="25"/>
    <x v="2"/>
    <n v="-1201614.3699999999"/>
    <n v="-1463682.422924662"/>
    <n v="262068.05292466213"/>
    <m/>
  </r>
  <r>
    <s v="R.10015.02.01.02"/>
    <x v="325"/>
    <s v="Kim Marie Harris"/>
    <x v="21"/>
    <x v="4"/>
    <n v="-237260.96000000002"/>
    <n v="0"/>
    <n v="-237260.96000000002"/>
    <m/>
  </r>
  <r>
    <s v="R.10015.03.01.01"/>
    <x v="326"/>
    <s v="Stephanie Kreshel"/>
    <x v="1"/>
    <x v="2"/>
    <n v="-342.99"/>
    <n v="-297757.76646929054"/>
    <n v="297414.77646929055"/>
    <m/>
  </r>
  <r>
    <s v="R.10015.03.02.01"/>
    <x v="327"/>
    <s v="Stephanie Kreshel"/>
    <x v="1"/>
    <x v="2"/>
    <n v="-16837.649999999998"/>
    <n v="-480392.79539849114"/>
    <n v="463555.14539849112"/>
    <m/>
  </r>
  <r>
    <s v="R.10015.03.04.01"/>
    <x v="328"/>
    <s v="Stephanie Kreshel"/>
    <x v="1"/>
    <x v="2"/>
    <n v="-35144085.850000001"/>
    <n v="-48330854.443081588"/>
    <n v="13186768.593081586"/>
    <m/>
  </r>
  <r>
    <s v="R.10015.03.04.02"/>
    <x v="329"/>
    <s v="Stephanie Kreshel"/>
    <x v="1"/>
    <x v="2"/>
    <n v="-2078671.4500000002"/>
    <n v="-3629008.3855663119"/>
    <n v="1550336.9355663117"/>
    <m/>
  </r>
  <r>
    <s v="R.10015.03.04.03"/>
    <x v="330"/>
    <s v="Stephanie Kreshel"/>
    <x v="1"/>
    <x v="2"/>
    <n v="-288508.83999999997"/>
    <n v="-1349908.1781527372"/>
    <n v="1061399.3381527374"/>
    <m/>
  </r>
  <r>
    <s v="R.10015.03.05.04"/>
    <x v="331"/>
    <s v="Anthony Pagano"/>
    <x v="1"/>
    <x v="2"/>
    <n v="0"/>
    <n v="-49.703927520000008"/>
    <n v="49.703927520000008"/>
    <m/>
  </r>
  <r>
    <s v="R.10015.03.06.01"/>
    <x v="332"/>
    <s v="Stephanie Kreshel"/>
    <x v="1"/>
    <x v="2"/>
    <n v="-75462.75"/>
    <n v="0"/>
    <n v="-75462.75"/>
    <m/>
  </r>
  <r>
    <s v="R.10015.03.06.02"/>
    <x v="333"/>
    <s v="Jennifer Boyer"/>
    <x v="23"/>
    <x v="2"/>
    <n v="0"/>
    <n v="-1085.1389019671803"/>
    <n v="1085.1389019671803"/>
    <m/>
  </r>
  <r>
    <s v="R.10015.03.07.01"/>
    <x v="334"/>
    <s v="Stephanie Kreshel"/>
    <x v="1"/>
    <x v="2"/>
    <n v="-11233.499999999996"/>
    <n v="-290674.55948923231"/>
    <n v="279441.05948923231"/>
    <m/>
  </r>
  <r>
    <s v="R.10015.03.07.03"/>
    <x v="335"/>
    <s v="Stephanie Kreshel"/>
    <x v="1"/>
    <x v="2"/>
    <n v="-1067134.1199999999"/>
    <n v="-1161563.4822422285"/>
    <n v="94429.362242228584"/>
    <m/>
  </r>
  <r>
    <s v="R.10015.03.08.01"/>
    <x v="336"/>
    <s v="Stephanie Kreshel"/>
    <x v="1"/>
    <x v="2"/>
    <n v="-3422.1300000000006"/>
    <n v="-2025.39265001081"/>
    <n v="-1396.7373499891905"/>
    <m/>
  </r>
  <r>
    <s v="R.10015.03.09.01"/>
    <x v="337"/>
    <s v="Stephanie Kreshel"/>
    <x v="1"/>
    <x v="2"/>
    <n v="-834091.36999999988"/>
    <n v="-2752360.9735655151"/>
    <n v="1918269.6035655153"/>
    <m/>
  </r>
  <r>
    <s v="R.10015.03.09.03"/>
    <x v="338"/>
    <s v="Anthony Pagano"/>
    <x v="1"/>
    <x v="2"/>
    <n v="-4567643.07"/>
    <n v="-3964378.7212223504"/>
    <n v="-603264.34877764992"/>
    <m/>
  </r>
  <r>
    <s v="R.10015.03.09.05"/>
    <x v="339"/>
    <s v="Loretta Baggenstos"/>
    <x v="25"/>
    <x v="2"/>
    <n v="0"/>
    <n v="-221356.36307685706"/>
    <n v="221356.36307685706"/>
    <m/>
  </r>
  <r>
    <s v="R.10015.03.09.07"/>
    <x v="340"/>
    <s v="Anthony Pagano"/>
    <x v="1"/>
    <x v="2"/>
    <n v="-1658106.92"/>
    <n v="-418195.3714144234"/>
    <n v="-1239911.5485855765"/>
    <m/>
  </r>
  <r>
    <s v="R.10015.03.09.14"/>
    <x v="341"/>
    <s v="Stephanie Kreshel"/>
    <x v="1"/>
    <x v="2"/>
    <n v="-158730.41999999998"/>
    <n v="-2853435.0285680955"/>
    <n v="2694704.6085680956"/>
    <m/>
  </r>
  <r>
    <s v="R.10015.03.09.15"/>
    <x v="342"/>
    <s v="Stephanie Kreshel"/>
    <x v="1"/>
    <x v="2"/>
    <n v="-4615484.3499999978"/>
    <n v="-4836071.9643872036"/>
    <n v="220587.6143872058"/>
    <m/>
  </r>
  <r>
    <s v="R.10015.03.11.01"/>
    <x v="343"/>
    <s v="John Klippert"/>
    <x v="25"/>
    <x v="2"/>
    <n v="-1454.2000000000003"/>
    <n v="-174990.18899162501"/>
    <n v="173535.988991625"/>
    <m/>
  </r>
  <r>
    <s v="R.10015.04.01.02"/>
    <x v="344"/>
    <s v="John Klippert"/>
    <x v="25"/>
    <x v="2"/>
    <n v="-1441519.0899999999"/>
    <n v="-3645823.2743201517"/>
    <n v="2204304.1843201518"/>
    <m/>
  </r>
  <r>
    <s v="R.10015.04.01.03"/>
    <x v="345"/>
    <s v="John Klippert"/>
    <x v="25"/>
    <x v="2"/>
    <n v="-525013.64"/>
    <n v="-996731.10279210459"/>
    <n v="471717.46279210458"/>
    <m/>
  </r>
  <r>
    <s v="R.10015.04.01.04"/>
    <x v="346"/>
    <s v="John Klippert"/>
    <x v="25"/>
    <x v="2"/>
    <n v="-1916290.2000000002"/>
    <n v="-1970621.5825773161"/>
    <n v="54331.382577315904"/>
    <m/>
  </r>
  <r>
    <s v="R.10015.04.01.05"/>
    <x v="347"/>
    <s v="John Klippert"/>
    <x v="25"/>
    <x v="2"/>
    <n v="-7508664.0000000028"/>
    <n v="-6629827.1322910925"/>
    <n v="-878836.86770891026"/>
    <m/>
  </r>
  <r>
    <s v="R.10015.04.01.06"/>
    <x v="348"/>
    <s v="John Klippert"/>
    <x v="25"/>
    <x v="2"/>
    <n v="-25226.21"/>
    <n v="-289257.89835480007"/>
    <n v="264031.68835480005"/>
    <m/>
  </r>
  <r>
    <s v="R.10015.04.01.07"/>
    <x v="349"/>
    <s v="John Klippert"/>
    <x v="25"/>
    <x v="2"/>
    <n v="-121251.01"/>
    <n v="-144118.51084963555"/>
    <n v="22867.500849635559"/>
    <m/>
  </r>
  <r>
    <s v="R.10015.04.01.08"/>
    <x v="350"/>
    <s v="John Klippert"/>
    <x v="25"/>
    <x v="2"/>
    <n v="0"/>
    <n v="-144509.83436760004"/>
    <n v="144509.83436760004"/>
    <m/>
  </r>
  <r>
    <s v="R.10015.04.01.09"/>
    <x v="351"/>
    <s v="John Klippert"/>
    <x v="25"/>
    <x v="2"/>
    <n v="-21574.399999999998"/>
    <n v="-1170763.7893381955"/>
    <n v="1149189.3893381956"/>
    <m/>
  </r>
  <r>
    <s v="R.10015.04.01.12"/>
    <x v="352"/>
    <s v="Chakradhari Damidi"/>
    <x v="11"/>
    <x v="2"/>
    <n v="-431900.89999999991"/>
    <n v="0"/>
    <n v="-431900.89999999991"/>
    <m/>
  </r>
  <r>
    <s v="R.10015.04.01.13"/>
    <x v="353"/>
    <s v="Laurent P Sayer"/>
    <x v="8"/>
    <x v="2"/>
    <n v="-136959.72"/>
    <n v="0"/>
    <n v="-136959.72"/>
    <m/>
  </r>
  <r>
    <s v="R.10015.05.01.01"/>
    <x v="354"/>
    <s v="Anthony Pagano"/>
    <x v="1"/>
    <x v="2"/>
    <n v="-773.56999999999994"/>
    <n v="-1176.1589987058437"/>
    <n v="402.58899870584378"/>
    <m/>
  </r>
  <r>
    <s v="R.10015.06.01.01"/>
    <x v="355"/>
    <s v="Stephanie Kreshel"/>
    <x v="1"/>
    <x v="2"/>
    <n v="0"/>
    <n v="-28888.675200000012"/>
    <n v="28888.675200000012"/>
    <m/>
  </r>
  <r>
    <s v="R.10015.06.01.02"/>
    <x v="356"/>
    <s v="Anthony Pagano"/>
    <x v="1"/>
    <x v="2"/>
    <n v="-207188.26999999996"/>
    <n v="-347558.85316716065"/>
    <n v="140370.58316716069"/>
    <m/>
  </r>
  <r>
    <s v="R.10015.06.01.04"/>
    <x v="357"/>
    <s v="Anthony Pagano"/>
    <x v="1"/>
    <x v="2"/>
    <n v="-286260.26"/>
    <n v="-437461.29206794256"/>
    <n v="151201.03206794255"/>
    <m/>
  </r>
  <r>
    <s v="R.10015.06.01.05"/>
    <x v="358"/>
    <s v="Stephanie Kreshel"/>
    <x v="1"/>
    <x v="2"/>
    <n v="-3614460.51"/>
    <n v="-4472404.555658441"/>
    <n v="857944.04565844126"/>
    <m/>
  </r>
  <r>
    <s v="R.10015.07.01.01"/>
    <x v="359"/>
    <s v="John Klippert"/>
    <x v="25"/>
    <x v="2"/>
    <n v="1.9999999999999997E-2"/>
    <n v="0"/>
    <n v="1.9999999999999997E-2"/>
    <m/>
  </r>
  <r>
    <s v="R.10019.01.01.02"/>
    <x v="360"/>
    <s v="Anthony Pagano"/>
    <x v="1"/>
    <x v="2"/>
    <n v="0"/>
    <n v="-7967622.301871445"/>
    <n v="7967622.301871445"/>
    <m/>
  </r>
  <r>
    <s v="R.10019.03.01.03"/>
    <x v="361"/>
    <s v="Anthony Pagano"/>
    <x v="1"/>
    <x v="2"/>
    <n v="0"/>
    <n v="-3746867.6141023864"/>
    <n v="3746867.6141023864"/>
    <m/>
  </r>
  <r>
    <s v="R.10022.01.01.01"/>
    <x v="362"/>
    <s v="Anthony Pagano"/>
    <x v="1"/>
    <x v="2"/>
    <n v="0"/>
    <n v="-483963.30764539208"/>
    <n v="483963.30764539208"/>
    <m/>
  </r>
  <r>
    <s v="R.10024.01.01.04"/>
    <x v="363"/>
    <s v="Loretta Baggenstos"/>
    <x v="25"/>
    <x v="2"/>
    <n v="-415367.76"/>
    <n v="-1905850.0999999959"/>
    <n v="1490482.3399999959"/>
    <m/>
  </r>
  <r>
    <s v="R.10024.01.01.05"/>
    <x v="364"/>
    <s v="Turushia Thomas"/>
    <x v="3"/>
    <x v="2"/>
    <n v="-71228.560000000012"/>
    <n v="0"/>
    <n v="-71228.560000000012"/>
    <m/>
  </r>
  <r>
    <s v="R.10024.01.01.07"/>
    <x v="365"/>
    <s v="John Mannetti"/>
    <x v="24"/>
    <x v="2"/>
    <n v="-28313.3"/>
    <n v="0"/>
    <n v="-28313.3"/>
    <m/>
  </r>
  <r>
    <s v="R.10024.01.01.09"/>
    <x v="366"/>
    <s v="Loretta Baggenstos"/>
    <x v="25"/>
    <x v="2"/>
    <n v="-1405979.9100000006"/>
    <n v="-533130.04369558929"/>
    <n v="-872849.86630441132"/>
    <m/>
  </r>
  <r>
    <s v="R.10024.02.01.01"/>
    <x v="367"/>
    <s v="Loretta Baggenstos"/>
    <x v="25"/>
    <x v="2"/>
    <n v="-103771.52"/>
    <n v="-183871.24110803552"/>
    <n v="80099.721108035519"/>
    <m/>
  </r>
  <r>
    <s v="R.10024.02.01.03"/>
    <x v="368"/>
    <s v="Loretta Baggenstos"/>
    <x v="25"/>
    <x v="2"/>
    <n v="-479189.36"/>
    <n v="-1293212.2658346782"/>
    <n v="814022.90583467821"/>
    <m/>
  </r>
  <r>
    <s v="R.10024.04.01.01"/>
    <x v="369"/>
    <s v="Lindsay Yonce"/>
    <x v="4"/>
    <x v="1"/>
    <n v="-100516.68"/>
    <n v="0"/>
    <n v="-100516.68"/>
    <m/>
  </r>
  <r>
    <s v="R.10027.01.01.01"/>
    <x v="370"/>
    <s v="Anthony Pagano"/>
    <x v="1"/>
    <x v="2"/>
    <n v="-660.52"/>
    <n v="0"/>
    <n v="-660.52"/>
    <m/>
  </r>
  <r>
    <s v="R.10027.02.01.01"/>
    <x v="371"/>
    <s v="Anthony Pagano"/>
    <x v="1"/>
    <x v="2"/>
    <n v="-38883.850000000006"/>
    <n v="0"/>
    <n v="-38883.850000000006"/>
    <m/>
  </r>
  <r>
    <s v="R.10027.02.01.02"/>
    <x v="372"/>
    <s v="Anthony Pagano"/>
    <x v="1"/>
    <x v="2"/>
    <n v="0"/>
    <n v="-615175.01192232023"/>
    <n v="615175.01192232023"/>
    <m/>
  </r>
  <r>
    <s v="R.10028.01.01.01"/>
    <x v="373"/>
    <s v="Anthony Pagano"/>
    <x v="1"/>
    <x v="2"/>
    <n v="0"/>
    <n v="-8727.0199999999986"/>
    <n v="8727.0199999999986"/>
    <m/>
  </r>
  <r>
    <s v="R.10029.01.01.01"/>
    <x v="374"/>
    <s v="Anthony Pagano"/>
    <x v="1"/>
    <x v="2"/>
    <n v="-192.65999999999997"/>
    <n v="0"/>
    <n v="-192.65999999999997"/>
    <m/>
  </r>
  <r>
    <s v="R.10031.01.01.02"/>
    <x v="375"/>
    <s v="Anthony Pagano"/>
    <x v="1"/>
    <x v="2"/>
    <n v="-1327181.1999999997"/>
    <n v="-658798.07264283113"/>
    <n v="-668383.12735716859"/>
    <m/>
  </r>
  <r>
    <s v="R.10031.03.01.01"/>
    <x v="376"/>
    <s v="Anthony Pagano"/>
    <x v="1"/>
    <x v="2"/>
    <n v="0"/>
    <n v="-22989916.785140418"/>
    <n v="22989916.785140418"/>
    <m/>
  </r>
  <r>
    <s v="R.10033.01.01.03"/>
    <x v="377"/>
    <s v="Kevin Murray"/>
    <x v="23"/>
    <x v="2"/>
    <n v="-4653891.330000001"/>
    <n v="-1984665.9999999963"/>
    <n v="-2669225.3300000047"/>
    <m/>
  </r>
  <r>
    <s v="R.10033.01.01.09"/>
    <x v="378"/>
    <s v="Kevin Murray"/>
    <x v="23"/>
    <x v="2"/>
    <n v="-2605045.36"/>
    <n v="-1333734"/>
    <n v="-1271311.3599999999"/>
    <m/>
  </r>
  <r>
    <s v="R.10033.01.01.19"/>
    <x v="379"/>
    <s v="Frederick Emrick"/>
    <x v="23"/>
    <x v="2"/>
    <n v="-28410.69"/>
    <n v="0"/>
    <n v="-28410.69"/>
    <m/>
  </r>
  <r>
    <s v="R.10033.02.01.01"/>
    <x v="380"/>
    <s v="Troy Nutter"/>
    <x v="26"/>
    <x v="1"/>
    <n v="-193714.94"/>
    <n v="-249999.99999999965"/>
    <n v="56285.059999999648"/>
    <m/>
  </r>
  <r>
    <s v="R.10035.02.01.01"/>
    <x v="381"/>
    <s v="Anthony Pagano"/>
    <x v="1"/>
    <x v="2"/>
    <n v="0"/>
    <n v="-1995977.8076246229"/>
    <n v="1995977.8076246229"/>
    <m/>
  </r>
  <r>
    <s v="R.10036.02.01.01"/>
    <x v="382"/>
    <s v="Gary Bolton"/>
    <x v="20"/>
    <x v="2"/>
    <n v="-274689.5"/>
    <n v="-800000.00000000081"/>
    <n v="525310.50000000081"/>
    <m/>
  </r>
  <r>
    <s v="R.10036.03.01.01"/>
    <x v="383"/>
    <s v="Gary Bolton"/>
    <x v="20"/>
    <x v="2"/>
    <n v="-169784.50000000003"/>
    <n v="-600000"/>
    <n v="430215.5"/>
    <m/>
  </r>
  <r>
    <s v="R.10037.01.01.01"/>
    <x v="384"/>
    <s v="Turushia Thomas"/>
    <x v="3"/>
    <x v="2"/>
    <n v="0"/>
    <n v="-448037.8400000002"/>
    <n v="448037.8400000002"/>
    <m/>
  </r>
  <r>
    <s v="R.10037.01.01.06"/>
    <x v="385"/>
    <s v="Loretta Baggenstos"/>
    <x v="25"/>
    <x v="2"/>
    <n v="0"/>
    <n v="-124099.20000000006"/>
    <n v="124099.20000000006"/>
    <m/>
  </r>
  <r>
    <s v="R.10039.02.01.01"/>
    <x v="386"/>
    <s v="Anthony Pagano"/>
    <x v="1"/>
    <x v="2"/>
    <n v="0"/>
    <n v="-801251.72694858268"/>
    <n v="801251.72694858268"/>
    <m/>
  </r>
  <r>
    <s v="R.10039.02.01.02"/>
    <x v="387"/>
    <s v="Anthony Pagano"/>
    <x v="1"/>
    <x v="2"/>
    <n v="0"/>
    <n v="-4712971.867784461"/>
    <n v="4712971.867784461"/>
    <m/>
  </r>
  <r>
    <s v="R.10039.02.01.03"/>
    <x v="388"/>
    <s v="Anthony Pagano"/>
    <x v="1"/>
    <x v="2"/>
    <n v="0"/>
    <n v="-80586.521491935215"/>
    <n v="80586.521491935215"/>
    <m/>
  </r>
  <r>
    <s v="R.10039.02.01.05"/>
    <x v="389"/>
    <s v="Anthony Pagano"/>
    <x v="1"/>
    <x v="2"/>
    <n v="0"/>
    <n v="-468903.83704057796"/>
    <n v="468903.83704057796"/>
    <m/>
  </r>
  <r>
    <s v="R.10039.02.01.06"/>
    <x v="390"/>
    <s v="Anthony Pagano"/>
    <x v="1"/>
    <x v="2"/>
    <n v="-51191.23000000001"/>
    <n v="-354911.57783531299"/>
    <n v="303720.34783531295"/>
    <m/>
  </r>
  <r>
    <s v="R.10039.02.01.07"/>
    <x v="391"/>
    <s v="Anthony Pagano"/>
    <x v="1"/>
    <x v="2"/>
    <n v="0"/>
    <n v="-429739.75845775026"/>
    <n v="429739.75845775026"/>
    <m/>
  </r>
  <r>
    <s v="R.10040.01.01.01"/>
    <x v="392"/>
    <s v="Anthony Pagano"/>
    <x v="1"/>
    <x v="2"/>
    <n v="0"/>
    <n v="-471292.19858982268"/>
    <n v="471292.19858982268"/>
    <m/>
  </r>
  <r>
    <s v="R.10042.01.01.01"/>
    <x v="393"/>
    <s v="Anthony Pagano"/>
    <x v="1"/>
    <x v="2"/>
    <n v="0"/>
    <n v="-134184.55000000002"/>
    <n v="134184.55000000002"/>
    <m/>
  </r>
  <r>
    <s v="R.10047.02.01.02"/>
    <x v="394"/>
    <s v="Cheryl McGrath"/>
    <x v="27"/>
    <x v="4"/>
    <n v="0"/>
    <n v="-80212.557023501562"/>
    <n v="80212.557023501562"/>
    <m/>
  </r>
  <r>
    <s v="R.10050.02.01.01"/>
    <x v="395"/>
    <s v="Anthony Pagano"/>
    <x v="1"/>
    <x v="2"/>
    <n v="0"/>
    <n v="-551181.56999999983"/>
    <n v="551181.56999999983"/>
    <m/>
  </r>
  <r>
    <s v="R.10050.04.01.01"/>
    <x v="396"/>
    <s v="Anthony Pagano"/>
    <x v="1"/>
    <x v="2"/>
    <n v="0"/>
    <n v="-3799.4100000000008"/>
    <n v="3799.4100000000008"/>
    <m/>
  </r>
  <r>
    <s v="R.10051.02.01.01"/>
    <x v="397"/>
    <s v="Anthony Pagano"/>
    <x v="1"/>
    <x v="2"/>
    <n v="0"/>
    <n v="-15952966.929557476"/>
    <n v="15952966.929557476"/>
    <m/>
  </r>
  <r>
    <s v="R.10054.01.01.01"/>
    <x v="398"/>
    <s v="Anthony Pagano"/>
    <x v="1"/>
    <x v="2"/>
    <n v="-19880.830000000002"/>
    <n v="-5242587.2756725727"/>
    <n v="5222706.4456725726"/>
    <m/>
  </r>
  <r>
    <s v="R.10055.01.01.01"/>
    <x v="399"/>
    <s v="Anthony Pagano"/>
    <x v="1"/>
    <x v="2"/>
    <n v="-127.28000000000003"/>
    <n v="0"/>
    <n v="-127.28000000000003"/>
    <m/>
  </r>
  <r>
    <s v="R.10055.01.01.03"/>
    <x v="400"/>
    <s v="Anthony Pagano"/>
    <x v="1"/>
    <x v="2"/>
    <n v="-1456.58"/>
    <n v="0"/>
    <n v="-1456.58"/>
    <m/>
  </r>
  <r>
    <s v="R.10055.02.01.01"/>
    <x v="401"/>
    <s v="Anthony Pagano"/>
    <x v="1"/>
    <x v="2"/>
    <n v="-283017.96999999997"/>
    <n v="-287292.44"/>
    <n v="4274.4700000000303"/>
    <m/>
  </r>
  <r>
    <s v="R.10056.01.01.01"/>
    <x v="402"/>
    <s v="Anthony Pagano"/>
    <x v="1"/>
    <x v="2"/>
    <n v="0"/>
    <n v="-333129.23054315941"/>
    <n v="333129.23054315941"/>
    <m/>
  </r>
  <r>
    <s v="R.10058.01.01.01"/>
    <x v="403"/>
    <s v="Anthony Pagano"/>
    <x v="1"/>
    <x v="2"/>
    <n v="-8279.9900000000016"/>
    <n v="0"/>
    <n v="-8279.9900000000016"/>
    <m/>
  </r>
  <r>
    <s v="R.10059.01.01.01"/>
    <x v="404"/>
    <s v="Elaine Markham"/>
    <x v="20"/>
    <x v="2"/>
    <n v="-105740.5"/>
    <n v="-4128905.3818400037"/>
    <n v="4023164.8818400037"/>
    <m/>
  </r>
  <r>
    <s v="R.10059.02.01.01"/>
    <x v="405"/>
    <s v="Elaine Markham"/>
    <x v="20"/>
    <x v="2"/>
    <n v="-382804.91000000003"/>
    <n v="-969575.45291033702"/>
    <n v="586770.54291033698"/>
    <m/>
  </r>
  <r>
    <s v="R.10059.03.01.01"/>
    <x v="406"/>
    <s v="Stephanie Kreshel"/>
    <x v="1"/>
    <x v="2"/>
    <n v="-1294239.2399999998"/>
    <n v="-966466.61649999989"/>
    <n v="-327772.62349999987"/>
    <m/>
  </r>
  <r>
    <s v="R.10060.01.01.02"/>
    <x v="407"/>
    <s v="Anthony Pagano"/>
    <x v="1"/>
    <x v="2"/>
    <n v="-458640.08999999991"/>
    <n v="-1256366.1962771674"/>
    <n v="797726.10627716756"/>
    <m/>
  </r>
  <r>
    <s v="X.10003.01.01.01"/>
    <x v="408"/>
    <s v="Malcolm McCulloch"/>
    <x v="12"/>
    <x v="5"/>
    <n v="-2299605.5499999998"/>
    <n v="-3238842.3947134488"/>
    <n v="939236.84471344901"/>
    <m/>
  </r>
  <r>
    <s v="X.10003.01.03.01"/>
    <x v="409"/>
    <s v="Malcolm McCulloch"/>
    <x v="12"/>
    <x v="5"/>
    <n v="-1336724.8999999997"/>
    <n v="-1092137.5806285986"/>
    <n v="-244587.3193714011"/>
    <m/>
  </r>
  <r>
    <s v="X.10003.01.03.02"/>
    <x v="410"/>
    <s v="Malcolm McCulloch"/>
    <x v="12"/>
    <x v="5"/>
    <n v="-1617272.2700000003"/>
    <n v="-226460.70384112062"/>
    <n v="-1390811.5661588795"/>
    <m/>
  </r>
  <r>
    <s v="X.10005.01.01.01"/>
    <x v="411"/>
    <s v="Malcolm McCulloch"/>
    <x v="12"/>
    <x v="5"/>
    <n v="-2806755.14"/>
    <n v="-791774.94851725642"/>
    <n v="-2014980.1914827437"/>
    <m/>
  </r>
  <r>
    <s v="X.10006.01.01.01"/>
    <x v="412"/>
    <s v="Malcolm McCulloch"/>
    <x v="12"/>
    <x v="5"/>
    <n v="-144034.18"/>
    <n v="0"/>
    <n v="-144034.18"/>
    <m/>
  </r>
  <r>
    <s v="X.10006.02.01.01"/>
    <x v="413"/>
    <s v="Malcolm McCulloch"/>
    <x v="12"/>
    <x v="5"/>
    <n v="0"/>
    <n v="-444814.81426639721"/>
    <n v="444814.81426639721"/>
    <m/>
  </r>
  <r>
    <s v="X.10006.02.02.02"/>
    <x v="414"/>
    <s v="Heather Mulligan"/>
    <x v="12"/>
    <x v="5"/>
    <n v="-2093226.5499999998"/>
    <n v="0"/>
    <n v="-2093226.5499999998"/>
    <m/>
  </r>
  <r>
    <s v="X.10006.03.01.02"/>
    <x v="415"/>
    <s v="Malcolm McCulloch"/>
    <x v="12"/>
    <x v="5"/>
    <n v="-2032922.06"/>
    <n v="0"/>
    <n v="-2032922.06"/>
    <m/>
  </r>
  <r>
    <s v="X.10006.03.01.04"/>
    <x v="416"/>
    <s v="Malcolm McCulloch"/>
    <x v="12"/>
    <x v="5"/>
    <n v="1030.5899999999999"/>
    <n v="0"/>
    <n v="1030.5899999999999"/>
    <m/>
  </r>
  <r>
    <s v="X.10006.03.01.05"/>
    <x v="417"/>
    <s v="Chakradhari Damidi"/>
    <x v="8"/>
    <x v="1"/>
    <n v="-13510.02"/>
    <n v="0"/>
    <n v="-13510.02"/>
    <m/>
  </r>
  <r>
    <s v="K.10005.01.02.01"/>
    <x v="418"/>
    <s v="Nancy Atwood"/>
    <x v="18"/>
    <x v="6"/>
    <m/>
    <n v="-17967.04"/>
    <n v="17967.04"/>
    <m/>
  </r>
  <r>
    <s v="X.10006.04.01.02"/>
    <x v="419"/>
    <s v="Malcolm McCulloch"/>
    <x v="12"/>
    <x v="5"/>
    <n v="62665.770000000011"/>
    <n v="0"/>
    <n v="62665.770000000011"/>
    <m/>
  </r>
  <r>
    <s v="PLACEHOLDER WBS 21"/>
    <x v="420"/>
    <s v="William (Jeff) Neumann"/>
    <x v="2"/>
    <x v="1"/>
    <m/>
    <n v="-2100000"/>
    <n v="2100000"/>
    <m/>
  </r>
  <r>
    <s v="Placeholder WBS 48"/>
    <x v="421"/>
    <s v="Suzanne Tamayo"/>
    <x v="9"/>
    <x v="1"/>
    <m/>
    <n v="-3009237"/>
    <n v="3009237"/>
    <m/>
  </r>
  <r>
    <s v="R.10059.04.01.01"/>
    <x v="422"/>
    <s v="Anthony Pagano"/>
    <x v="1"/>
    <x v="2"/>
    <m/>
    <n v="-1885788.5200000035"/>
    <n v="1885788.5200000035"/>
    <m/>
  </r>
  <r>
    <s v="PLACEHOLDER WBS 63"/>
    <x v="423"/>
    <s v="Andrew Markos"/>
    <x v="20"/>
    <x v="2"/>
    <m/>
    <n v="-336896.00000000029"/>
    <n v="336896.00000000029"/>
    <m/>
  </r>
  <r>
    <s v="PLACEHOLDER WBS 65"/>
    <x v="424"/>
    <s v="Stephanie Kreshel"/>
    <x v="1"/>
    <x v="2"/>
    <m/>
    <n v="-1697209.6679999996"/>
    <n v="1697209.6679999996"/>
    <m/>
  </r>
  <r>
    <s v="F.10003.03.01.01"/>
    <x v="425"/>
    <s v="Brad Stevenson"/>
    <x v="2"/>
    <x v="1"/>
    <m/>
    <n v="-686400"/>
    <n v="686400"/>
    <m/>
  </r>
  <r>
    <s v="F.10017.13.02.02"/>
    <x v="426"/>
    <s v="Gerald (Jerry) E VanCorbach"/>
    <x v="2"/>
    <x v="1"/>
    <m/>
    <n v="-4.3576999492663603E-2"/>
    <n v="4.3576999492663603E-2"/>
    <m/>
  </r>
  <r>
    <s v="F.10025.02.01.04"/>
    <x v="427"/>
    <s v="Eileen Figone"/>
    <x v="4"/>
    <x v="1"/>
    <m/>
    <n v="-4957.5682637400632"/>
    <n v="4957.5682637400632"/>
    <m/>
  </r>
  <r>
    <s v="K.10012.01.01.04"/>
    <x v="428"/>
    <s v="Brian Fellon"/>
    <x v="8"/>
    <x v="1"/>
    <m/>
    <n v="-463875.31563805428"/>
    <n v="463875.31563805428"/>
    <m/>
  </r>
  <r>
    <s v="K.10035.01.01.02"/>
    <x v="429"/>
    <s v="Charlie Sziebert"/>
    <x v="16"/>
    <x v="6"/>
    <m/>
    <n v="-1447.5462448451858"/>
    <n v="1447.5462448451858"/>
    <m/>
  </r>
  <r>
    <s v="R.10009.12.04.01"/>
    <x v="430"/>
    <s v="Anthony Pagano"/>
    <x v="1"/>
    <x v="2"/>
    <m/>
    <n v="-524.70298175999994"/>
    <n v="524.70298175999994"/>
    <m/>
  </r>
  <r>
    <s v="R.10015.06.01.06"/>
    <x v="431"/>
    <s v="Anthony Pagano"/>
    <x v="1"/>
    <x v="2"/>
    <m/>
    <n v="-31413.867270916606"/>
    <n v="31413.867270916606"/>
    <m/>
  </r>
  <r>
    <s v="R.10037.01.01.07"/>
    <x v="432"/>
    <s v="Loretta Baggenstos"/>
    <x v="25"/>
    <x v="2"/>
    <m/>
    <n v="-1920.0000000000036"/>
    <n v="1920.0000000000036"/>
    <m/>
  </r>
  <r>
    <s v="R.10009.07.03.02"/>
    <x v="433"/>
    <s v="Jennifer Tada"/>
    <x v="22"/>
    <x v="2"/>
    <m/>
    <n v="-366.15172416000001"/>
    <n v="366.15172416000001"/>
    <m/>
  </r>
  <r>
    <s v="F.10017.09.05.02"/>
    <x v="434"/>
    <s v="Gerald (Jerry) E VanCorbach"/>
    <x v="2"/>
    <x v="1"/>
    <m/>
    <n v="686.53822143191314"/>
    <n v="-686.53822143191314"/>
    <m/>
  </r>
  <r>
    <s v="R.10059.05.01.01"/>
    <x v="435"/>
    <s v="Jennifer Boyer"/>
    <x v="23"/>
    <x v="2"/>
    <m/>
    <n v="-1885788.5200000035"/>
    <n v="1885788.5200000035"/>
    <m/>
  </r>
  <r>
    <s v="R.10059.02.01.02"/>
    <x v="436"/>
    <s v="Anthony Pagano"/>
    <x v="1"/>
    <x v="2"/>
    <m/>
    <n v="-3158695.7710000034"/>
    <n v="3158695.7710000034"/>
    <m/>
  </r>
  <r>
    <s v="R.99999.99.99.99"/>
    <x v="437"/>
    <s v="Stacy Smith"/>
    <x v="28"/>
    <x v="2"/>
    <m/>
    <n v="-40119811.454329111"/>
    <n v="40119811.45432911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8">
  <r>
    <s v="C.10002.02.02.01"/>
    <s v="W_C.10002.02.02.01: East Bldg Retirement"/>
    <x v="0"/>
    <x v="0"/>
    <x v="0"/>
    <x v="0"/>
    <x v="0"/>
    <n v="-4226582.16"/>
    <n v="0"/>
    <n v="-4226582.16"/>
  </r>
  <r>
    <s v="C.10002.02.02.02"/>
    <s v="W_C.10002.02.02.02: PSE HQ Refresh Phase 2"/>
    <x v="0"/>
    <x v="0"/>
    <x v="0"/>
    <x v="0"/>
    <x v="0"/>
    <n v="-3012717.12"/>
    <n v="0"/>
    <n v="-3012717.12"/>
  </r>
  <r>
    <s v="C.10002.03.01.03"/>
    <s v="W_C.10002.03.01.03: South King Complex"/>
    <x v="0"/>
    <x v="0"/>
    <x v="0"/>
    <x v="0"/>
    <x v="0"/>
    <n v="-1885.74"/>
    <n v="0"/>
    <n v="-1885.74"/>
  </r>
  <r>
    <s v="C.10002.04.03.01"/>
    <s v="W_C.10002.04.03.01: New Headquarters TI"/>
    <x v="0"/>
    <x v="0"/>
    <x v="0"/>
    <x v="0"/>
    <x v="0"/>
    <n v="-25402.97"/>
    <n v="0"/>
    <n v="-25402.97"/>
  </r>
  <r>
    <s v="C.10002.06.01.01"/>
    <s v="W_C.10002.06.01.01: Snoqualmie Technology Center"/>
    <x v="0"/>
    <x v="0"/>
    <x v="0"/>
    <x v="0"/>
    <x v="1"/>
    <n v="-138.87"/>
    <n v="0"/>
    <n v="-138.87"/>
  </r>
  <r>
    <s v="C.10002.07.01.01"/>
    <s v="W_C.10002.07.01.01: Puyallup Serv Center Rebuild"/>
    <x v="0"/>
    <x v="0"/>
    <x v="0"/>
    <x v="0"/>
    <x v="0"/>
    <n v="-750044.19"/>
    <n v="-612173.52985905576"/>
    <n v="-137870.66014094418"/>
  </r>
  <r>
    <s v="C.10002.08.02.01"/>
    <s v="W_C.10002.08.02.01: Operational Training Center"/>
    <x v="0"/>
    <x v="0"/>
    <x v="0"/>
    <x v="0"/>
    <x v="0"/>
    <n v="0"/>
    <n v="-2499999.9999999958"/>
    <n v="2499999.9999999958"/>
  </r>
  <r>
    <s v="C.10002.09.01.01"/>
    <s v="W_C.10002.09.01.01: BUCC Relocation"/>
    <x v="0"/>
    <x v="0"/>
    <x v="0"/>
    <x v="0"/>
    <x v="0"/>
    <n v="-5081733.0999999996"/>
    <n v="-222496.30987401874"/>
    <n v="-4859236.790125981"/>
  </r>
  <r>
    <s v="C.10002.10.01.01"/>
    <s v="W_C.10002.10.01.01: Site Devlpmnt Feasibility and Mastr Plan"/>
    <x v="1"/>
    <x v="0"/>
    <x v="0"/>
    <x v="0"/>
    <x v="0"/>
    <n v="-77736.899999999994"/>
    <n v="0"/>
    <n v="-77736.899999999994"/>
  </r>
  <r>
    <s v="C.10003.01.01.01"/>
    <s v="W_C.10003.01.01.01: Furniture and Fixture Installation"/>
    <x v="0"/>
    <x v="0"/>
    <x v="0"/>
    <x v="0"/>
    <x v="0"/>
    <n v="-931984.88000000012"/>
    <n v="-2000000.000000004"/>
    <n v="1068015.1200000038"/>
  </r>
  <r>
    <s v="C.10003.01.03.01"/>
    <s v="W_C.10003.01.03.01: Unplanned Facility Improvements"/>
    <x v="1"/>
    <x v="0"/>
    <x v="0"/>
    <x v="0"/>
    <x v="0"/>
    <n v="-2482679.0100000002"/>
    <n v="-3517943.5273017157"/>
    <n v="1035264.5173017154"/>
  </r>
  <r>
    <s v="C.10004.01.01.02"/>
    <s v="W_C.10004.01.01.02: Wireless PCS Construction"/>
    <x v="1"/>
    <x v="1"/>
    <x v="1"/>
    <x v="1"/>
    <x v="2"/>
    <n v="319620.77"/>
    <n v="-102066.67948257366"/>
    <n v="421687.44948257366"/>
  </r>
  <r>
    <s v="C.10005.01.02.01"/>
    <s v="W_C.10005.01.02.01: Security System Installations Electric"/>
    <x v="1"/>
    <x v="0"/>
    <x v="0"/>
    <x v="0"/>
    <x v="1"/>
    <n v="-2777267.29"/>
    <n v="-4150542.9239990781"/>
    <n v="1373275.6339990781"/>
  </r>
  <r>
    <s v="C.10005.01.02.02"/>
    <s v="W_C.10005.01.02.02: WECC Mitigation Security Installations"/>
    <x v="1"/>
    <x v="0"/>
    <x v="0"/>
    <x v="0"/>
    <x v="1"/>
    <n v="-2360340.17"/>
    <n v="-5512377.9848884968"/>
    <n v="3152037.8148884969"/>
  </r>
  <r>
    <s v="C.10006.01.01.01"/>
    <s v="W_C.10006.01.01.01: Fleet Capital Purchase"/>
    <x v="1"/>
    <x v="0"/>
    <x v="0"/>
    <x v="0"/>
    <x v="0"/>
    <n v="-3087362.1500000004"/>
    <n v="-951000"/>
    <n v="-2136362.1500000004"/>
  </r>
  <r>
    <s v="C.10006.01.01.03"/>
    <s v="W_C.10006.01.01.03: Fleet Radio Upgrade"/>
    <x v="0"/>
    <x v="0"/>
    <x v="0"/>
    <x v="0"/>
    <x v="0"/>
    <n v="-187123.93999999997"/>
    <n v="-299999.99999999994"/>
    <n v="112876.05999999997"/>
  </r>
  <r>
    <s v="C.10009.01.01.01"/>
    <s v="W_C.10009.01.01.01: Storm OH Replacement Dist"/>
    <x v="1"/>
    <x v="2"/>
    <x v="2"/>
    <x v="0"/>
    <x v="3"/>
    <n v="-7803062.8199999994"/>
    <n v="-2591851.5917673563"/>
    <n v="-5211211.2282326426"/>
  </r>
  <r>
    <s v="C.10009.01.01.02"/>
    <s v="W_C.10009.01.01.02: Storm OH Replacement Trans"/>
    <x v="1"/>
    <x v="2"/>
    <x v="2"/>
    <x v="0"/>
    <x v="3"/>
    <n v="-324036.53000000003"/>
    <n v="-1083281.8529110118"/>
    <n v="759245.32291101175"/>
  </r>
  <r>
    <s v="C.10010.02.01.01"/>
    <s v="W_C.10010.02.01.01: Shuffleton Reloc at Kent Serv Center"/>
    <x v="0"/>
    <x v="0"/>
    <x v="0"/>
    <x v="0"/>
    <x v="0"/>
    <n v="-84987.920000000013"/>
    <n v="255991.8340744134"/>
    <n v="-340979.75407441345"/>
  </r>
  <r>
    <s v="C.10010.06.01.01"/>
    <s v="W_C.10010.06.01.01: Shuffleton Reloc at Todd Road"/>
    <x v="0"/>
    <x v="0"/>
    <x v="0"/>
    <x v="0"/>
    <x v="0"/>
    <n v="-40637.300000000003"/>
    <n v="-40637.30000000001"/>
    <n v="0"/>
  </r>
  <r>
    <s v="C.20001.01.01.01"/>
    <s v="W_C.20001.01.01.01: Transformer Retirement and Disposal"/>
    <x v="1"/>
    <x v="0"/>
    <x v="0"/>
    <x v="0"/>
    <x v="4"/>
    <n v="0"/>
    <n v="-141000"/>
    <n v="141000"/>
  </r>
  <r>
    <s v="C.40001.01.01.01"/>
    <s v="W_C.40001.01.01.01: Success Factors Application"/>
    <x v="0"/>
    <x v="0"/>
    <x v="0"/>
    <x v="0"/>
    <x v="1"/>
    <n v="-49085.19"/>
    <n v="0"/>
    <n v="-49085.19"/>
  </r>
  <r>
    <s v="F.10002.01.02.03"/>
    <s v="W_F.10002.01.02.03: Endur APM Upgrade"/>
    <x v="0"/>
    <x v="0"/>
    <x v="0"/>
    <x v="0"/>
    <x v="1"/>
    <n v="81.84"/>
    <n v="0"/>
    <n v="81.84"/>
  </r>
  <r>
    <s v="F.10002.01.02.04"/>
    <s v="W_F.10002.01.02.04: PCI Upgrade for EIM Changes"/>
    <x v="1"/>
    <x v="0"/>
    <x v="0"/>
    <x v="0"/>
    <x v="1"/>
    <n v="-174136.85000000003"/>
    <n v="-251490.49683625373"/>
    <n v="77353.646836253698"/>
  </r>
  <r>
    <s v="F.10002.01.14.01"/>
    <s v="W_F.10002.01.14.01: Data Governance Foundation"/>
    <x v="0"/>
    <x v="0"/>
    <x v="0"/>
    <x v="0"/>
    <x v="1"/>
    <n v="-3252262.88"/>
    <n v="-8470701.4769779239"/>
    <n v="5218438.596977924"/>
  </r>
  <r>
    <s v="F.10002.01.15.01"/>
    <s v="W_F.10002.01.15.01: Cust GEN Integration Pwrclerk to PSE Sys"/>
    <x v="0"/>
    <x v="0"/>
    <x v="0"/>
    <x v="0"/>
    <x v="1"/>
    <n v="-21027.68"/>
    <n v="0"/>
    <n v="-21027.68"/>
  </r>
  <r>
    <s v="F.10002.01.16.01"/>
    <s v="W_F.10002.01.16.01: DER Cir Enable - Virtual PowerPlant CEIP"/>
    <x v="1"/>
    <x v="0"/>
    <x v="0"/>
    <x v="0"/>
    <x v="1"/>
    <m/>
    <n v="-147308.85548345"/>
    <n v="147308.85548345"/>
  </r>
  <r>
    <s v="F.10002.01.17.01"/>
    <s v="W_F.10002.01.17.01: iDOT Replacement"/>
    <x v="0"/>
    <x v="0"/>
    <x v="0"/>
    <x v="0"/>
    <x v="1"/>
    <n v="-736615.76000000013"/>
    <n v="0"/>
    <n v="-736615.76000000013"/>
  </r>
  <r>
    <s v="F.10002.03.02.01"/>
    <s v="W_F.10002.03.02.01: Field Resources Call Out Tool"/>
    <x v="1"/>
    <x v="0"/>
    <x v="0"/>
    <x v="0"/>
    <x v="1"/>
    <n v="-2682734.14"/>
    <n v="0"/>
    <n v="-2682734.14"/>
  </r>
  <r>
    <s v="F.10002.04.01.01"/>
    <s v="W_F.10002.04.01.01: Travel mgmt.-Exp Rpting and Elect pmt"/>
    <x v="0"/>
    <x v="0"/>
    <x v="0"/>
    <x v="0"/>
    <x v="1"/>
    <n v="-70209.110000000015"/>
    <n v="0"/>
    <n v="-70209.110000000015"/>
  </r>
  <r>
    <s v="F.10002.04.02.01"/>
    <s v="W_F.10002.04.02.01: HANA 2.0 and HW Upgrade            "/>
    <x v="0"/>
    <x v="0"/>
    <x v="0"/>
    <x v="0"/>
    <x v="1"/>
    <n v="2272"/>
    <n v="0"/>
    <n v="2272"/>
  </r>
  <r>
    <s v="F.10002.05.01.01"/>
    <s v="W_F.10002.05.01.01: Automate GEN RFP Review Process Modeling"/>
    <x v="0"/>
    <x v="0"/>
    <x v="0"/>
    <x v="0"/>
    <x v="1"/>
    <n v="23683.05"/>
    <n v="0"/>
    <n v="23683.05"/>
  </r>
  <r>
    <s v="F.10002.05.02.01"/>
    <s v="W_F.10002.05.02.01: Check Payment Processing"/>
    <x v="0"/>
    <x v="0"/>
    <x v="0"/>
    <x v="0"/>
    <x v="1"/>
    <n v="-361022.92000000004"/>
    <n v="0"/>
    <n v="-361022.92000000004"/>
  </r>
  <r>
    <s v="F.10002.06.01.01"/>
    <s v="W_F.10002.06.01.01: eGain Replacement"/>
    <x v="0"/>
    <x v="0"/>
    <x v="0"/>
    <x v="0"/>
    <x v="1"/>
    <n v="-5151685.43"/>
    <n v="-5479256.6619912293"/>
    <n v="327571.23199122958"/>
  </r>
  <r>
    <s v="F.10002.06.02.01"/>
    <s v="W_F.10002.06.02.01: Customer Experience Enhancement Program"/>
    <x v="0"/>
    <x v="0"/>
    <x v="0"/>
    <x v="0"/>
    <x v="1"/>
    <n v="-1802364.3299999998"/>
    <n v="0"/>
    <n v="-1802364.3299999998"/>
  </r>
  <r>
    <s v="F.10002.06.03.01"/>
    <s v="W_F.10002.06.03.01: CLSD Data POI Operations Program"/>
    <x v="0"/>
    <x v="0"/>
    <x v="0"/>
    <x v="0"/>
    <x v="1"/>
    <n v="37663.159999999989"/>
    <n v="0"/>
    <n v="37663.159999999989"/>
  </r>
  <r>
    <s v="F.10002.07.01.01"/>
    <s v="W_F.10002.07.01.01: IMPACT"/>
    <x v="0"/>
    <x v="0"/>
    <x v="0"/>
    <x v="0"/>
    <x v="1"/>
    <n v="-539823.54"/>
    <n v="0"/>
    <n v="-539823.54"/>
  </r>
  <r>
    <s v="F.10002.09.01.01"/>
    <s v="W_F.10002.09.01.01: Power Plan Upgrade"/>
    <x v="0"/>
    <x v="0"/>
    <x v="0"/>
    <x v="0"/>
    <x v="1"/>
    <n v="-2283675.2600000002"/>
    <n v="0"/>
    <n v="-2283675.2600000002"/>
  </r>
  <r>
    <s v="F.10003.02.01.07"/>
    <s v="W_F.10003.02.01.07: Data Center Hardware Refresh"/>
    <x v="0"/>
    <x v="0"/>
    <x v="0"/>
    <x v="0"/>
    <x v="1"/>
    <n v="-7470171.5599999996"/>
    <n v="0"/>
    <n v="-7470171.5599999996"/>
  </r>
  <r>
    <s v="F.10003.03.02.01"/>
    <s v="W_F.10003.03.02.01: Transport Network Modernization"/>
    <x v="0"/>
    <x v="0"/>
    <x v="0"/>
    <x v="0"/>
    <x v="1"/>
    <n v="-1587346.7000000002"/>
    <n v="0"/>
    <n v="-1587346.7000000002"/>
  </r>
  <r>
    <s v="F.10007.02.01.02"/>
    <s v="W_F.10007.02.01.02: IT Operational Program"/>
    <x v="0"/>
    <x v="0"/>
    <x v="0"/>
    <x v="0"/>
    <x v="1"/>
    <n v="0"/>
    <n v="-26905131.616054956"/>
    <n v="26905131.616054956"/>
  </r>
  <r>
    <s v="F.10013.09.01.02"/>
    <s v="W_F.10013.09.01.02: PSE ITSR"/>
    <x v="0"/>
    <x v="0"/>
    <x v="0"/>
    <x v="0"/>
    <x v="1"/>
    <n v="12919.580000000002"/>
    <n v="0"/>
    <n v="12919.580000000002"/>
  </r>
  <r>
    <s v="F.10013.09.01.03"/>
    <s v="W_F.10013.09.01.03: PSE ITSR"/>
    <x v="0"/>
    <x v="0"/>
    <x v="0"/>
    <x v="0"/>
    <x v="1"/>
    <n v="-662880.43999999994"/>
    <n v="0"/>
    <n v="-662880.43999999994"/>
  </r>
  <r>
    <s v="F.10015.02.03.01"/>
    <s v="W_F.10015.02.03.01: EMS 3X Upgrade"/>
    <x v="1"/>
    <x v="0"/>
    <x v="0"/>
    <x v="0"/>
    <x v="1"/>
    <n v="-331.81"/>
    <n v="0"/>
    <n v="-331.81"/>
  </r>
  <r>
    <s v="F.10015.02.06.02"/>
    <s v="W_F.10015.02.06.02: Gas Control Upgrade 2022"/>
    <x v="2"/>
    <x v="0"/>
    <x v="0"/>
    <x v="0"/>
    <x v="1"/>
    <n v="0"/>
    <n v="-3113278.1971035767"/>
    <n v="3113278.1971035767"/>
  </r>
  <r>
    <s v="F.10015.02.14.02"/>
    <s v="W_F.10015.02.14.02: OSI Soft PI Historian"/>
    <x v="1"/>
    <x v="0"/>
    <x v="0"/>
    <x v="0"/>
    <x v="1"/>
    <n v="-1191411.69"/>
    <n v="0"/>
    <n v="-1191411.69"/>
  </r>
  <r>
    <s v="F.10015.02.14.03"/>
    <s v="W_F.10015.02.14.03: Elec OSI PI Asst Framewrk PI Vision Migr"/>
    <x v="1"/>
    <x v="0"/>
    <x v="0"/>
    <x v="0"/>
    <x v="1"/>
    <n v="-157967.89000000001"/>
    <n v="0"/>
    <n v="-157967.89000000001"/>
  </r>
  <r>
    <s v="F.10015.02.17.02"/>
    <s v="W_F.10015.02.17.02: ADMS SCADA"/>
    <x v="1"/>
    <x v="0"/>
    <x v="0"/>
    <x v="0"/>
    <x v="1"/>
    <n v="-46876.67"/>
    <n v="0"/>
    <n v="-46876.67"/>
  </r>
  <r>
    <s v="F.10015.02.18.02"/>
    <s v="W_F.10015.02.18.02: Geospacial Load Forecasting"/>
    <x v="0"/>
    <x v="0"/>
    <x v="0"/>
    <x v="0"/>
    <x v="1"/>
    <n v="-1956354.6900000002"/>
    <n v="0"/>
    <n v="-1956354.6900000002"/>
  </r>
  <r>
    <s v="F.10015.02.20.01"/>
    <s v="W_F.10015.02.20.01: Annual Market Changes to Support CAISO"/>
    <x v="0"/>
    <x v="0"/>
    <x v="0"/>
    <x v="0"/>
    <x v="1"/>
    <n v="-118095.04999999999"/>
    <n v="0"/>
    <n v="-118095.04999999999"/>
  </r>
  <r>
    <s v="F.10015.02.22.01"/>
    <s v="W_F.10015.02.22.01: ESO Video Wall Replacement"/>
    <x v="0"/>
    <x v="0"/>
    <x v="0"/>
    <x v="0"/>
    <x v="1"/>
    <n v="-386246.23"/>
    <n v="0"/>
    <n v="-386246.23"/>
  </r>
  <r>
    <s v="F.10015.04.02.03"/>
    <s v="W_F.10015.04.02.03: MDMS 7.5 Upgrade"/>
    <x v="0"/>
    <x v="0"/>
    <x v="0"/>
    <x v="0"/>
    <x v="1"/>
    <n v="-100132.16"/>
    <n v="-106897.64030778737"/>
    <n v="6765.4803077873657"/>
  </r>
  <r>
    <s v="F.10015.04.02.05"/>
    <s v="W_F.10015.04.02.05: MDMS DB Partitioning Truncation"/>
    <x v="0"/>
    <x v="0"/>
    <x v="0"/>
    <x v="0"/>
    <x v="1"/>
    <n v="-256985.73"/>
    <n v="0"/>
    <n v="-256985.73"/>
  </r>
  <r>
    <s v="F.10015.05.03.01"/>
    <s v="W_F.10015.05.03.01: Mitigate 2008"/>
    <x v="0"/>
    <x v="0"/>
    <x v="0"/>
    <x v="0"/>
    <x v="1"/>
    <n v="3200.73"/>
    <n v="0"/>
    <n v="3200.73"/>
  </r>
  <r>
    <s v="F.10015.05.04.01"/>
    <s v="W_F.10015.05.04.01: Quality Framework"/>
    <x v="0"/>
    <x v="0"/>
    <x v="0"/>
    <x v="0"/>
    <x v="1"/>
    <n v="-590210.21"/>
    <n v="-180361.76376031534"/>
    <n v="-409848.44623968459"/>
  </r>
  <r>
    <s v="F.10015.06.05.01"/>
    <s v="W_F.10015.06.05.01: SAP HR Support Packs"/>
    <x v="0"/>
    <x v="0"/>
    <x v="0"/>
    <x v="0"/>
    <x v="1"/>
    <n v="-447725.04000000004"/>
    <n v="0"/>
    <n v="-447725.04000000004"/>
  </r>
  <r>
    <s v="F.10015.06.05.02"/>
    <s v="W_F.10015.06.05.02: SAP HR Support Packs 2022-2026"/>
    <x v="0"/>
    <x v="0"/>
    <x v="0"/>
    <x v="0"/>
    <x v="1"/>
    <n v="-253010.78000000003"/>
    <n v="0"/>
    <n v="-253010.78000000003"/>
  </r>
  <r>
    <s v="F.10015.06.20.01"/>
    <s v="W_F.10015.06.20.01: SAP Transport Tool Upgrade"/>
    <x v="0"/>
    <x v="0"/>
    <x v="0"/>
    <x v="0"/>
    <x v="1"/>
    <n v="541.63000000000011"/>
    <n v="0"/>
    <n v="541.63000000000011"/>
  </r>
  <r>
    <s v="F.10015.06.24.01"/>
    <s v="W_F.10015.06.24.01: POI HANA Memory Uplift (MAR)"/>
    <x v="0"/>
    <x v="0"/>
    <x v="0"/>
    <x v="0"/>
    <x v="1"/>
    <n v="369.9"/>
    <n v="0"/>
    <n v="369.9"/>
  </r>
  <r>
    <s v="F.10015.06.25.01"/>
    <s v="W_F.10015.06.25.01: SAP Annual Upgrades 2022-2026"/>
    <x v="0"/>
    <x v="0"/>
    <x v="0"/>
    <x v="0"/>
    <x v="1"/>
    <n v="-1776208.4200000002"/>
    <n v="0"/>
    <n v="-1776208.4200000002"/>
  </r>
  <r>
    <s v="F.10015.06.26.01"/>
    <s v="W_F.10015.06.26.01: Enhanced SAP Monitoring Alerting BPM"/>
    <x v="0"/>
    <x v="0"/>
    <x v="0"/>
    <x v="0"/>
    <x v="1"/>
    <n v="-588672.32999999996"/>
    <n v="0"/>
    <n v="-588672.32999999996"/>
  </r>
  <r>
    <s v="F.10015.08.03.05"/>
    <s v="W_F.10015.08.03.05: IAM Stability and Enhancement"/>
    <x v="0"/>
    <x v="0"/>
    <x v="0"/>
    <x v="0"/>
    <x v="1"/>
    <n v="-2029399.1999999997"/>
    <n v="0"/>
    <n v="-2029399.1999999997"/>
  </r>
  <r>
    <s v="F.10015.08.09.06"/>
    <s v="W_F.10015.08.09.06: PSE.com Outage Notification Engine"/>
    <x v="0"/>
    <x v="0"/>
    <x v="0"/>
    <x v="0"/>
    <x v="1"/>
    <n v="-465.23999999999796"/>
    <n v="0"/>
    <n v="-465.23999999999796"/>
  </r>
  <r>
    <s v="F.10015.08.11.05"/>
    <s v="W_F.10015.08.11.05: ServiceNow 2021"/>
    <x v="0"/>
    <x v="0"/>
    <x v="0"/>
    <x v="0"/>
    <x v="1"/>
    <n v="1386.9100000000021"/>
    <n v="0"/>
    <n v="1386.9100000000021"/>
  </r>
  <r>
    <s v="F.10015.08.11.06"/>
    <s v="W_F.10015.08.11.06: ServiceNow Improvements 2022-2026"/>
    <x v="0"/>
    <x v="0"/>
    <x v="0"/>
    <x v="0"/>
    <x v="1"/>
    <n v="-240888.25"/>
    <n v="0"/>
    <n v="-240888.25"/>
  </r>
  <r>
    <s v="F.10015.08.13.03"/>
    <s v="W_F.10015.08.13.03: UI Enhancements Phase 3"/>
    <x v="0"/>
    <x v="0"/>
    <x v="0"/>
    <x v="0"/>
    <x v="1"/>
    <n v="-3614400.6199999996"/>
    <n v="-2808710.0639910274"/>
    <n v="-805690.55600897223"/>
  </r>
  <r>
    <s v="F.10015.08.16.01"/>
    <s v="W_F.10015.08.16.01: Cassandra Upgrade 2021"/>
    <x v="0"/>
    <x v="0"/>
    <x v="0"/>
    <x v="0"/>
    <x v="1"/>
    <n v="-43.319999999999993"/>
    <n v="0"/>
    <n v="-43.319999999999993"/>
  </r>
  <r>
    <s v="F.10015.08.18.01"/>
    <s v="W_F.10015.08.18.01: Microservices NET Core Upgrade"/>
    <x v="0"/>
    <x v="0"/>
    <x v="0"/>
    <x v="0"/>
    <x v="1"/>
    <n v="-102980.74"/>
    <n v="0"/>
    <n v="-102980.74"/>
  </r>
  <r>
    <s v="F.10015.08.19.01"/>
    <s v="W_F.10015.08.19.01: Terraform Upgrade"/>
    <x v="0"/>
    <x v="0"/>
    <x v="0"/>
    <x v="0"/>
    <x v="1"/>
    <n v="-52869.98"/>
    <n v="0"/>
    <n v="-52869.98"/>
  </r>
  <r>
    <s v="F.10015.11.01.01"/>
    <s v="W_F.10015.11.01.01: Enterprise Application Data Archiving"/>
    <x v="0"/>
    <x v="0"/>
    <x v="0"/>
    <x v="0"/>
    <x v="1"/>
    <n v="2887"/>
    <n v="0"/>
    <n v="2887"/>
  </r>
  <r>
    <s v="F.10015.11.02.01"/>
    <s v="W_F.10015.11.02.01: Command Center Upgrade 2021"/>
    <x v="0"/>
    <x v="0"/>
    <x v="0"/>
    <x v="0"/>
    <x v="1"/>
    <n v="-139490.20000000001"/>
    <n v="0"/>
    <n v="-139490.20000000001"/>
  </r>
  <r>
    <s v="F.10015.11.03.01"/>
    <s v="W_F.10015.11.03.01: Gas Control Workstations Upgrade"/>
    <x v="2"/>
    <x v="0"/>
    <x v="0"/>
    <x v="0"/>
    <x v="1"/>
    <n v="-154464.01"/>
    <n v="0"/>
    <n v="-154464.01"/>
  </r>
  <r>
    <s v="F.10015.11.06.01"/>
    <s v="W_F.10015.11.06.01: Migration to Dynatrace SaaS"/>
    <x v="0"/>
    <x v="0"/>
    <x v="0"/>
    <x v="0"/>
    <x v="1"/>
    <n v="-63848.45"/>
    <n v="0"/>
    <n v="-63848.45"/>
  </r>
  <r>
    <s v="F.10015.12.01.01"/>
    <s v="W_F.10015.12.01.01: MIGRATE FROM TABLEAU TO POWER BI"/>
    <x v="0"/>
    <x v="0"/>
    <x v="0"/>
    <x v="0"/>
    <x v="1"/>
    <n v="-312301.53000000003"/>
    <n v="0"/>
    <n v="-312301.53000000003"/>
  </r>
  <r>
    <s v="F.10016.01.01.02"/>
    <s v="W_F.10016.01.01.02: IT Enterprise Architecture System"/>
    <x v="0"/>
    <x v="0"/>
    <x v="0"/>
    <x v="0"/>
    <x v="1"/>
    <n v="-305888.91000000003"/>
    <n v="0"/>
    <n v="-305888.91000000003"/>
  </r>
  <r>
    <s v="F.10017.02.01.02"/>
    <s v="W_F.10017.02.01.02: CLSD CLSD Annual Comm Room Refresh"/>
    <x v="0"/>
    <x v="0"/>
    <x v="0"/>
    <x v="0"/>
    <x v="1"/>
    <n v="-27004.170000000006"/>
    <n v="0"/>
    <n v="-27004.170000000006"/>
  </r>
  <r>
    <s v="F.10017.02.01.03"/>
    <s v="W_F.10017.02.01.03: Annual Comm Room Tech Refresh 2022-26"/>
    <x v="0"/>
    <x v="0"/>
    <x v="0"/>
    <x v="0"/>
    <x v="1"/>
    <n v="-250954.45"/>
    <n v="0"/>
    <n v="-250954.45"/>
  </r>
  <r>
    <s v="F.10017.02.02.02"/>
    <s v="W_F.10017.02.02.02: Annual Data Center Refresh and Growth"/>
    <x v="0"/>
    <x v="0"/>
    <x v="0"/>
    <x v="0"/>
    <x v="1"/>
    <n v="-425.04999999999916"/>
    <n v="0"/>
    <n v="-425.04999999999916"/>
  </r>
  <r>
    <s v="F.10017.02.02.03"/>
    <s v="W_F.10017.02.02.03: Annual Data Center Tech Refresh 2022-26"/>
    <x v="0"/>
    <x v="0"/>
    <x v="0"/>
    <x v="0"/>
    <x v="1"/>
    <n v="-327695.64"/>
    <n v="0"/>
    <n v="-327695.64"/>
  </r>
  <r>
    <s v="F.10017.02.04.02"/>
    <s v="W_F.10017.02.04.02: Enterpr Monitoring Standardization 2022"/>
    <x v="0"/>
    <x v="0"/>
    <x v="0"/>
    <x v="0"/>
    <x v="1"/>
    <n v="-1961451.9100000001"/>
    <n v="0"/>
    <n v="-1961451.9100000001"/>
  </r>
  <r>
    <s v="F.10017.03.01.03"/>
    <s v="W_F.10017.03.01.03: PC and TB Refresh New"/>
    <x v="0"/>
    <x v="0"/>
    <x v="0"/>
    <x v="0"/>
    <x v="1"/>
    <n v="-19981.150000000005"/>
    <n v="0"/>
    <n v="-19981.150000000005"/>
  </r>
  <r>
    <s v="F.10017.03.05.02"/>
    <s v="W_F.10017.03.05.02: Annual End User PC Refresh 2022-2026"/>
    <x v="0"/>
    <x v="0"/>
    <x v="0"/>
    <x v="0"/>
    <x v="1"/>
    <n v="-3157927.13"/>
    <n v="0"/>
    <n v="-3157927.13"/>
  </r>
  <r>
    <s v="F.10017.04.03.02"/>
    <s v="W_F.10017.04.03.02: eWFM Back Office Component"/>
    <x v="0"/>
    <x v="0"/>
    <x v="0"/>
    <x v="0"/>
    <x v="1"/>
    <n v="0"/>
    <n v="-51398.742577202989"/>
    <n v="51398.742577202989"/>
  </r>
  <r>
    <s v="F.10017.05.03.02"/>
    <s v="W_F.10017.05.03.02: Annual MS Enterprise Agreement Growth"/>
    <x v="0"/>
    <x v="0"/>
    <x v="0"/>
    <x v="0"/>
    <x v="1"/>
    <n v="0"/>
    <n v="-230625.28709657837"/>
    <n v="230625.28709657837"/>
  </r>
  <r>
    <s v="F.10017.05.04.01"/>
    <s v="W_F.10017.05.04.01: Workplace Mobility Program"/>
    <x v="0"/>
    <x v="0"/>
    <x v="0"/>
    <x v="0"/>
    <x v="1"/>
    <n v="-459375.68"/>
    <n v="0"/>
    <n v="-459375.68"/>
  </r>
  <r>
    <s v="F.10017.05.07.01"/>
    <s v="W_F.10017.05.07.01: DC Battery Management"/>
    <x v="0"/>
    <x v="0"/>
    <x v="0"/>
    <x v="0"/>
    <x v="1"/>
    <n v="-113200.85"/>
    <n v="0"/>
    <n v="-113200.85"/>
  </r>
  <r>
    <s v="F.10017.05.08.01"/>
    <s v="W_F.10017.05.08.01: Underground Fuel Tank Removal"/>
    <x v="0"/>
    <x v="0"/>
    <x v="0"/>
    <x v="0"/>
    <x v="1"/>
    <n v="-299332.45"/>
    <n v="0"/>
    <n v="-299332.45"/>
  </r>
  <r>
    <s v="F.10017.07.01.02"/>
    <s v="W_F.10017.07.01.02: OpenText Migrations"/>
    <x v="0"/>
    <x v="0"/>
    <x v="0"/>
    <x v="0"/>
    <x v="1"/>
    <n v="-56351.91"/>
    <n v="0"/>
    <n v="-56351.91"/>
  </r>
  <r>
    <s v="F.10017.07.01.03"/>
    <s v="W_F.10017.07.01.03: IPP SharePoint Upgrade NERC"/>
    <x v="0"/>
    <x v="0"/>
    <x v="0"/>
    <x v="0"/>
    <x v="1"/>
    <n v="-306484.38"/>
    <n v="0"/>
    <n v="-306484.38"/>
  </r>
  <r>
    <s v="F.10017.08.02.02"/>
    <s v="W_F.10017.08.02.02: CLSD Annual Scada Refresh New"/>
    <x v="1"/>
    <x v="0"/>
    <x v="0"/>
    <x v="0"/>
    <x v="1"/>
    <n v="-73787.26999999999"/>
    <n v="0"/>
    <n v="-73787.26999999999"/>
  </r>
  <r>
    <s v="F.10017.08.03.01"/>
    <s v="W_F.10017.08.03.01: Enhanced Substation Communications"/>
    <x v="1"/>
    <x v="0"/>
    <x v="0"/>
    <x v="0"/>
    <x v="1"/>
    <n v="-3356315.0699999994"/>
    <n v="-645020.33614717005"/>
    <n v="-2711294.7338528293"/>
  </r>
  <r>
    <s v="F.10017.08.07.01"/>
    <s v="W_F.10017.08.07.01: 700MHz Spectrum"/>
    <x v="1"/>
    <x v="0"/>
    <x v="0"/>
    <x v="0"/>
    <x v="1"/>
    <n v="-1428860.6400000001"/>
    <n v="-18552.151941120021"/>
    <n v="-1410308.4880588802"/>
  </r>
  <r>
    <s v="F.10017.09.04.07"/>
    <s v="W_F.10017.09.04.07: SAP Security Roles Optimization"/>
    <x v="0"/>
    <x v="0"/>
    <x v="0"/>
    <x v="0"/>
    <x v="1"/>
    <n v="-524957.73"/>
    <n v="0"/>
    <n v="-524957.73"/>
  </r>
  <r>
    <s v="F.10017.09.08.01"/>
    <s v="W_F.10017.09.08.01: DDoS Protection (Layer 7)"/>
    <x v="0"/>
    <x v="0"/>
    <x v="0"/>
    <x v="0"/>
    <x v="1"/>
    <n v="-0.59000000000000341"/>
    <n v="0"/>
    <n v="-0.59000000000000341"/>
  </r>
  <r>
    <s v="F.10017.10.06.04"/>
    <s v="W_F.10017.10.06.04: Annual Server Growth 2022-2026"/>
    <x v="0"/>
    <x v="0"/>
    <x v="0"/>
    <x v="0"/>
    <x v="1"/>
    <n v="-173015.98"/>
    <n v="0"/>
    <n v="-173015.98"/>
  </r>
  <r>
    <s v="F.10017.10.09.02"/>
    <s v="W_F.10017.10.09.02: Hyper Converged Infra Refresh"/>
    <x v="0"/>
    <x v="0"/>
    <x v="0"/>
    <x v="0"/>
    <x v="5"/>
    <n v="-247721.98"/>
    <n v="0"/>
    <n v="-247721.98"/>
  </r>
  <r>
    <s v="F.10017.10.14.01"/>
    <s v="W_F.10017.10.14.01: Windows 10 Base Image"/>
    <x v="0"/>
    <x v="0"/>
    <x v="0"/>
    <x v="0"/>
    <x v="1"/>
    <n v="15500"/>
    <n v="0"/>
    <n v="15500"/>
  </r>
  <r>
    <s v="F.10017.10.16.01"/>
    <s v="W_F.10017.10.16.01: CheckPoint Capsule Cloud Replacement"/>
    <x v="0"/>
    <x v="0"/>
    <x v="0"/>
    <x v="0"/>
    <x v="0"/>
    <n v="-2.2899999999999636"/>
    <n v="0"/>
    <n v="-2.2899999999999636"/>
  </r>
  <r>
    <s v="F.10017.10.19.01"/>
    <s v="W_F.10017.10.19.01: Data Center UPS Battery Replacement"/>
    <x v="0"/>
    <x v="0"/>
    <x v="0"/>
    <x v="0"/>
    <x v="1"/>
    <n v="-882038.44000000006"/>
    <n v="0"/>
    <n v="-882038.44000000006"/>
  </r>
  <r>
    <s v="F.10017.11.01.03"/>
    <s v="W_F.10017.11.01.03: Annual Strge Bckup Growth Refresh New"/>
    <x v="0"/>
    <x v="0"/>
    <x v="0"/>
    <x v="0"/>
    <x v="1"/>
    <n v="-470084.62"/>
    <n v="0"/>
    <n v="-470084.62"/>
  </r>
  <r>
    <s v="F.10017.11.01.04"/>
    <s v="W_F.10017.11.01.04: Annual Storage Growth 2022-2026"/>
    <x v="0"/>
    <x v="0"/>
    <x v="0"/>
    <x v="0"/>
    <x v="1"/>
    <n v="-576124.28"/>
    <n v="0"/>
    <n v="-576124.28"/>
  </r>
  <r>
    <s v="F.10017.12.01.02"/>
    <s v="W_F.10017.12.01.02: CLSD Annual Fiber Refresh New"/>
    <x v="0"/>
    <x v="0"/>
    <x v="0"/>
    <x v="0"/>
    <x v="1"/>
    <n v="-33539.71"/>
    <n v="0"/>
    <n v="-33539.71"/>
  </r>
  <r>
    <s v="F.10017.12.01.03"/>
    <s v="W_F.10017.12.01.03: Annual Fiber Refresh Repair 2022-26"/>
    <x v="0"/>
    <x v="0"/>
    <x v="0"/>
    <x v="0"/>
    <x v="1"/>
    <n v="-476264.60000000003"/>
    <n v="0"/>
    <n v="-476264.60000000003"/>
  </r>
  <r>
    <s v="F.10017.12.05.02"/>
    <s v="W_F.10017.12.05.02: Annual RF Refresh New"/>
    <x v="0"/>
    <x v="0"/>
    <x v="0"/>
    <x v="0"/>
    <x v="1"/>
    <n v="-93040.03"/>
    <n v="0"/>
    <n v="-93040.03"/>
  </r>
  <r>
    <s v="F.10017.12.05.03"/>
    <s v="W_F.10017.12.05.03: Annual Telecom RF Refresh 2022-26"/>
    <x v="1"/>
    <x v="0"/>
    <x v="0"/>
    <x v="0"/>
    <x v="1"/>
    <n v="-148811.32999999999"/>
    <n v="0"/>
    <n v="-148811.32999999999"/>
  </r>
  <r>
    <s v="F.10017.12.06.03"/>
    <s v="W_F.10017.12.06.03: Annual Telecom Equip Growth Tool 2022-26"/>
    <x v="1"/>
    <x v="0"/>
    <x v="0"/>
    <x v="0"/>
    <x v="1"/>
    <n v="-57991.95"/>
    <n v="0"/>
    <n v="-57991.95"/>
  </r>
  <r>
    <s v="F.10017.12.08.01"/>
    <s v="W_F.10017.12.08.01: Annual Telecom Netwrk Refrh n Grwth"/>
    <x v="1"/>
    <x v="0"/>
    <x v="0"/>
    <x v="0"/>
    <x v="1"/>
    <n v="-68093.81"/>
    <n v="0"/>
    <n v="-68093.81"/>
  </r>
  <r>
    <s v="F.10017.12.08.04"/>
    <s v="W_F.10017.12.08.04: Annual Telecom Network Refresh 2022-2026"/>
    <x v="0"/>
    <x v="0"/>
    <x v="0"/>
    <x v="0"/>
    <x v="1"/>
    <n v="-146553.16999999998"/>
    <n v="0"/>
    <n v="-146553.16999999998"/>
  </r>
  <r>
    <s v="F.10017.12.23.03"/>
    <s v="W_F.10017.12.23.03: Network Refresh n Growth New"/>
    <x v="0"/>
    <x v="0"/>
    <x v="0"/>
    <x v="0"/>
    <x v="1"/>
    <n v="-417130.12"/>
    <n v="0"/>
    <n v="-417130.12"/>
  </r>
  <r>
    <s v="F.10017.12.23.04"/>
    <s v="W_F.10017.12.23.04: Annual Network Tech Refresh 2022-2026"/>
    <x v="0"/>
    <x v="0"/>
    <x v="0"/>
    <x v="0"/>
    <x v="1"/>
    <n v="-508126.07"/>
    <n v="0"/>
    <n v="-508126.07"/>
  </r>
  <r>
    <s v="F.10017.12.25.02"/>
    <s v="W_F.10017.12.25.02: Annual Audio Visual Tech Refresh 2022-26"/>
    <x v="0"/>
    <x v="0"/>
    <x v="0"/>
    <x v="0"/>
    <x v="1"/>
    <n v="-75762.13"/>
    <n v="0"/>
    <n v="-75762.13"/>
  </r>
  <r>
    <s v="F.10017.12.26.01"/>
    <s v="W_F.10017.12.26.01: Generation Sites"/>
    <x v="1"/>
    <x v="0"/>
    <x v="0"/>
    <x v="0"/>
    <x v="1"/>
    <n v="-1318800.5499999998"/>
    <n v="0"/>
    <n v="-1318800.5499999998"/>
  </r>
  <r>
    <s v="F.10017.12.26.02"/>
    <s v="W_F.10017.12.26.02: Generation Infrastructure Prgrm 2022-26"/>
    <x v="1"/>
    <x v="0"/>
    <x v="0"/>
    <x v="0"/>
    <x v="1"/>
    <n v="-321365.08000000007"/>
    <n v="0"/>
    <n v="-321365.08000000007"/>
  </r>
  <r>
    <s v="F.10017.12.27.01"/>
    <s v="W_F.10017.12.27.01: Move of Telecom Core"/>
    <x v="0"/>
    <x v="0"/>
    <x v="0"/>
    <x v="0"/>
    <x v="1"/>
    <n v="-1244576.51"/>
    <n v="-1661834.5599999996"/>
    <n v="417258.04999999958"/>
  </r>
  <r>
    <s v="F.10017.13.03.02"/>
    <s v="W_F.10017.13.03.02: VOIP Deployment and Refresh"/>
    <x v="1"/>
    <x v="0"/>
    <x v="0"/>
    <x v="0"/>
    <x v="1"/>
    <n v="-139346.36000000002"/>
    <n v="-421.66687436472955"/>
    <n v="-138924.6931256353"/>
  </r>
  <r>
    <s v="F.10017.13.04.01"/>
    <s v="W_F.10017.13.04.01: Corp SIP trunking expansion"/>
    <x v="0"/>
    <x v="0"/>
    <x v="0"/>
    <x v="0"/>
    <x v="1"/>
    <n v="-596672.58000000007"/>
    <n v="0"/>
    <n v="-596672.58000000007"/>
  </r>
  <r>
    <s v="F.10017.13.05.01"/>
    <s v="W_F.10017.13.05.01: ACTR 2021"/>
    <x v="0"/>
    <x v="0"/>
    <x v="0"/>
    <x v="0"/>
    <x v="1"/>
    <n v="0"/>
    <n v="-44173.665237850924"/>
    <n v="44173.665237850924"/>
  </r>
  <r>
    <s v="F.10017.13.06.01"/>
    <s v="W_F.10017.13.06.01: Voice Recording Tech Refresh"/>
    <x v="0"/>
    <x v="0"/>
    <x v="0"/>
    <x v="0"/>
    <x v="1"/>
    <n v="0"/>
    <n v="-41949.841007986557"/>
    <n v="41949.841007986557"/>
  </r>
  <r>
    <s v="F.10017.15.01.03"/>
    <s v="W_F.10017.15.01.03: Automation API Platform"/>
    <x v="0"/>
    <x v="0"/>
    <x v="0"/>
    <x v="0"/>
    <x v="1"/>
    <n v="0"/>
    <n v="-644.54759564736275"/>
    <n v="644.54759564736275"/>
  </r>
  <r>
    <s v="F.10018.02.02.01"/>
    <s v="W_F.10018.02.02.01: IT Client Software Growth"/>
    <x v="0"/>
    <x v="0"/>
    <x v="0"/>
    <x v="0"/>
    <x v="1"/>
    <n v="-152444.1"/>
    <n v="-20176.051433830791"/>
    <n v="-132268.04856616922"/>
  </r>
  <r>
    <s v="F.10018.02.03.01"/>
    <s v="W_F.10018.02.03.01: Opex to Capex Maint"/>
    <x v="0"/>
    <x v="0"/>
    <x v="0"/>
    <x v="0"/>
    <x v="1"/>
    <n v="-4803142.9999999991"/>
    <n v="0"/>
    <n v="-4803142.9999999991"/>
  </r>
  <r>
    <s v="F.10018.02.03.02"/>
    <s v="c"/>
    <x v="0"/>
    <x v="3"/>
    <x v="3"/>
    <x v="0"/>
    <x v="1"/>
    <n v="-13890829.82"/>
    <n v="0"/>
    <n v="-13890829.82"/>
  </r>
  <r>
    <s v="F.10025.01.04.01"/>
    <s v="W_F.10025.01.04.01: Physical Security Roadmap"/>
    <x v="0"/>
    <x v="0"/>
    <x v="0"/>
    <x v="0"/>
    <x v="1"/>
    <n v="-3464827.4699999997"/>
    <n v="-1003078.9999999995"/>
    <n v="-2461748.4700000002"/>
  </r>
  <r>
    <s v="F.10025.01.04.02"/>
    <s v="W_F.10025.01.04.02: Cyber Audit Web Server Upgrade"/>
    <x v="0"/>
    <x v="0"/>
    <x v="0"/>
    <x v="0"/>
    <x v="1"/>
    <n v="-92038.919999999984"/>
    <n v="0"/>
    <n v="-92038.919999999984"/>
  </r>
  <r>
    <s v="F.10025.02.01.06"/>
    <s v="W_F.10025.02.01.06: CDC Extension &amp; Efficiency"/>
    <x v="0"/>
    <x v="0"/>
    <x v="0"/>
    <x v="0"/>
    <x v="1"/>
    <n v="-12718.160000000002"/>
    <n v="0"/>
    <n v="-12718.160000000002"/>
  </r>
  <r>
    <s v="F.10026.01.01.01"/>
    <s v="W_F.10026.01.01.01: Robotic Process Automation"/>
    <x v="0"/>
    <x v="0"/>
    <x v="0"/>
    <x v="0"/>
    <x v="1"/>
    <n v="-836483.47"/>
    <n v="0"/>
    <n v="-836483.47"/>
  </r>
  <r>
    <s v="F.10026.01.01.02"/>
    <s v="W_F.10026.01.01.02: Workspace Reservation System"/>
    <x v="0"/>
    <x v="0"/>
    <x v="0"/>
    <x v="0"/>
    <x v="1"/>
    <n v="-59322.22"/>
    <n v="0"/>
    <n v="-59322.22"/>
  </r>
  <r>
    <s v="K.10001.01.01.01"/>
    <s v="W_K.10001.01.01.01: LBK Hydro Plant Work"/>
    <x v="1"/>
    <x v="0"/>
    <x v="0"/>
    <x v="0"/>
    <x v="6"/>
    <n v="-148152.47"/>
    <n v="-204487.45520890108"/>
    <n v="56334.985208901082"/>
  </r>
  <r>
    <s v="K.10001.01.01.02"/>
    <s v="W_K.10001.01.01.02: LBK Small Tools"/>
    <x v="1"/>
    <x v="0"/>
    <x v="0"/>
    <x v="0"/>
    <x v="6"/>
    <n v="-117661.39"/>
    <n v="-9182.5081694425899"/>
    <n v="-108478.88183055741"/>
  </r>
  <r>
    <s v="K.10001.01.02.01"/>
    <s v="W_K.10001.01.02.01: UBK Hydro Plant Work"/>
    <x v="1"/>
    <x v="0"/>
    <x v="0"/>
    <x v="0"/>
    <x v="6"/>
    <n v="-3271155.48"/>
    <n v="-2083698.3723989616"/>
    <n v="-1187457.1076010384"/>
  </r>
  <r>
    <s v="K.10001.01.02.02"/>
    <s v="W_K.10001.01.02.02: UBK Small Tools"/>
    <x v="1"/>
    <x v="0"/>
    <x v="0"/>
    <x v="0"/>
    <x v="6"/>
    <n v="-4351.8999999999996"/>
    <n v="-8741.8672479930447"/>
    <n v="4389.967247993045"/>
  </r>
  <r>
    <s v="K.10002.01.01.01"/>
    <s v="W_K.10002.01.01.01: LBK Clubhouse Remodel Visitor Center"/>
    <x v="1"/>
    <x v="0"/>
    <x v="0"/>
    <x v="0"/>
    <x v="6"/>
    <n v="-6855945.3500000006"/>
    <n v="-7274662.1972517809"/>
    <n v="418716.84725178033"/>
  </r>
  <r>
    <s v="K.10002.01.01.06"/>
    <s v="W_K.10002.01.01.06: LBK FSC Guide Net Replacement"/>
    <x v="1"/>
    <x v="0"/>
    <x v="0"/>
    <x v="0"/>
    <x v="6"/>
    <n v="-1624.43"/>
    <n v="0"/>
    <n v="-1624.43"/>
  </r>
  <r>
    <s v="K.10002.01.02.06"/>
    <s v="W_K.10002.01.02.06: UBK U2 Runner Replacement"/>
    <x v="1"/>
    <x v="0"/>
    <x v="0"/>
    <x v="0"/>
    <x v="6"/>
    <n v="-17735305.920000002"/>
    <n v="-12334338.251034532"/>
    <n v="-5400967.66896547"/>
  </r>
  <r>
    <s v="K.10003.01.01.01"/>
    <s v="W_K.10003.01.01.01: LBK Crest Improvement and Floodwall"/>
    <x v="1"/>
    <x v="0"/>
    <x v="0"/>
    <x v="0"/>
    <x v="6"/>
    <n v="-900406.27000000014"/>
    <n v="0"/>
    <n v="-900406.27000000014"/>
  </r>
  <r>
    <s v="K.10003.01.01.03"/>
    <s v="W_K.10003.01.01.03: LBK Hatchery Raceway Project"/>
    <x v="1"/>
    <x v="0"/>
    <x v="0"/>
    <x v="0"/>
    <x v="6"/>
    <n v="-73042.259999999995"/>
    <n v="0"/>
    <n v="-73042.259999999995"/>
  </r>
  <r>
    <s v="K.10003.02.01.01"/>
    <s v="W_K.10003.02.01.01: UBK Phase II Spillway Stabilization"/>
    <x v="1"/>
    <x v="0"/>
    <x v="0"/>
    <x v="0"/>
    <x v="6"/>
    <n v="0"/>
    <n v="-9218984.0155663453"/>
    <n v="9218984.0155663453"/>
  </r>
  <r>
    <s v="K.10003.02.01.02"/>
    <s v="W_K.10003.02.01.02: UBK W Pass Dike Instrmt n Stability Eval"/>
    <x v="1"/>
    <x v="0"/>
    <x v="0"/>
    <x v="0"/>
    <x v="6"/>
    <n v="-17153.780000000002"/>
    <n v="0"/>
    <n v="-17153.780000000002"/>
  </r>
  <r>
    <s v="K.10004.01.01.01"/>
    <s v="W_K.10004.01.01.01: COL 500Kv Trans Line"/>
    <x v="1"/>
    <x v="0"/>
    <x v="0"/>
    <x v="0"/>
    <x v="4"/>
    <n v="-2630258.21"/>
    <n v="-824670.06"/>
    <n v="-1805588.15"/>
  </r>
  <r>
    <s v="K.10006.01.01.01"/>
    <s v="W_K.10006.01.01.01: ENC Small Tools"/>
    <x v="1"/>
    <x v="0"/>
    <x v="0"/>
    <x v="0"/>
    <x v="6"/>
    <n v="-8759.5500000000011"/>
    <n v="-8907.725538949464"/>
    <n v="148.17553894946286"/>
  </r>
  <r>
    <s v="K.10006.01.01.02"/>
    <s v="W_K.10006.01.01.02: ENC Thermal Plant Work"/>
    <x v="1"/>
    <x v="0"/>
    <x v="0"/>
    <x v="0"/>
    <x v="6"/>
    <n v="-1198744.01"/>
    <n v="-744086.76464406971"/>
    <n v="-454657.2453559303"/>
  </r>
  <r>
    <s v="K.10007.01.01.02"/>
    <s v="W_K.10007.01.01.02: FERN Thermal Plant Work"/>
    <x v="1"/>
    <x v="0"/>
    <x v="0"/>
    <x v="0"/>
    <x v="6"/>
    <n v="-584026.15"/>
    <n v="-971673.7679454037"/>
    <n v="387647.61794540368"/>
  </r>
  <r>
    <s v="K.10008.01.01.03"/>
    <s v="W_K.10008.01.01.03: FREDDY 1 Thermal Plant Work"/>
    <x v="1"/>
    <x v="0"/>
    <x v="0"/>
    <x v="0"/>
    <x v="6"/>
    <n v="-137200.89000000001"/>
    <n v="-64769.006217385446"/>
    <n v="-72431.883782614575"/>
  </r>
  <r>
    <s v="K.10009.01.01.03"/>
    <s v="W_K.10009.01.01.03: FRA Small Tools"/>
    <x v="1"/>
    <x v="0"/>
    <x v="0"/>
    <x v="0"/>
    <x v="6"/>
    <n v="-22178.059999999998"/>
    <n v="-8750.1066301967039"/>
    <n v="-13427.953369803294"/>
  </r>
  <r>
    <s v="K.10009.01.01.04"/>
    <s v="W_K.10009.01.01.04: FRA Thermal Plant Work"/>
    <x v="1"/>
    <x v="0"/>
    <x v="0"/>
    <x v="0"/>
    <x v="6"/>
    <n v="-655845.82000000007"/>
    <n v="-3101707.4075276647"/>
    <n v="2445861.5875276644"/>
  </r>
  <r>
    <s v="K.10010.01.01.03"/>
    <s v="W_K.10010.01.01.03: FRE Small Tools"/>
    <x v="1"/>
    <x v="0"/>
    <x v="0"/>
    <x v="0"/>
    <x v="6"/>
    <n v="-8998.5299999999988"/>
    <n v="-9740.0318393317229"/>
    <n v="741.50183933172411"/>
  </r>
  <r>
    <s v="K.10010.01.01.04"/>
    <s v="W_K.10010.01.01.04: FRE Thermal Plant Work"/>
    <x v="1"/>
    <x v="0"/>
    <x v="0"/>
    <x v="0"/>
    <x v="6"/>
    <n v="-2139214.87"/>
    <n v="-3561953.8520971662"/>
    <n v="1422738.9820971661"/>
  </r>
  <r>
    <s v="K.10012.01.01.10"/>
    <s v="W_K.10012.01.01.10: BPCC Faster Pmt Posting"/>
    <x v="0"/>
    <x v="0"/>
    <x v="0"/>
    <x v="0"/>
    <x v="1"/>
    <n v="0"/>
    <n v="-811171.05334335181"/>
    <n v="811171.05334335181"/>
  </r>
  <r>
    <s v="K.10012.01.02.18"/>
    <s v="W_K.10012.01.02.18: CLSD Data Analytics 2.0"/>
    <x v="0"/>
    <x v="0"/>
    <x v="0"/>
    <x v="0"/>
    <x v="1"/>
    <n v="-0.5700000000000216"/>
    <n v="0"/>
    <n v="-0.5700000000000216"/>
  </r>
  <r>
    <s v="K.10012.01.05.04"/>
    <s v="W_K.10012.01.05.04: CLSD IWM Work Management System"/>
    <x v="0"/>
    <x v="0"/>
    <x v="0"/>
    <x v="0"/>
    <x v="1"/>
    <n v="-126005.21999999999"/>
    <n v="0"/>
    <n v="-126005.21999999999"/>
  </r>
  <r>
    <s v="K.10012.01.05.11"/>
    <s v="W_K.10012.01.05.11: IWM EFR Electric First Response"/>
    <x v="1"/>
    <x v="0"/>
    <x v="0"/>
    <x v="0"/>
    <x v="1"/>
    <n v="100729.54"/>
    <n v="0"/>
    <n v="100729.54"/>
  </r>
  <r>
    <s v="K.10013.01.01.01"/>
    <s v="W_K.10013.01.01.01: GLD Small Tools"/>
    <x v="1"/>
    <x v="0"/>
    <x v="0"/>
    <x v="0"/>
    <x v="6"/>
    <n v="-44521.57"/>
    <n v="-8742.1993310007401"/>
    <n v="-35779.370668999261"/>
  </r>
  <r>
    <s v="K.10013.01.01.02"/>
    <s v="W_K.10013.01.01.02: GLD Thermal Plant Work"/>
    <x v="1"/>
    <x v="0"/>
    <x v="0"/>
    <x v="0"/>
    <x v="6"/>
    <n v="-1669853.0900000003"/>
    <n v="-2337319.7836062713"/>
    <n v="667466.69360627094"/>
  </r>
  <r>
    <s v="K.10014.01.01.02"/>
    <s v="W_K.10014.01.01.02: GLD CT Major Inspection"/>
    <x v="1"/>
    <x v="0"/>
    <x v="0"/>
    <x v="0"/>
    <x v="6"/>
    <n v="3595.8600000000006"/>
    <n v="9590572.292749688"/>
    <n v="-9586976.4327496886"/>
  </r>
  <r>
    <s v="K.10015.01.01.01"/>
    <s v="W_K.10015.01.01.01: HPK Ongoing UOP Replacements"/>
    <x v="1"/>
    <x v="0"/>
    <x v="0"/>
    <x v="0"/>
    <x v="6"/>
    <n v="-1701868.57"/>
    <n v="-1972285.7412400157"/>
    <n v="270417.17124001565"/>
  </r>
  <r>
    <s v="K.10015.01.01.02"/>
    <s v="W_K.10015.01.01.02: HPK Small Tools"/>
    <x v="1"/>
    <x v="0"/>
    <x v="0"/>
    <x v="0"/>
    <x v="6"/>
    <n v="-5780.45"/>
    <n v="-34133.431382262374"/>
    <n v="28352.981382262373"/>
  </r>
  <r>
    <s v="K.10015.01.01.03"/>
    <s v="W_K.10015.01.01.03: HPK Wind Plant Work"/>
    <x v="1"/>
    <x v="0"/>
    <x v="0"/>
    <x v="0"/>
    <x v="6"/>
    <n v="-17826.53"/>
    <n v="-8.220930000000001"/>
    <n v="-17818.309069999999"/>
  </r>
  <r>
    <s v="K.10016.01.01.01"/>
    <s v="W_K.10016.01.01.01: JP Operational Capital"/>
    <x v="2"/>
    <x v="0"/>
    <x v="0"/>
    <x v="0"/>
    <x v="6"/>
    <n v="-1972210.1"/>
    <n v="-2645913.9873993746"/>
    <n v="673703.88739937451"/>
  </r>
  <r>
    <s v="K.10017.01.01.01"/>
    <s v="W_K.10017.01.01.01: BKR Aquatic Riparian Habitat"/>
    <x v="1"/>
    <x v="0"/>
    <x v="0"/>
    <x v="0"/>
    <x v="6"/>
    <n v="-297080.38999999996"/>
    <n v="0"/>
    <n v="-297080.38999999996"/>
  </r>
  <r>
    <s v="K.10017.01.01.02"/>
    <s v="W_K.10017.01.01.02: BKR Develop Recreation Capital"/>
    <x v="1"/>
    <x v="0"/>
    <x v="0"/>
    <x v="0"/>
    <x v="6"/>
    <n v="-3054790.9"/>
    <n v="0"/>
    <n v="-3054790.9"/>
  </r>
  <r>
    <s v="K.10017.01.01.03"/>
    <s v="W_K.10017.01.01.03: BKR Elk Habitat"/>
    <x v="1"/>
    <x v="0"/>
    <x v="0"/>
    <x v="0"/>
    <x v="6"/>
    <n v="0"/>
    <n v="-78260.519081936349"/>
    <n v="78260.519081936349"/>
  </r>
  <r>
    <s v="K.10017.01.02.01"/>
    <s v="W_K.10017.01.02.01: HPK Eagle Conservation Plan"/>
    <x v="1"/>
    <x v="0"/>
    <x v="0"/>
    <x v="0"/>
    <x v="6"/>
    <n v="0"/>
    <n v="-198780.17049297309"/>
    <n v="198780.17049297309"/>
  </r>
  <r>
    <s v="K.10017.01.03.01"/>
    <s v="W_K.10017.01.03.01: LSR1 Eagle Conservation Plan"/>
    <x v="1"/>
    <x v="0"/>
    <x v="0"/>
    <x v="0"/>
    <x v="6"/>
    <n v="0"/>
    <n v="-279178.78352535918"/>
    <n v="279178.78352535918"/>
  </r>
  <r>
    <s v="K.10018.01.01.01"/>
    <s v="W_K.10018.01.01.01: LSR1 Ongoing Uop Replacements"/>
    <x v="1"/>
    <x v="0"/>
    <x v="0"/>
    <x v="0"/>
    <x v="6"/>
    <n v="-2366622.3299999996"/>
    <n v="-4070011.5449392949"/>
    <n v="1703389.2149392953"/>
  </r>
  <r>
    <s v="K.10018.01.01.02"/>
    <s v="W_K.10018.01.01.02: LSR1 Small Tools"/>
    <x v="1"/>
    <x v="0"/>
    <x v="0"/>
    <x v="0"/>
    <x v="6"/>
    <n v="-8794.6999999999989"/>
    <n v="-34558.622921534588"/>
    <n v="25763.922921534591"/>
  </r>
  <r>
    <s v="K.10019.01.01.01"/>
    <s v="W_K.10019.01.01.01: MTF Small Tools"/>
    <x v="1"/>
    <x v="0"/>
    <x v="0"/>
    <x v="0"/>
    <x v="6"/>
    <n v="0"/>
    <n v="-9079.2784517848868"/>
    <n v="9079.2784517848868"/>
  </r>
  <r>
    <s v="K.10019.01.01.02"/>
    <s v="W_K.10019.01.01.02: MTF Thermal Plant Work"/>
    <x v="1"/>
    <x v="0"/>
    <x v="0"/>
    <x v="0"/>
    <x v="6"/>
    <n v="-1658913.7800000003"/>
    <n v="-1104403.2635514846"/>
    <n v="-554510.5164485157"/>
  </r>
  <r>
    <s v="K.10020.01.01.03"/>
    <s v="W_K.10020.01.01.03: MTF CT Major Inspection"/>
    <x v="1"/>
    <x v="0"/>
    <x v="0"/>
    <x v="0"/>
    <x v="6"/>
    <n v="-14435849.020000001"/>
    <n v="-14828422.517420096"/>
    <n v="392573.49742009491"/>
  </r>
  <r>
    <s v="K.10021.01.01.01"/>
    <s v="W_K.10021.01.01.01: SNO Hydro Plant Work"/>
    <x v="1"/>
    <x v="0"/>
    <x v="0"/>
    <x v="0"/>
    <x v="6"/>
    <n v="-86166.02"/>
    <n v="-391203.93052065192"/>
    <n v="305037.9105206519"/>
  </r>
  <r>
    <s v="K.10021.01.01.02"/>
    <s v="W_K.10021.01.01.02: SNO Small Tools"/>
    <x v="1"/>
    <x v="0"/>
    <x v="0"/>
    <x v="0"/>
    <x v="6"/>
    <n v="-1338.08"/>
    <n v="-8680.9960424976271"/>
    <n v="7342.9160424976271"/>
  </r>
  <r>
    <s v="K.10022.01.01.04"/>
    <s v="W_K.10022.01.01.04: SNO U5 Erosion Repair"/>
    <x v="1"/>
    <x v="0"/>
    <x v="0"/>
    <x v="0"/>
    <x v="6"/>
    <n v="-1796843.84"/>
    <n v="-2257824.8150250069"/>
    <n v="460980.9750250068"/>
  </r>
  <r>
    <s v="K.10023.01.01.01"/>
    <s v="W_K.10023.01.01.01: SMS Small Tools"/>
    <x v="1"/>
    <x v="0"/>
    <x v="0"/>
    <x v="0"/>
    <x v="6"/>
    <n v="-4469.619999999999"/>
    <n v="-9799.756248834683"/>
    <n v="5330.136248834684"/>
  </r>
  <r>
    <s v="K.10023.01.01.02"/>
    <s v="W_K.10023.01.01.02: SMS Thermal Plant Work"/>
    <x v="1"/>
    <x v="0"/>
    <x v="0"/>
    <x v="0"/>
    <x v="6"/>
    <n v="-3891601.1999999997"/>
    <n v="0"/>
    <n v="-3891601.1999999997"/>
  </r>
  <r>
    <s v="K.10025.01.02.01"/>
    <s v="W_K.10025.01.02.01: LNG 1 Mile Pipe Connector"/>
    <x v="2"/>
    <x v="0"/>
    <x v="0"/>
    <x v="0"/>
    <x v="6"/>
    <n v="-37404.859999999993"/>
    <n v="-35882.374722248729"/>
    <n v="-1522.4852777512642"/>
  </r>
  <r>
    <s v="K.10025.01.02.02"/>
    <s v="W_K.10025.01.02.02: LNG 4 Mile Pipe To Plant"/>
    <x v="2"/>
    <x v="0"/>
    <x v="0"/>
    <x v="0"/>
    <x v="6"/>
    <n v="-13591.179999999998"/>
    <n v="-12728.323466785405"/>
    <n v="-862.85653321459358"/>
  </r>
  <r>
    <s v="K.10025.01.02.03"/>
    <s v="W_K.10025.01.02.03: LNG Clover Creek Limit Station Modi"/>
    <x v="2"/>
    <x v="0"/>
    <x v="0"/>
    <x v="0"/>
    <x v="6"/>
    <n v="0"/>
    <n v="-36089.35429507088"/>
    <n v="36089.35429507088"/>
  </r>
  <r>
    <s v="K.10025.01.02.06"/>
    <s v="W_K.10025.01.02.06: LNG Golden Givens New Limit Station"/>
    <x v="2"/>
    <x v="0"/>
    <x v="0"/>
    <x v="0"/>
    <x v="6"/>
    <n v="-684.16000000000008"/>
    <n v="0"/>
    <n v="-684.16000000000008"/>
  </r>
  <r>
    <s v="K.10025.01.03.01"/>
    <s v="W_K.10025.01.03.01: LNG IT Business Enablement"/>
    <x v="2"/>
    <x v="0"/>
    <x v="0"/>
    <x v="0"/>
    <x v="1"/>
    <m/>
    <m/>
    <n v="0"/>
  </r>
  <r>
    <s v="K.10026.01.01.03"/>
    <s v="W_K.10026.01.01.03: WHH Small Tools"/>
    <x v="1"/>
    <x v="0"/>
    <x v="0"/>
    <x v="0"/>
    <x v="6"/>
    <n v="0"/>
    <n v="-8969.9882808904422"/>
    <n v="8969.9882808904422"/>
  </r>
  <r>
    <s v="K.10026.01.01.04"/>
    <s v="W_K.10026.01.01.04: WHH Thermal Plant Work"/>
    <x v="1"/>
    <x v="0"/>
    <x v="0"/>
    <x v="0"/>
    <x v="6"/>
    <n v="-1432511.2600000002"/>
    <n v="-39120.151874345203"/>
    <n v="-1393391.108125655"/>
  </r>
  <r>
    <s v="K.10028.01.01.01"/>
    <s v="W_K.10028.01.01.01: WLD Small Tools"/>
    <x v="1"/>
    <x v="0"/>
    <x v="0"/>
    <x v="0"/>
    <x v="6"/>
    <n v="0"/>
    <n v="-12690.482133681084"/>
    <n v="12690.482133681084"/>
  </r>
  <r>
    <s v="K.10028.01.01.03"/>
    <s v="W_K.10028.01.01.03: WLD Wind Plant Work"/>
    <x v="1"/>
    <x v="0"/>
    <x v="0"/>
    <x v="0"/>
    <x v="6"/>
    <n v="-21598.040000000005"/>
    <n v="0"/>
    <n v="-21598.040000000005"/>
  </r>
  <r>
    <s v="K.10028.01.01.04"/>
    <s v="W_K.10028.01.01.04: WLD Ongoing UOP Replacements"/>
    <x v="1"/>
    <x v="0"/>
    <x v="0"/>
    <x v="0"/>
    <x v="6"/>
    <n v="-2341537.3700000006"/>
    <n v="-4359030.2563500023"/>
    <n v="2017492.8863500017"/>
  </r>
  <r>
    <s v="K.10038.01.01.01"/>
    <s v="W_K.10038.01.01.01: Cust Sited Energy Storage Demos CEIP"/>
    <x v="1"/>
    <x v="0"/>
    <x v="0"/>
    <x v="0"/>
    <x v="4"/>
    <n v="-20478.250000000015"/>
    <n v="-1128673.2549599998"/>
    <n v="1108195.0049599998"/>
  </r>
  <r>
    <s v="R.10004.01.01.01"/>
    <s v="W_R.10004.01.01.01: C Franchises"/>
    <x v="0"/>
    <x v="1"/>
    <x v="1"/>
    <x v="1"/>
    <x v="2"/>
    <n v="0"/>
    <n v="-146624.00000000041"/>
    <n v="146624.00000000041"/>
  </r>
  <r>
    <s v="R.10005.01.01.01"/>
    <s v="W_R.10005.01.01.01: E Eastside 230Kv Subs Richards Creek"/>
    <x v="1"/>
    <x v="4"/>
    <x v="4"/>
    <x v="0"/>
    <x v="2"/>
    <n v="-79903.810000000012"/>
    <n v="0"/>
    <n v="-79903.810000000012"/>
  </r>
  <r>
    <s v="R.10005.01.01.02"/>
    <s v="W_R.10005.01.01.02: E Eastside 230Kv Subs Talbot Hill"/>
    <x v="1"/>
    <x v="1"/>
    <x v="1"/>
    <x v="1"/>
    <x v="2"/>
    <n v="-1952.77"/>
    <n v="0"/>
    <n v="-1952.77"/>
  </r>
  <r>
    <s v="R.10005.01.01.04"/>
    <s v="W_R.10005.01.01.04: E Eastside 230Kv Subs Rose Hill"/>
    <x v="1"/>
    <x v="1"/>
    <x v="1"/>
    <x v="1"/>
    <x v="2"/>
    <n v="0"/>
    <n v="-762596.6138704659"/>
    <n v="762596.6138704659"/>
  </r>
  <r>
    <s v="R.10005.01.01.07"/>
    <s v="W_R.10005.01.01.07: E Eastside 230Kv Tlines"/>
    <x v="1"/>
    <x v="4"/>
    <x v="4"/>
    <x v="0"/>
    <x v="2"/>
    <n v="-277762.83999999997"/>
    <n v="0"/>
    <n v="-277762.83999999997"/>
  </r>
  <r>
    <s v="R.10005.01.01.08"/>
    <s v="W_R.10005.01.01.08: E Talbot Hill Paccar Reconductor"/>
    <x v="1"/>
    <x v="1"/>
    <x v="1"/>
    <x v="1"/>
    <x v="2"/>
    <n v="-61310.669999999991"/>
    <n v="-133587.2624153888"/>
    <n v="72276.592415388819"/>
  </r>
  <r>
    <s v="R.10006.01.01.03"/>
    <s v="W_R.10006.01.01.03: E Substation SCADA CEIP"/>
    <x v="1"/>
    <x v="5"/>
    <x v="5"/>
    <x v="2"/>
    <x v="2"/>
    <n v="-6421975.79"/>
    <n v="-4270934.1688662115"/>
    <n v="-2151041.6211337885"/>
  </r>
  <r>
    <s v="R.10006.01.01.04"/>
    <s v="W_R.10006.01.01.04: E Trans Automation"/>
    <x v="1"/>
    <x v="5"/>
    <x v="5"/>
    <x v="2"/>
    <x v="2"/>
    <n v="-1544834.15"/>
    <n v="-1014566.9518661882"/>
    <n v="-530267.1981338117"/>
  </r>
  <r>
    <s v="R.10006.01.01.07"/>
    <s v="W_R.10006.01.01.07: E Electric System Modeling"/>
    <x v="1"/>
    <x v="5"/>
    <x v="5"/>
    <x v="2"/>
    <x v="2"/>
    <n v="-475541.9"/>
    <n v="-350939.75078643515"/>
    <n v="-124602.14921356487"/>
  </r>
  <r>
    <s v="R.10007.02.01.02"/>
    <s v="W_R.10007.02.01.02: E Bellingham Substation Rebuild Sub"/>
    <x v="1"/>
    <x v="1"/>
    <x v="1"/>
    <x v="1"/>
    <x v="2"/>
    <n v="-174.46"/>
    <n v="0"/>
    <n v="-174.46"/>
  </r>
  <r>
    <s v="R.10007.06.01.01"/>
    <s v="W_R.10007.06.01.01: E 5 Yr Electric Refundable CIAC"/>
    <x v="1"/>
    <x v="6"/>
    <x v="6"/>
    <x v="3"/>
    <x v="2"/>
    <n v="8593299.5"/>
    <n v="17388699.999999959"/>
    <n v="-8795400.499999959"/>
  </r>
  <r>
    <s v="R.10007.07.01.01"/>
    <s v="W_R.10007.07.01.01: E Customer Reimbursed"/>
    <x v="1"/>
    <x v="7"/>
    <x v="6"/>
    <x v="3"/>
    <x v="2"/>
    <n v="86939.409999999945"/>
    <n v="-1142819.4691762801"/>
    <n v="1229758.87917628"/>
  </r>
  <r>
    <s v="R.10007.08.01.01"/>
    <s v="W_R.10007.08.01.01: E OH UG Commercial Services"/>
    <x v="1"/>
    <x v="7"/>
    <x v="6"/>
    <x v="3"/>
    <x v="2"/>
    <n v="-4362726.3500000015"/>
    <n v="-3452.753015949349"/>
    <n v="-4359273.5969840521"/>
  </r>
  <r>
    <s v="R.10007.08.02.01"/>
    <s v="W_R.10007.08.02.01: E OH UG Residential Services"/>
    <x v="1"/>
    <x v="7"/>
    <x v="6"/>
    <x v="3"/>
    <x v="2"/>
    <n v="-6377886.2200000016"/>
    <n v="-17543.818873808475"/>
    <n v="-6360342.4011261929"/>
  </r>
  <r>
    <s v="R.10007.08.02.02"/>
    <s v="W_R.10007.08.02.02: E UG Residential Services In Plats"/>
    <x v="2"/>
    <x v="7"/>
    <x v="6"/>
    <x v="4"/>
    <x v="2"/>
    <n v="-602052.64000000013"/>
    <n v="0"/>
    <n v="-602052.64000000013"/>
  </r>
  <r>
    <s v="R.10007.09.01.01"/>
    <s v="W_R.10007.09.01.01: E Commercial Line Extension"/>
    <x v="1"/>
    <x v="7"/>
    <x v="6"/>
    <x v="3"/>
    <x v="2"/>
    <n v="-14731545.119999997"/>
    <n v="-328048.10019989865"/>
    <n v="-14403497.019800099"/>
  </r>
  <r>
    <s v="R.10007.09.02.01"/>
    <s v="W_R.10007.09.02.01: E Multi Family Line Extension"/>
    <x v="1"/>
    <x v="7"/>
    <x v="6"/>
    <x v="3"/>
    <x v="2"/>
    <n v="-4681542.5399999991"/>
    <n v="-1602482.7392020761"/>
    <n v="-3079059.800797923"/>
  </r>
  <r>
    <s v="R.10007.09.03.02"/>
    <s v="W_R.10007.09.03.02: E Plats Line Extension"/>
    <x v="1"/>
    <x v="7"/>
    <x v="6"/>
    <x v="3"/>
    <x v="2"/>
    <n v="-18716986.229999997"/>
    <n v="-4737374.8751579449"/>
    <n v="-13979611.354842052"/>
  </r>
  <r>
    <s v="R.10007.09.04.01"/>
    <s v="W_R.10007.09.04.01: E Single Family Line Extension"/>
    <x v="1"/>
    <x v="7"/>
    <x v="6"/>
    <x v="3"/>
    <x v="2"/>
    <n v="-13841399.749999994"/>
    <n v="-194567.04748128986"/>
    <n v="-13646832.702518705"/>
  </r>
  <r>
    <s v="R.10007.12.01.01"/>
    <s v="W_R.10007.12.01.01: E Microsoft Campus Rebuild"/>
    <x v="1"/>
    <x v="1"/>
    <x v="1"/>
    <x v="1"/>
    <x v="2"/>
    <n v="-6582109.7000000002"/>
    <n v="0"/>
    <n v="-6582109.7000000002"/>
  </r>
  <r>
    <s v="R.10007.12.03.01"/>
    <s v="W_R.10007.12.03.01: E Customer Reimbursed Major Projects"/>
    <x v="1"/>
    <x v="8"/>
    <x v="5"/>
    <x v="5"/>
    <x v="2"/>
    <n v="-724138.4"/>
    <n v="402539.19530159194"/>
    <n v="-1126677.595301592"/>
  </r>
  <r>
    <s v="R.10008.01.01.01"/>
    <s v="W_R.10008.01.01.01: E Conversions Sched 73 Cust Driven"/>
    <x v="1"/>
    <x v="9"/>
    <x v="6"/>
    <x v="3"/>
    <x v="2"/>
    <n v="37260.210000012798"/>
    <n v="-586460.13722090423"/>
    <n v="623720.347220917"/>
  </r>
  <r>
    <s v="R.10008.01.01.02"/>
    <s v="W_R.10008.01.01.02: E OH UG Reloc - Removal Cust Driven Dist"/>
    <x v="1"/>
    <x v="9"/>
    <x v="6"/>
    <x v="3"/>
    <x v="2"/>
    <n v="-1686581.2599999995"/>
    <n v="-302625.25514570269"/>
    <n v="-1383956.0048542968"/>
  </r>
  <r>
    <s v="R.10008.02.01.01"/>
    <s v="W_R.10008.02.01.01: E Franchises"/>
    <x v="1"/>
    <x v="1"/>
    <x v="1"/>
    <x v="1"/>
    <x v="2"/>
    <n v="-17500.509999999998"/>
    <n v="-256323.99999999965"/>
    <n v="238823.48999999964"/>
  </r>
  <r>
    <s v="R.10008.03.01.01"/>
    <s v="W_R.10008.03.01.01: E Conversions Sched 74 PI Driven"/>
    <x v="1"/>
    <x v="9"/>
    <x v="6"/>
    <x v="3"/>
    <x v="2"/>
    <n v="-2739220.27"/>
    <n v="-861814.15282373549"/>
    <n v="-1877406.1171762645"/>
  </r>
  <r>
    <s v="R.10008.03.01.03"/>
    <s v="W_R.10008.03.01.03: E OH UG Rel PI Driven NonReimb Dist"/>
    <x v="1"/>
    <x v="9"/>
    <x v="6"/>
    <x v="3"/>
    <x v="2"/>
    <n v="-15343313.549999997"/>
    <n v="-6305398.0468544792"/>
    <n v="-9037915.5031455178"/>
  </r>
  <r>
    <s v="R.10008.03.01.04"/>
    <s v="W_R.10008.03.01.04: E OH UG Rel PI Driven Reimburse Dist"/>
    <x v="1"/>
    <x v="9"/>
    <x v="6"/>
    <x v="3"/>
    <x v="2"/>
    <n v="-4668066.9499999983"/>
    <n v="-3782262.3531804639"/>
    <n v="-885804.59681953443"/>
  </r>
  <r>
    <s v="R.10008.03.01.05"/>
    <s v="W_R.10008.03.01.05: E PI Driven Relocations Trans"/>
    <x v="1"/>
    <x v="9"/>
    <x v="6"/>
    <x v="3"/>
    <x v="2"/>
    <n v="-423517.23000000004"/>
    <n v="-42777.416438186134"/>
    <n v="-380739.81356181391"/>
  </r>
  <r>
    <s v="R.10008.03.01.13"/>
    <s v="W_R.10008.03.01.13: E Elec Facility Replacement Trans"/>
    <x v="1"/>
    <x v="1"/>
    <x v="1"/>
    <x v="1"/>
    <x v="2"/>
    <n v="156956.6"/>
    <n v="45751.767883173794"/>
    <n v="111204.8321168262"/>
  </r>
  <r>
    <s v="R.10008.03.01.14"/>
    <s v="W_R.10008.03.01.14: E Sound Transit Reimburse"/>
    <x v="1"/>
    <x v="1"/>
    <x v="1"/>
    <x v="1"/>
    <x v="2"/>
    <n v="80515.219999999899"/>
    <n v="-174864.31364979941"/>
    <n v="255379.5336497993"/>
  </r>
  <r>
    <s v="R.10008.05.01.01"/>
    <s v="W_R.10008.05.01.01: E Sound Transit Dist"/>
    <x v="1"/>
    <x v="1"/>
    <x v="1"/>
    <x v="1"/>
    <x v="2"/>
    <n v="1336589.9300000002"/>
    <n v="0"/>
    <n v="1336589.9300000002"/>
  </r>
  <r>
    <s v="R.10008.05.01.02"/>
    <s v="W_R.10008.05.01.02: E Sound Transit East Link Dist"/>
    <x v="1"/>
    <x v="1"/>
    <x v="1"/>
    <x v="1"/>
    <x v="2"/>
    <n v="-1989317.7800000003"/>
    <n v="0"/>
    <n v="-1989317.7800000003"/>
  </r>
  <r>
    <s v="R.10008.07.01.01"/>
    <s v="W_R.10008.07.01.01: E WSDOT Clr Zone Pole Prog Dist"/>
    <x v="1"/>
    <x v="9"/>
    <x v="6"/>
    <x v="3"/>
    <x v="2"/>
    <n v="-208574.06"/>
    <n v="-579868.1633594709"/>
    <n v="371294.1033594709"/>
  </r>
  <r>
    <s v="R.10008.07.02.01"/>
    <s v="W_R.10008.07.02.01: E King County Clr Zone Pole Prog Dist"/>
    <x v="1"/>
    <x v="9"/>
    <x v="6"/>
    <x v="3"/>
    <x v="2"/>
    <n v="0"/>
    <n v="-942562.69200210588"/>
    <n v="942562.69200210588"/>
  </r>
  <r>
    <s v="R.10009.01.01.01"/>
    <s v="W_R.10009.01.01.01: E BPA 3rd AC Transmission Intertie Work"/>
    <x v="1"/>
    <x v="1"/>
    <x v="1"/>
    <x v="1"/>
    <x v="2"/>
    <n v="-327481.64"/>
    <n v="-526997.4616409021"/>
    <n v="199515.82164090208"/>
  </r>
  <r>
    <s v="R.10009.02.01.02"/>
    <s v="W_R.10009.02.01.02: E Central Bellevue Dist Growth Feeder"/>
    <x v="1"/>
    <x v="1"/>
    <x v="1"/>
    <x v="1"/>
    <x v="2"/>
    <n v="-92371.970000000016"/>
    <n v="0"/>
    <n v="-92371.970000000016"/>
  </r>
  <r>
    <s v="R.10009.02.01.03"/>
    <s v="W_R.10009.02.01.03: E Central Bellevue Dist Rel Feeder"/>
    <x v="1"/>
    <x v="5"/>
    <x v="5"/>
    <x v="2"/>
    <x v="2"/>
    <n v="-541599.29999999993"/>
    <n v="-612257.04912493099"/>
    <n v="70657.749124931055"/>
  </r>
  <r>
    <s v="R.10009.04.01.02"/>
    <s v="W_R.10009.04.01.02: E Damage Claims Cap Writeoff"/>
    <x v="1"/>
    <x v="0"/>
    <x v="0"/>
    <x v="0"/>
    <x v="4"/>
    <n v="-1922547.6499999994"/>
    <n v="0"/>
    <n v="-1922547.6499999994"/>
  </r>
  <r>
    <s v="R.10009.05.01.01"/>
    <s v="W_R.10009.05.01.01: E Emergency NonOutage OH Repl Dist"/>
    <x v="1"/>
    <x v="10"/>
    <x v="5"/>
    <x v="6"/>
    <x v="2"/>
    <n v="-2276971.46"/>
    <n v="-3537856.0686793714"/>
    <n v="1260884.6086793714"/>
  </r>
  <r>
    <s v="R.10009.05.01.02"/>
    <s v="W_R.10009.05.01.02: E Emergency NonOutage OH Repl Trans"/>
    <x v="1"/>
    <x v="10"/>
    <x v="5"/>
    <x v="6"/>
    <x v="2"/>
    <n v="-2289164.5"/>
    <n v="-1706503.2013557961"/>
    <n v="-582661.29864420393"/>
  </r>
  <r>
    <s v="R.10009.05.01.03"/>
    <s v="W_R.10009.05.01.03: E Emergency NonOutage UG Repl Dist"/>
    <x v="1"/>
    <x v="10"/>
    <x v="5"/>
    <x v="6"/>
    <x v="2"/>
    <n v="-1392005.6"/>
    <n v="-1561540.4883292869"/>
    <n v="169534.88832928683"/>
  </r>
  <r>
    <s v="R.10009.05.02.01"/>
    <s v="W_R.10009.05.02.01: E Emergency OH Replacement Trans"/>
    <x v="1"/>
    <x v="10"/>
    <x v="5"/>
    <x v="6"/>
    <x v="2"/>
    <n v="-2592100.8000000003"/>
    <n v="-1155135.265726232"/>
    <n v="-1436965.5342737683"/>
  </r>
  <r>
    <s v="R.10009.05.02.02"/>
    <s v="W_R.10009.05.02.02: E Emergency Outage OH Replacement Dist"/>
    <x v="1"/>
    <x v="10"/>
    <x v="5"/>
    <x v="6"/>
    <x v="2"/>
    <n v="-23566111.069999997"/>
    <n v="-16384171.11281178"/>
    <n v="-7181939.957188217"/>
  </r>
  <r>
    <s v="R.10009.05.02.03"/>
    <s v="W_R.10009.05.02.03: E Emergency Outage UG Replacement Dist"/>
    <x v="1"/>
    <x v="10"/>
    <x v="5"/>
    <x v="6"/>
    <x v="2"/>
    <n v="-25665121.789999995"/>
    <n v="-17735483.544329397"/>
    <n v="-7929638.245670598"/>
  </r>
  <r>
    <s v="R.10009.05.02.04"/>
    <s v="W_R.10009.05.02.04: E Unplanned OH Distribution Abnormals"/>
    <x v="1"/>
    <x v="10"/>
    <x v="5"/>
    <x v="6"/>
    <x v="2"/>
    <n v="-2885404.93"/>
    <n v="-4767615.2291070791"/>
    <n v="1882210.2991070789"/>
  </r>
  <r>
    <s v="R.10009.05.02.05"/>
    <s v="W_R.10009.05.02.05: E Unplanned UG Distribution Abnormals"/>
    <x v="1"/>
    <x v="10"/>
    <x v="5"/>
    <x v="6"/>
    <x v="2"/>
    <n v="-5809975.9299999997"/>
    <n v="-77270.408691708741"/>
    <n v="-5732705.5213082908"/>
  </r>
  <r>
    <s v="R.10009.07.01.01"/>
    <s v="W_R.10009.07.01.01: E OH System Capacity New Dist"/>
    <x v="1"/>
    <x v="11"/>
    <x v="5"/>
    <x v="0"/>
    <x v="2"/>
    <n v="20729.98"/>
    <n v="-2101770.1830291268"/>
    <n v="2122500.1630291268"/>
  </r>
  <r>
    <s v="R.10009.07.01.03"/>
    <s v="W_R.10009.07.01.03: E UG System Capacity New Dist"/>
    <x v="1"/>
    <x v="11"/>
    <x v="5"/>
    <x v="0"/>
    <x v="2"/>
    <n v="-3966627.5300000007"/>
    <n v="-970471.10265976202"/>
    <n v="-2996156.4273402388"/>
  </r>
  <r>
    <s v="R.10009.07.03.01"/>
    <s v="W_R.10009.07.03.01: E OH UG System Improv Opport New Dist"/>
    <x v="1"/>
    <x v="9"/>
    <x v="6"/>
    <x v="3"/>
    <x v="2"/>
    <n v="-433258.59"/>
    <n v="-23122.496188339908"/>
    <n v="-410136.09381166013"/>
  </r>
  <r>
    <s v="R.10009.08.01.02"/>
    <s v="W_R.10009.08.01.02: E UG Cable Remediation Dist"/>
    <x v="1"/>
    <x v="5"/>
    <x v="5"/>
    <x v="2"/>
    <x v="2"/>
    <n v="-22055101.060000002"/>
    <n v="-19066599.134576462"/>
    <n v="-2988501.9254235402"/>
  </r>
  <r>
    <s v="R.10009.08.01.07"/>
    <s v="W_R.10009.08.01.07: E UG Cable Remediation Progr IPM"/>
    <x v="1"/>
    <x v="5"/>
    <x v="5"/>
    <x v="2"/>
    <x v="2"/>
    <n v="-5481367.3600000003"/>
    <n v="-1225889.1263919855"/>
    <n v="-4255478.2336080149"/>
  </r>
  <r>
    <s v="R.10009.08.02.01"/>
    <s v="W_R.10009.08.02.01: E Bellingham Subs"/>
    <x v="1"/>
    <x v="1"/>
    <x v="1"/>
    <x v="1"/>
    <x v="2"/>
    <n v="-57.85"/>
    <n v="0"/>
    <n v="-57.85"/>
  </r>
  <r>
    <s v="R.10009.08.02.03"/>
    <s v="W_R.10009.08.02.03: E North Bend Subs Rebuild Subs"/>
    <x v="1"/>
    <x v="8"/>
    <x v="5"/>
    <x v="5"/>
    <x v="2"/>
    <n v="0"/>
    <n v="-815876.02999999968"/>
    <n v="815876.02999999968"/>
  </r>
  <r>
    <s v="R.10009.08.02.05"/>
    <s v="W_R.10009.08.02.05: E OH Clearance Alley Syst Dist"/>
    <x v="1"/>
    <x v="5"/>
    <x v="5"/>
    <x v="2"/>
    <x v="2"/>
    <n v="0"/>
    <n v="-35921973.44277709"/>
    <n v="35921973.44277709"/>
  </r>
  <r>
    <s v="R.10009.08.02.07"/>
    <s v="W_R.10009.08.02.07: E OH Sys Rel Upgrades Outage Dist"/>
    <x v="1"/>
    <x v="5"/>
    <x v="5"/>
    <x v="2"/>
    <x v="2"/>
    <n v="-6316085.5699999994"/>
    <n v="-5647053.9177504089"/>
    <n v="-669031.65224959049"/>
  </r>
  <r>
    <s v="R.10009.08.02.09"/>
    <s v="W_R.10009.08.02.09: E OH Syst Rel Upgrades Rebuild Dist"/>
    <x v="1"/>
    <x v="5"/>
    <x v="5"/>
    <x v="2"/>
    <x v="2"/>
    <n v="-10585242.869999999"/>
    <n v="-5346024.8646613471"/>
    <n v="-5239218.0053386521"/>
  </r>
  <r>
    <s v="R.10009.08.02.10"/>
    <s v="W_R.10009.08.02.10: E OH Syst Rel Upgrades UG Convers Dist"/>
    <x v="1"/>
    <x v="5"/>
    <x v="5"/>
    <x v="2"/>
    <x v="2"/>
    <n v="-8530130.6899999995"/>
    <n v="-7796775.9340889389"/>
    <n v="-733354.75591106061"/>
  </r>
  <r>
    <s v="R.10009.08.02.12"/>
    <s v="W_R.10009.08.02.12: E OH Syst Rel Upgr Reclosers Dist"/>
    <x v="1"/>
    <x v="1"/>
    <x v="1"/>
    <x v="1"/>
    <x v="2"/>
    <n v="-2856208.79"/>
    <n v="-1941116.1751145546"/>
    <n v="-915092.61488544545"/>
  </r>
  <r>
    <s v="R.10009.08.02.13"/>
    <s v="W_R.10009.08.02.13: E UG Sys Rel Upgr Pm Switch Dist"/>
    <x v="1"/>
    <x v="1"/>
    <x v="1"/>
    <x v="1"/>
    <x v="2"/>
    <n v="-155988.55999999997"/>
    <n v="0"/>
    <n v="-155988.55999999997"/>
  </r>
  <r>
    <s v="R.10009.08.02.14"/>
    <s v="W_R.10009.08.02.14: E OH Syst Rel Upgr Tree WirE Dist"/>
    <x v="1"/>
    <x v="5"/>
    <x v="5"/>
    <x v="2"/>
    <x v="2"/>
    <n v="-12131135.530000001"/>
    <n v="-5943259.5284354677"/>
    <n v="-6187876.0015645334"/>
  </r>
  <r>
    <s v="R.10009.08.02.15"/>
    <s v="W_R.10009.08.02.15: E OH Syst Rel Upgr Fusesaver Dist"/>
    <x v="1"/>
    <x v="5"/>
    <x v="5"/>
    <x v="2"/>
    <x v="2"/>
    <n v="-1452907.89"/>
    <n v="-957837.8105865703"/>
    <n v="-495070.0794134296"/>
  </r>
  <r>
    <s v="R.10009.08.02.17"/>
    <s v="W_R.10009.08.02.17: E OH System Capacity Upgrade Dist"/>
    <x v="1"/>
    <x v="5"/>
    <x v="5"/>
    <x v="2"/>
    <x v="2"/>
    <n v="-1707611.7999999998"/>
    <n v="-1061291.1559889046"/>
    <n v="-646320.64401109517"/>
  </r>
  <r>
    <s v="R.10009.08.02.18"/>
    <s v="W_R.10009.08.02.18: E OH Sys Capacity Upgrades Uprates Trans"/>
    <x v="1"/>
    <x v="1"/>
    <x v="1"/>
    <x v="1"/>
    <x v="2"/>
    <n v="-892.18"/>
    <n v="-809.57372929571864"/>
    <n v="-82.606270704281314"/>
  </r>
  <r>
    <s v="R.10009.08.02.19"/>
    <s v="W_R.10009.08.02.19: E OH System Reliability Upgrades Trans"/>
    <x v="1"/>
    <x v="1"/>
    <x v="1"/>
    <x v="1"/>
    <x v="2"/>
    <n v="-28219.920000000002"/>
    <n v="-343.58994116342234"/>
    <n v="-27876.330058836578"/>
  </r>
  <r>
    <s v="R.10009.08.02.20"/>
    <s v="W_R.10009.08.02.20: E OH Transformer PCB Remediation"/>
    <x v="1"/>
    <x v="1"/>
    <x v="1"/>
    <x v="1"/>
    <x v="2"/>
    <n v="0"/>
    <n v="-3019.2287270564416"/>
    <n v="3019.2287270564416"/>
  </r>
  <r>
    <s v="R.10009.08.02.22"/>
    <s v="W_R.10009.08.02.22: E 6 Copper Open Wire 2nd Repl Dist"/>
    <x v="1"/>
    <x v="5"/>
    <x v="5"/>
    <x v="2"/>
    <x v="2"/>
    <n v="-524.0100000000001"/>
    <n v="-1493605.781765586"/>
    <n v="1493081.771765586"/>
  </r>
  <r>
    <s v="R.10009.08.02.23"/>
    <s v="W_R.10009.08.02.23: E Project Initiation"/>
    <x v="1"/>
    <x v="11"/>
    <x v="5"/>
    <x v="0"/>
    <x v="2"/>
    <n v="0"/>
    <n v="-278.03114841678655"/>
    <n v="278.03114841678655"/>
  </r>
  <r>
    <s v="R.10009.08.02.24"/>
    <s v="W_R.10009.08.02.24: E Sedro Mar Pt 230 Remediate Underbuild"/>
    <x v="1"/>
    <x v="1"/>
    <x v="1"/>
    <x v="1"/>
    <x v="2"/>
    <n v="-1347501.5900000003"/>
    <n v="-1413267.7423115743"/>
    <n v="65766.152311573969"/>
  </r>
  <r>
    <s v="R.10009.08.02.25"/>
    <s v="W_R.10009.08.02.25: E UG Syst Rel Upgrades Dist"/>
    <x v="1"/>
    <x v="5"/>
    <x v="5"/>
    <x v="2"/>
    <x v="2"/>
    <n v="-2604439.79"/>
    <n v="-161747.64343363733"/>
    <n v="-2442692.1465663626"/>
  </r>
  <r>
    <s v="R.10009.08.02.28"/>
    <s v="W_R.10009.08.02.28: E UG System Capacity Upgrade Dist"/>
    <x v="1"/>
    <x v="1"/>
    <x v="1"/>
    <x v="1"/>
    <x v="2"/>
    <n v="-213059.72"/>
    <n v="-2439.4244755307986"/>
    <n v="-210620.2955244692"/>
  </r>
  <r>
    <s v="R.10009.08.03.01"/>
    <s v="W_R.10009.08.03.01: E Fish And Wildlife Program Dist"/>
    <x v="1"/>
    <x v="0"/>
    <x v="0"/>
    <x v="0"/>
    <x v="4"/>
    <n v="-646477.94999999995"/>
    <n v="0"/>
    <n v="-646477.94999999995"/>
  </r>
  <r>
    <s v="R.10009.08.05.02"/>
    <s v="W_R.10009.08.05.02: E Emergent Pole Replacement Dist"/>
    <x v="1"/>
    <x v="10"/>
    <x v="5"/>
    <x v="6"/>
    <x v="2"/>
    <n v="-4091229.6399999997"/>
    <n v="-1174487.6535068189"/>
    <n v="-2916741.9864931805"/>
  </r>
  <r>
    <s v="R.10009.08.05.03"/>
    <s v="W_R.10009.08.05.03: E Emergent Pole Replacement Trans"/>
    <x v="1"/>
    <x v="10"/>
    <x v="5"/>
    <x v="6"/>
    <x v="2"/>
    <n v="-6439.6200000000008"/>
    <n v="-370670.03978016641"/>
    <n v="364230.41978016641"/>
  </r>
  <r>
    <s v="R.10009.08.05.04"/>
    <s v="W_R.10009.08.05.04: E Pole Replacement Due To Joint Use"/>
    <x v="1"/>
    <x v="0"/>
    <x v="0"/>
    <x v="0"/>
    <x v="5"/>
    <n v="-10254.730000000001"/>
    <n v="-1202422.340939404"/>
    <n v="1192167.610939404"/>
  </r>
  <r>
    <s v="R.10009.08.05.05"/>
    <s v="W_R.10009.08.05.05: E Pole Replacement Plan Dist"/>
    <x v="1"/>
    <x v="5"/>
    <x v="5"/>
    <x v="2"/>
    <x v="2"/>
    <n v="-4625877"/>
    <n v="-19882787.855425242"/>
    <n v="15256910.855425242"/>
  </r>
  <r>
    <s v="R.10009.08.05.07"/>
    <s v="W_R.10009.08.05.07: E Pole Replacement Plan Trans"/>
    <x v="1"/>
    <x v="5"/>
    <x v="5"/>
    <x v="2"/>
    <x v="2"/>
    <n v="-5907743.4300000006"/>
    <n v="-5882135.6730823377"/>
    <n v="-25607.756917662919"/>
  </r>
  <r>
    <s v="R.10009.08.05.16"/>
    <s v="W_R.10009.08.05.16: E Pole Inspection and Restoration Dist"/>
    <x v="1"/>
    <x v="5"/>
    <x v="5"/>
    <x v="2"/>
    <x v="2"/>
    <n v="-6160077.0700000003"/>
    <n v="-132602.58469901333"/>
    <n v="-6027474.485300987"/>
  </r>
  <r>
    <s v="R.10009.08.05.17"/>
    <s v="W_R.10009.08.05.17: E Pole Inspection and Restoration Trans"/>
    <x v="1"/>
    <x v="5"/>
    <x v="5"/>
    <x v="2"/>
    <x v="2"/>
    <n v="-46436.770000000004"/>
    <n v="-8484.2528510976499"/>
    <n v="-37952.517148902356"/>
  </r>
  <r>
    <s v="R.10009.08.06.01"/>
    <s v="W_R.10009.08.06.01: E Root Cause Analysis"/>
    <x v="1"/>
    <x v="8"/>
    <x v="5"/>
    <x v="5"/>
    <x v="2"/>
    <n v="0"/>
    <n v="-471432.51441521733"/>
    <n v="471432.51441521733"/>
  </r>
  <r>
    <s v="R.10009.09.01.02"/>
    <s v="W_R.10009.09.01.02: E Emergent Major Projects Trans"/>
    <x v="1"/>
    <x v="1"/>
    <x v="1"/>
    <x v="1"/>
    <x v="2"/>
    <n v="0"/>
    <n v="-1168.2136096328079"/>
    <n v="1168.2136096328079"/>
  </r>
  <r>
    <s v="R.10009.12.01.01"/>
    <s v="W_R.10009.12.01.01: C AMI Network Installations Gen Plant"/>
    <x v="0"/>
    <x v="12"/>
    <x v="5"/>
    <x v="7"/>
    <x v="7"/>
    <n v="-3826724.8500000006"/>
    <n v="-42532246.445002936"/>
    <n v="38705521.595002934"/>
  </r>
  <r>
    <s v="R.10009.12.01.03"/>
    <s v="W_R.10009.12.01.03: E AMI Netwrk Installtion TransDist"/>
    <x v="1"/>
    <x v="13"/>
    <x v="5"/>
    <x v="7"/>
    <x v="7"/>
    <n v="-125899.80000000002"/>
    <n v="-1283134.1956212255"/>
    <n v="1157234.3956212255"/>
  </r>
  <r>
    <s v="R.10009.12.01.04"/>
    <s v="W_R.10009.12.01.04: E AMI Electric Meter Deployment"/>
    <x v="1"/>
    <x v="13"/>
    <x v="5"/>
    <x v="7"/>
    <x v="7"/>
    <n v="-40350087.849999994"/>
    <n v="0"/>
    <n v="-40350087.849999994"/>
  </r>
  <r>
    <s v="R.10009.12.01.05"/>
    <s v="W_R.10009.12.01.05: G AMI Gas Module Deployment"/>
    <x v="2"/>
    <x v="14"/>
    <x v="5"/>
    <x v="7"/>
    <x v="7"/>
    <n v="-25815026.250000007"/>
    <n v="0"/>
    <n v="-25815026.250000007"/>
  </r>
  <r>
    <s v="R.10009.12.01.09"/>
    <s v="W_R.10009.12.01.09: G Opt Out AMI to NCM Capital Exch"/>
    <x v="2"/>
    <x v="1"/>
    <x v="1"/>
    <x v="1"/>
    <x v="2"/>
    <n v="-4.7704895589362195E-18"/>
    <n v="-2399.9999999999973"/>
    <n v="2399.9999999999973"/>
  </r>
  <r>
    <s v="R.10009.12.02.04"/>
    <s v="W_R.10009.12.02.04: E Conservation Voltage Reduction"/>
    <x v="1"/>
    <x v="5"/>
    <x v="5"/>
    <x v="2"/>
    <x v="2"/>
    <n v="-28.810000000000006"/>
    <n v="-19235.042903999998"/>
    <n v="19206.232903999997"/>
  </r>
  <r>
    <s v="R.10009.12.03.01"/>
    <s v="W_R.10009.12.03.01: E Distribution Automation Dist"/>
    <x v="1"/>
    <x v="5"/>
    <x v="5"/>
    <x v="2"/>
    <x v="2"/>
    <n v="-7114204.5099999998"/>
    <n v="-8217819.5401985403"/>
    <n v="1103615.0301985405"/>
  </r>
  <r>
    <s v="R.10009.12.03.04"/>
    <s v="W_R.10009.12.03.04: E Network and Automate Grid"/>
    <x v="1"/>
    <x v="5"/>
    <x v="5"/>
    <x v="2"/>
    <x v="2"/>
    <n v="392"/>
    <n v="0"/>
    <n v="392"/>
  </r>
  <r>
    <s v="R.10009.14.01.01"/>
    <s v="W_R.10009.14.01.01: E Substation Replacement Battery Dist"/>
    <x v="1"/>
    <x v="5"/>
    <x v="5"/>
    <x v="2"/>
    <x v="2"/>
    <n v="-326569.98"/>
    <n v="0"/>
    <n v="-326569.98"/>
  </r>
  <r>
    <s v="R.10009.14.01.02"/>
    <s v="W_R.10009.14.01.02: E Substation Replacement Battery Trans"/>
    <x v="1"/>
    <x v="5"/>
    <x v="5"/>
    <x v="2"/>
    <x v="2"/>
    <n v="-105356.34"/>
    <n v="0"/>
    <n v="-105356.34"/>
  </r>
  <r>
    <s v="R.10009.14.03.01"/>
    <s v="W_R.10009.14.03.01: E Subs Repl Electron Mech Relays Dist"/>
    <x v="1"/>
    <x v="5"/>
    <x v="5"/>
    <x v="2"/>
    <x v="2"/>
    <n v="-895899.95000000007"/>
    <n v="0"/>
    <n v="-895899.95000000007"/>
  </r>
  <r>
    <s v="R.10009.14.03.03"/>
    <s v="W_R.10009.14.03.03: E Purchase PAC Engineering Software"/>
    <x v="1"/>
    <x v="0"/>
    <x v="0"/>
    <x v="0"/>
    <x v="1"/>
    <n v="-117021.46"/>
    <n v="0"/>
    <n v="-117021.46"/>
  </r>
  <r>
    <s v="R.10009.14.04.01"/>
    <s v="W_R.10009.14.04.01: E Substation Replacement SpcC Dist"/>
    <x v="1"/>
    <x v="5"/>
    <x v="5"/>
    <x v="2"/>
    <x v="2"/>
    <n v="-961066.92"/>
    <n v="0"/>
    <n v="-961066.92"/>
  </r>
  <r>
    <s v="R.10009.14.05.02"/>
    <s v="W_R.10009.14.05.02: E Emergent Substation Replacement Dist"/>
    <x v="1"/>
    <x v="10"/>
    <x v="5"/>
    <x v="6"/>
    <x v="2"/>
    <n v="-751434.29"/>
    <n v="-6159355.1381790107"/>
    <n v="5407920.8481790107"/>
  </r>
  <r>
    <s v="R.10009.14.05.03"/>
    <s v="W_R.10009.14.05.03: E Emergent Substation Replacement Trans"/>
    <x v="1"/>
    <x v="10"/>
    <x v="5"/>
    <x v="6"/>
    <x v="2"/>
    <n v="-1316969.5200000005"/>
    <n v="-2994517.3169782683"/>
    <n v="1677547.7969782678"/>
  </r>
  <r>
    <s v="R.10009.14.05.05"/>
    <s v="W_R.10009.14.05.05: E Subs Replacement Circuit Switcher Dist"/>
    <x v="1"/>
    <x v="5"/>
    <x v="5"/>
    <x v="2"/>
    <x v="2"/>
    <n v="-1626350.5599999998"/>
    <n v="-11481.873981504688"/>
    <n v="-1614868.6860184951"/>
  </r>
  <r>
    <s v="R.10009.14.05.06"/>
    <s v="W_R.10009.14.05.06: E Subs Replacement Dist"/>
    <x v="1"/>
    <x v="5"/>
    <x v="5"/>
    <x v="2"/>
    <x v="2"/>
    <n v="0"/>
    <n v="-8486169.6373281572"/>
    <n v="8486169.6373281572"/>
  </r>
  <r>
    <s v="R.10009.14.05.07"/>
    <s v="W_R.10009.14.05.07: E Subs Replacement Fuses Dist"/>
    <x v="1"/>
    <x v="5"/>
    <x v="5"/>
    <x v="2"/>
    <x v="2"/>
    <n v="-1026076.33"/>
    <n v="-12557.455440509662"/>
    <n v="-1013518.8745594902"/>
  </r>
  <r>
    <s v="R.10009.14.05.10"/>
    <s v="W_R.10009.14.05.10: E Subs Replacement Transfer Trip Dist"/>
    <x v="1"/>
    <x v="5"/>
    <x v="5"/>
    <x v="2"/>
    <x v="2"/>
    <n v="-11883.58"/>
    <n v="-131113.20130301209"/>
    <n v="119229.62130301209"/>
  </r>
  <r>
    <s v="R.10009.14.05.11"/>
    <s v="W_R.10009.14.05.11: E Subs Replacement Vegetation Management"/>
    <x v="1"/>
    <x v="1"/>
    <x v="1"/>
    <x v="1"/>
    <x v="2"/>
    <n v="0"/>
    <n v="-407526.27271763206"/>
    <n v="407526.27271763206"/>
  </r>
  <r>
    <s v="R.10009.14.05.15"/>
    <s v="W_R.10009.14.05.15: E Subs CAP Transient Security Issues Dis"/>
    <x v="1"/>
    <x v="1"/>
    <x v="1"/>
    <x v="1"/>
    <x v="2"/>
    <n v="0"/>
    <n v="-25174.333847740021"/>
    <n v="25174.333847740021"/>
  </r>
  <r>
    <s v="R.10009.14.06.01"/>
    <s v="W_R.10009.14.06.01: E Subs Replacement Transformers Dist"/>
    <x v="1"/>
    <x v="5"/>
    <x v="5"/>
    <x v="2"/>
    <x v="2"/>
    <n v="-1104653.19"/>
    <n v="-27477.059530902341"/>
    <n v="-1077176.1304690975"/>
  </r>
  <r>
    <s v="R.10009.14.07.01"/>
    <s v="W_R.10009.14.07.01: E Subs Replacement Breaker Replcmt Trans"/>
    <x v="1"/>
    <x v="5"/>
    <x v="5"/>
    <x v="2"/>
    <x v="2"/>
    <n v="-4881801.9299999988"/>
    <n v="-1233096.8502165272"/>
    <n v="-3648705.0797834713"/>
  </r>
  <r>
    <s v="R.10009.17.01.01"/>
    <s v="W_R.10009.17.01.01: E Mazama Pcket Gopher Habitat Mitigation"/>
    <x v="1"/>
    <x v="1"/>
    <x v="1"/>
    <x v="1"/>
    <x v="2"/>
    <n v="-106054.75000000001"/>
    <n v="-849999.99999999942"/>
    <n v="743945.24999999942"/>
  </r>
  <r>
    <s v="R.10011.01.01.02"/>
    <s v="W_R.10011.01.01.02: G ERX Pilot Dist"/>
    <x v="2"/>
    <x v="1"/>
    <x v="1"/>
    <x v="1"/>
    <x v="2"/>
    <n v="-19052.23"/>
    <n v="-12533.172614040554"/>
    <n v="-6519.057385959446"/>
  </r>
  <r>
    <s v="R.10011.01.01.03"/>
    <s v="W_R.10011.01.01.03: G Gas System Monitoring Equip Replc"/>
    <x v="2"/>
    <x v="15"/>
    <x v="5"/>
    <x v="8"/>
    <x v="2"/>
    <n v="-379628.87000000005"/>
    <n v="-544318.60363704024"/>
    <n v="164689.73363704019"/>
  </r>
  <r>
    <s v="R.10011.01.01.04"/>
    <s v="W_R.10011.01.01.04: G Gauges Sems Dist"/>
    <x v="2"/>
    <x v="15"/>
    <x v="5"/>
    <x v="8"/>
    <x v="2"/>
    <n v="-31367.53"/>
    <n v="-183214.26975386785"/>
    <n v="151846.73975386785"/>
  </r>
  <r>
    <s v="R.10011.01.01.07"/>
    <s v="W_R.10011.01.01.07: G Williams Pipeline Equipment Upgrades"/>
    <x v="2"/>
    <x v="16"/>
    <x v="5"/>
    <x v="9"/>
    <x v="2"/>
    <n v="0"/>
    <n v="-585638.18040723435"/>
    <n v="585638.18040723435"/>
  </r>
  <r>
    <s v="R.10011.01.01.10"/>
    <s v="W_R.10011.01.01.10: G Service Replacements CBP"/>
    <x v="2"/>
    <x v="1"/>
    <x v="1"/>
    <x v="1"/>
    <x v="2"/>
    <n v="-2920.4199999999996"/>
    <n v="-59.562392879999997"/>
    <n v="-2860.8576071199996"/>
  </r>
  <r>
    <s v="R.10012.01.01.01"/>
    <s v="W_R.10012.01.01.01: G Altered Modified Comm Ind Mains"/>
    <x v="2"/>
    <x v="17"/>
    <x v="6"/>
    <x v="4"/>
    <x v="2"/>
    <n v="-1421152.24"/>
    <n v="-90721963.827774242"/>
    <n v="89300811.587774247"/>
  </r>
  <r>
    <s v="R.10012.01.01.02"/>
    <s v="W_R.10012.01.01.02: G Altered Modified Comm Ind Service"/>
    <x v="2"/>
    <x v="17"/>
    <x v="6"/>
    <x v="4"/>
    <x v="2"/>
    <n v="-2518327.7499999995"/>
    <n v="-19817.837709763291"/>
    <n v="-2498509.9122902364"/>
  </r>
  <r>
    <s v="R.10012.01.02.01"/>
    <s v="W_R.10012.01.02.01: G Altered Modified Residential Mains"/>
    <x v="2"/>
    <x v="17"/>
    <x v="6"/>
    <x v="4"/>
    <x v="2"/>
    <n v="-1019567.7200000002"/>
    <n v="-34389.036907058799"/>
    <n v="-985178.68309294141"/>
  </r>
  <r>
    <s v="R.10012.01.02.02"/>
    <s v="W_R.10012.01.02.02: G Altered Modified Residential Services"/>
    <x v="2"/>
    <x v="17"/>
    <x v="6"/>
    <x v="4"/>
    <x v="2"/>
    <n v="-9019755.6000000015"/>
    <n v="-17159.511265195943"/>
    <n v="-9002596.0887348056"/>
  </r>
  <r>
    <s v="R.10012.02.01.01"/>
    <s v="W_R.10012.02.01.01: G 5 Yr Gas Refundable CIAC"/>
    <x v="2"/>
    <x v="18"/>
    <x v="6"/>
    <x v="4"/>
    <x v="2"/>
    <n v="1411391.3399999999"/>
    <n v="1548399.999999996"/>
    <n v="-137008.65999999619"/>
  </r>
  <r>
    <s v="R.10012.03.01.01"/>
    <s v="W_R.10012.03.01.01: G Commercial Industrial Mains"/>
    <x v="2"/>
    <x v="17"/>
    <x v="6"/>
    <x v="4"/>
    <x v="2"/>
    <n v="-5356578.4300000006"/>
    <n v="-2907116.8388002338"/>
    <n v="-2449461.5911997668"/>
  </r>
  <r>
    <s v="R.10012.03.02.01"/>
    <s v="W_R.10012.03.02.01: G Multi Family Mains"/>
    <x v="2"/>
    <x v="17"/>
    <x v="6"/>
    <x v="4"/>
    <x v="2"/>
    <n v="-2511457.7399999993"/>
    <n v="-35940.955616185987"/>
    <n v="-2475516.7843838134"/>
  </r>
  <r>
    <s v="R.10012.03.03.01"/>
    <s v="W_R.10012.03.03.01: G Plats Mains"/>
    <x v="2"/>
    <x v="17"/>
    <x v="6"/>
    <x v="4"/>
    <x v="2"/>
    <n v="-6131634.3800000008"/>
    <n v="-337792.25247504498"/>
    <n v="-5793842.1275249561"/>
  </r>
  <r>
    <s v="R.10012.03.03.02"/>
    <s v="W_R.10012.03.03.02: G Residential Mains"/>
    <x v="2"/>
    <x v="17"/>
    <x v="6"/>
    <x v="4"/>
    <x v="2"/>
    <n v="-3092890.18"/>
    <n v="-26571.915949503546"/>
    <n v="-3066318.2640504967"/>
  </r>
  <r>
    <s v="R.10012.04.01.01"/>
    <s v="W_R.10012.04.01.01: G Commercial Industrial Service"/>
    <x v="2"/>
    <x v="17"/>
    <x v="6"/>
    <x v="4"/>
    <x v="2"/>
    <n v="-8793413.0299999993"/>
    <n v="-7135.7059427120903"/>
    <n v="-8786277.3240572866"/>
  </r>
  <r>
    <s v="R.10012.04.02.01"/>
    <s v="W_R.10012.04.02.01: G Multi Family Service"/>
    <x v="2"/>
    <x v="17"/>
    <x v="6"/>
    <x v="4"/>
    <x v="2"/>
    <n v="-4288590.67"/>
    <n v="-497.08362264671564"/>
    <n v="-4288093.5863773534"/>
  </r>
  <r>
    <s v="R.10012.04.03.02"/>
    <s v="W_R.10012.04.03.02: G Residential Services"/>
    <x v="2"/>
    <x v="17"/>
    <x v="6"/>
    <x v="4"/>
    <x v="2"/>
    <n v="-27454805.229999989"/>
    <n v="-335.97149033117768"/>
    <n v="-27454469.258509658"/>
  </r>
  <r>
    <s v="R.10012.04.03.03"/>
    <s v="W_R.10012.04.03.03: G Residential Services In Plat Dev"/>
    <x v="2"/>
    <x v="17"/>
    <x v="6"/>
    <x v="4"/>
    <x v="2"/>
    <n v="-9268134.8900000639"/>
    <n v="0"/>
    <n v="-9268134.8900000639"/>
  </r>
  <r>
    <s v="R.10012.06.01.01"/>
    <s v="W_R.10012.06.01.01: G Gas Retire Only No Additions"/>
    <x v="2"/>
    <x v="17"/>
    <x v="6"/>
    <x v="4"/>
    <x v="2"/>
    <n v="-7292.1"/>
    <n v="0"/>
    <n v="-7292.1"/>
  </r>
  <r>
    <s v="R.10013.01.01.01"/>
    <s v="W_R.10013.01.01.01: G Cust Driven Relocate Reimburse Dist"/>
    <x v="2"/>
    <x v="17"/>
    <x v="6"/>
    <x v="4"/>
    <x v="2"/>
    <n v="-97687.62"/>
    <n v="-17967502.97506113"/>
    <n v="17869815.355061129"/>
  </r>
  <r>
    <s v="R.10013.02.01.01"/>
    <s v="W_R.10013.02.01.01: G Franchises"/>
    <x v="2"/>
    <x v="1"/>
    <x v="1"/>
    <x v="1"/>
    <x v="2"/>
    <n v="0"/>
    <n v="-410156.00000000029"/>
    <n v="410156.00000000029"/>
  </r>
  <r>
    <s v="R.10013.03.01.02"/>
    <s v="W_R.10013.03.01.02: G I5 Tacoma Hov Relocate"/>
    <x v="2"/>
    <x v="1"/>
    <x v="1"/>
    <x v="1"/>
    <x v="2"/>
    <n v="-2642.54"/>
    <n v="0"/>
    <n v="-2642.54"/>
  </r>
  <r>
    <s v="R.10013.04.01.01"/>
    <s v="W_R.10013.04.01.01: G PI Driven Relocate NonReimb Dist"/>
    <x v="2"/>
    <x v="19"/>
    <x v="6"/>
    <x v="4"/>
    <x v="2"/>
    <n v="-19394596.650000006"/>
    <n v="-3035414.8927939767"/>
    <n v="-16359181.75720603"/>
  </r>
  <r>
    <s v="R.10013.04.01.02"/>
    <s v="W_R.10013.04.01.02: G PI Driven Relocate Reimb Dist"/>
    <x v="2"/>
    <x v="19"/>
    <x v="6"/>
    <x v="4"/>
    <x v="2"/>
    <n v="-622494.14999999991"/>
    <n v="-88913.182825184544"/>
    <n v="-533580.96717481536"/>
  </r>
  <r>
    <s v="R.10013.04.01.04"/>
    <s v="W_R.10013.04.01.04: G Sound Transit Reimburse"/>
    <x v="2"/>
    <x v="1"/>
    <x v="1"/>
    <x v="1"/>
    <x v="2"/>
    <n v="-1482069.7399999998"/>
    <n v="-487080.27335586469"/>
    <n v="-994989.46664413507"/>
  </r>
  <r>
    <s v="R.10013.05.01.01"/>
    <s v="W_R.10013.05.01.01: G Seattle Core Alaskan Way Viaduct"/>
    <x v="2"/>
    <x v="19"/>
    <x v="6"/>
    <x v="4"/>
    <x v="2"/>
    <n v="-5310891.51"/>
    <n v="-6571905.156990381"/>
    <n v="1261013.6469903812"/>
  </r>
  <r>
    <s v="R.10013.05.01.02"/>
    <s v="W_R.10013.05.01.02: G Seattle Core IP Main"/>
    <x v="2"/>
    <x v="1"/>
    <x v="1"/>
    <x v="1"/>
    <x v="2"/>
    <n v="-1090.33"/>
    <n v="0"/>
    <n v="-1090.33"/>
  </r>
  <r>
    <s v="R.10013.05.01.03"/>
    <s v="W_R.10013.05.01.03: G Seattle Core Other Projects"/>
    <x v="2"/>
    <x v="0"/>
    <x v="0"/>
    <x v="0"/>
    <x v="0"/>
    <n v="-156.16000000000003"/>
    <n v="0"/>
    <n v="-156.16000000000003"/>
  </r>
  <r>
    <s v="R.10013.05.01.05"/>
    <s v="W_R.10013.05.01.05: G Seattle Core Services"/>
    <x v="2"/>
    <x v="0"/>
    <x v="0"/>
    <x v="0"/>
    <x v="1"/>
    <n v="-326.96000000000004"/>
    <n v="0"/>
    <n v="-326.96000000000004"/>
  </r>
  <r>
    <s v="R.10013.06.01.01"/>
    <s v="W_R.10013.06.01.01: G Sound Transit Dist"/>
    <x v="2"/>
    <x v="1"/>
    <x v="1"/>
    <x v="1"/>
    <x v="2"/>
    <n v="-44298.32"/>
    <n v="-51211.455382381268"/>
    <n v="6913.1353823812678"/>
  </r>
  <r>
    <s v="R.10013.07.01.01"/>
    <s v="W_R.10013.07.01.01: G Relocate Bulk Dist Like Kind Dist"/>
    <x v="2"/>
    <x v="19"/>
    <x v="6"/>
    <x v="4"/>
    <x v="2"/>
    <n v="-6025.5099999999966"/>
    <n v="-6744.3420826951178"/>
    <n v="718.83208269512124"/>
  </r>
  <r>
    <s v="R.10013.07.01.02"/>
    <s v="W_R.10013.07.01.02: G System Improv Opport Dist"/>
    <x v="2"/>
    <x v="19"/>
    <x v="6"/>
    <x v="4"/>
    <x v="2"/>
    <n v="-644098.41"/>
    <n v="-2770.3443842876318"/>
    <n v="-641328.06561571243"/>
  </r>
  <r>
    <s v="R.10014.01.01.01"/>
    <s v="W_R.10014.01.01.01: G Swarr Propane Air Plant Upgrades"/>
    <x v="2"/>
    <x v="16"/>
    <x v="5"/>
    <x v="9"/>
    <x v="2"/>
    <n v="0"/>
    <n v="-2776711.5906654131"/>
    <n v="2776711.5906654131"/>
  </r>
  <r>
    <s v="R.10015.01.01.01"/>
    <s v="W_R.10015.01.01.01: G CP System Improv Main With Serv Dist"/>
    <x v="2"/>
    <x v="20"/>
    <x v="5"/>
    <x v="6"/>
    <x v="2"/>
    <n v="-336467.65999999992"/>
    <n v="-417207.49451054871"/>
    <n v="80739.834510548797"/>
  </r>
  <r>
    <s v="R.10015.01.01.02"/>
    <s v="W_R.10015.01.01.02: G CP System Improv Service Dist"/>
    <x v="2"/>
    <x v="20"/>
    <x v="5"/>
    <x v="6"/>
    <x v="2"/>
    <n v="-2788007.5899999989"/>
    <n v="-3472519.926962988"/>
    <n v="684512.33696298907"/>
  </r>
  <r>
    <s v="R.10015.01.01.03"/>
    <s v="W_R.10015.01.01.03: G CP System Improv Dist"/>
    <x v="2"/>
    <x v="20"/>
    <x v="5"/>
    <x v="6"/>
    <x v="2"/>
    <n v="-125166.12"/>
    <n v="-1014615.6276073115"/>
    <n v="889449.50760731148"/>
  </r>
  <r>
    <s v="R.10015.01.01.05"/>
    <s v="W_R.10015.01.01.05: G Emergent CP System Improv Dist"/>
    <x v="2"/>
    <x v="20"/>
    <x v="5"/>
    <x v="6"/>
    <x v="2"/>
    <n v="-1201614.3699999999"/>
    <n v="-1463682.422924662"/>
    <n v="262068.05292466213"/>
  </r>
  <r>
    <s v="R.10015.02.01.02"/>
    <s v="W_R.10015.02.01.02: G Damage Claims Cap Writeoff"/>
    <x v="2"/>
    <x v="0"/>
    <x v="0"/>
    <x v="0"/>
    <x v="4"/>
    <n v="-237260.96000000002"/>
    <n v="0"/>
    <n v="-237260.96000000002"/>
  </r>
  <r>
    <s v="R.10015.03.01.01"/>
    <s v="W_R.10015.03.01.01: G DIMP Brdg Sld Dist Unmaintain Facil"/>
    <x v="2"/>
    <x v="15"/>
    <x v="5"/>
    <x v="8"/>
    <x v="2"/>
    <n v="-342.99"/>
    <n v="-297757.76646929054"/>
    <n v="297414.77646929055"/>
  </r>
  <r>
    <s v="R.10015.03.02.01"/>
    <s v="W_R.10015.03.02.01: G DIMP Mobile Home Encroachment Program"/>
    <x v="2"/>
    <x v="15"/>
    <x v="5"/>
    <x v="8"/>
    <x v="2"/>
    <n v="-16837.649999999998"/>
    <n v="-480392.79539849114"/>
    <n v="463555.14539849112"/>
  </r>
  <r>
    <s v="R.10015.03.04.01"/>
    <s v="W_R.10015.03.04.01: G DIMP Dupont Pipe Repl Main With Serv"/>
    <x v="2"/>
    <x v="21"/>
    <x v="5"/>
    <x v="10"/>
    <x v="2"/>
    <n v="-35144085.850000001"/>
    <n v="-48330854.443081588"/>
    <n v="13186768.593081586"/>
  </r>
  <r>
    <s v="R.10015.03.04.02"/>
    <s v="W_R.10015.03.04.02: G DIMP Older Stw Repl Main With Service"/>
    <x v="2"/>
    <x v="15"/>
    <x v="5"/>
    <x v="8"/>
    <x v="2"/>
    <n v="-2078671.4500000002"/>
    <n v="-3629008.3855663119"/>
    <n v="1550336.9355663117"/>
  </r>
  <r>
    <s v="R.10015.03.04.03"/>
    <s v="W_R.10015.03.04.03: G DIMP Older Stw Repl Service Only"/>
    <x v="2"/>
    <x v="15"/>
    <x v="5"/>
    <x v="8"/>
    <x v="2"/>
    <n v="-288508.83999999997"/>
    <n v="-1349908.1781527372"/>
    <n v="1061399.3381527374"/>
  </r>
  <r>
    <s v="R.10015.03.05.04"/>
    <s v="W_R.10015.03.05.04: G DIMP Regulator Station Sidewalk Regs"/>
    <x v="2"/>
    <x v="1"/>
    <x v="1"/>
    <x v="1"/>
    <x v="2"/>
    <n v="0"/>
    <n v="-49.703927520000008"/>
    <n v="49.703927520000008"/>
  </r>
  <r>
    <s v="R.10015.03.06.01"/>
    <s v="W_R.10015.03.06.01: G DIMP Legacy Cross Bore Inspection Dist"/>
    <x v="2"/>
    <x v="21"/>
    <x v="5"/>
    <x v="10"/>
    <x v="2"/>
    <n v="-75462.75"/>
    <n v="0"/>
    <n v="-75462.75"/>
  </r>
  <r>
    <s v="R.10015.03.06.02"/>
    <s v="W_R.10015.03.06.02: G DIMP Legacy Crss Bore Replacement Dist"/>
    <x v="2"/>
    <x v="21"/>
    <x v="5"/>
    <x v="10"/>
    <x v="2"/>
    <n v="0"/>
    <n v="-1085.1389019671803"/>
    <n v="1085.1389019671803"/>
  </r>
  <r>
    <s v="R.10015.03.07.01"/>
    <s v="W_R.10015.03.07.01: G DIMP Continuing Surveillance Other"/>
    <x v="2"/>
    <x v="15"/>
    <x v="5"/>
    <x v="8"/>
    <x v="2"/>
    <n v="-11233.499999999996"/>
    <n v="-290674.55948923231"/>
    <n v="279441.05948923231"/>
  </r>
  <r>
    <s v="R.10015.03.07.03"/>
    <s v="W_R.10015.03.07.03: G DIMP Shallow Serv and Main Repl"/>
    <x v="2"/>
    <x v="15"/>
    <x v="5"/>
    <x v="8"/>
    <x v="2"/>
    <n v="-1067134.1199999999"/>
    <n v="-1161563.4822422285"/>
    <n v="94429.362242228584"/>
  </r>
  <r>
    <s v="R.10015.03.08.01"/>
    <s v="W_R.10015.03.08.01: G DIMP Buried MSA Serv Or Riser Repl Opp"/>
    <x v="2"/>
    <x v="15"/>
    <x v="5"/>
    <x v="8"/>
    <x v="2"/>
    <n v="-3422.1300000000006"/>
    <n v="-2025.39265001081"/>
    <n v="-1396.7373499891905"/>
  </r>
  <r>
    <s v="R.10015.03.09.01"/>
    <s v="W_R.10015.03.09.01: G DIMP Preventative Maint Facilities"/>
    <x v="2"/>
    <x v="15"/>
    <x v="5"/>
    <x v="8"/>
    <x v="2"/>
    <n v="-834091.36999999988"/>
    <n v="-2752360.9735655151"/>
    <n v="1918269.6035655153"/>
  </r>
  <r>
    <s v="R.10015.03.09.03"/>
    <s v="W_R.10015.03.09.03: G DIMP Preventive Maint Dist Reg Dist"/>
    <x v="2"/>
    <x v="15"/>
    <x v="5"/>
    <x v="8"/>
    <x v="2"/>
    <n v="-4567643.07"/>
    <n v="-3964378.7212223504"/>
    <n v="-603264.34877764992"/>
  </r>
  <r>
    <s v="R.10015.03.09.05"/>
    <s v="W_R.10015.03.09.05: G DIMP Preventive Maintenance MSA Dist"/>
    <x v="2"/>
    <x v="15"/>
    <x v="5"/>
    <x v="8"/>
    <x v="2"/>
    <n v="0"/>
    <n v="-221356.36307685706"/>
    <n v="221356.36307685706"/>
  </r>
  <r>
    <s v="R.10015.03.09.07"/>
    <s v="W_R.10015.03.09.07: G DIMP Preventive Maint Farm Taps Dist"/>
    <x v="2"/>
    <x v="15"/>
    <x v="5"/>
    <x v="8"/>
    <x v="2"/>
    <n v="-1658106.92"/>
    <n v="-418195.3714144234"/>
    <n v="-1239911.5485855765"/>
  </r>
  <r>
    <s v="R.10015.03.09.14"/>
    <s v="W_R.10015.03.09.14: G Idle Riser Remediation"/>
    <x v="2"/>
    <x v="15"/>
    <x v="5"/>
    <x v="8"/>
    <x v="2"/>
    <n v="-158730.41999999998"/>
    <n v="-2853435.0285680955"/>
    <n v="2694704.6085680956"/>
  </r>
  <r>
    <s v="R.10015.03.09.15"/>
    <s v="W_R.10015.03.09.15: G Buried Meter Riser Replacement"/>
    <x v="2"/>
    <x v="21"/>
    <x v="5"/>
    <x v="10"/>
    <x v="2"/>
    <n v="-4615484.3499999978"/>
    <n v="-4836071.9643872036"/>
    <n v="220587.6143872058"/>
  </r>
  <r>
    <s v="R.10015.03.11.01"/>
    <s v="W_R.10015.03.11.01: G DIMP Guard Posts"/>
    <x v="2"/>
    <x v="15"/>
    <x v="5"/>
    <x v="8"/>
    <x v="2"/>
    <n v="-1454.2000000000003"/>
    <n v="-174990.18899162501"/>
    <n v="173535.988991625"/>
  </r>
  <r>
    <s v="R.10015.04.01.02"/>
    <s v="W_R.10015.04.01.02: G Leak Repair Main"/>
    <x v="2"/>
    <x v="1"/>
    <x v="1"/>
    <x v="1"/>
    <x v="2"/>
    <n v="-1441519.0899999999"/>
    <n v="-3645823.2743201517"/>
    <n v="2204304.1843201518"/>
  </r>
  <r>
    <s v="R.10015.04.01.03"/>
    <s v="W_R.10015.04.01.03: G Leak Repair Service"/>
    <x v="2"/>
    <x v="20"/>
    <x v="5"/>
    <x v="6"/>
    <x v="2"/>
    <n v="-525013.64"/>
    <n v="-996731.10279210459"/>
    <n v="471717.46279210458"/>
  </r>
  <r>
    <s v="R.10015.04.01.04"/>
    <s v="W_R.10015.04.01.04: G Scattered Short Main Rehab"/>
    <x v="2"/>
    <x v="20"/>
    <x v="5"/>
    <x v="6"/>
    <x v="2"/>
    <n v="-1916290.2000000002"/>
    <n v="-1970621.5825773161"/>
    <n v="54331.382577315904"/>
  </r>
  <r>
    <s v="R.10015.04.01.05"/>
    <s v="W_R.10015.04.01.05: G Service Replacement Misc"/>
    <x v="2"/>
    <x v="20"/>
    <x v="5"/>
    <x v="6"/>
    <x v="2"/>
    <n v="-7508664.0000000028"/>
    <n v="-6629827.1322910925"/>
    <n v="-878836.86770891026"/>
  </r>
  <r>
    <s v="R.10015.04.01.06"/>
    <s v="W_R.10015.04.01.06: G Sewer Cross Bore Repair Main"/>
    <x v="2"/>
    <x v="20"/>
    <x v="5"/>
    <x v="6"/>
    <x v="2"/>
    <n v="-25226.21"/>
    <n v="-289257.89835480007"/>
    <n v="264031.68835480005"/>
  </r>
  <r>
    <s v="R.10015.04.01.07"/>
    <s v="W_R.10015.04.01.07: G Sewer Cross Bore Repair Service"/>
    <x v="2"/>
    <x v="20"/>
    <x v="5"/>
    <x v="6"/>
    <x v="2"/>
    <n v="-121251.01"/>
    <n v="-144118.51084963555"/>
    <n v="22867.500849635559"/>
  </r>
  <r>
    <s v="R.10015.04.01.08"/>
    <s v="W_R.10015.04.01.08: G Gas Work Release Main"/>
    <x v="2"/>
    <x v="20"/>
    <x v="5"/>
    <x v="6"/>
    <x v="2"/>
    <n v="0"/>
    <n v="-144509.83436760004"/>
    <n v="144509.83436760004"/>
  </r>
  <r>
    <s v="R.10015.04.01.09"/>
    <s v="W_R.10015.04.01.09: G Gas Work Release Service"/>
    <x v="2"/>
    <x v="20"/>
    <x v="5"/>
    <x v="6"/>
    <x v="2"/>
    <n v="-21574.399999999998"/>
    <n v="-1170763.7893381955"/>
    <n v="1149189.3893381956"/>
  </r>
  <r>
    <s v="R.10015.04.01.12"/>
    <s v="W_R.10015.04.01.12: G Nonhaz Main Repair Methane PRP"/>
    <x v="2"/>
    <x v="21"/>
    <x v="5"/>
    <x v="10"/>
    <x v="2"/>
    <n v="-431900.89999999991"/>
    <n v="0"/>
    <n v="-431900.89999999991"/>
  </r>
  <r>
    <s v="R.10015.04.01.13"/>
    <s v="W_R.10015.04.01.13: G Nonhaz Service Repair Methane PRP"/>
    <x v="2"/>
    <x v="21"/>
    <x v="5"/>
    <x v="10"/>
    <x v="2"/>
    <n v="-136959.72"/>
    <n v="0"/>
    <n v="-136959.72"/>
  </r>
  <r>
    <s v="R.10015.05.01.01"/>
    <s v="W_R.10015.05.01.01: G System Capacity New Dist"/>
    <x v="2"/>
    <x v="1"/>
    <x v="1"/>
    <x v="1"/>
    <x v="2"/>
    <n v="-773.56999999999994"/>
    <n v="-1176.1589987058437"/>
    <n v="402.58899870584378"/>
  </r>
  <r>
    <s v="R.10015.06.01.01"/>
    <s v="W_R.10015.06.01.01: G Cold Weather Action Reinforcement"/>
    <x v="2"/>
    <x v="22"/>
    <x v="5"/>
    <x v="0"/>
    <x v="2"/>
    <n v="0"/>
    <n v="-28888.675200000012"/>
    <n v="28888.675200000012"/>
  </r>
  <r>
    <s v="R.10015.06.01.02"/>
    <s v="W_R.10015.06.01.02: G Odorizer Componant Repl Bulk Dist"/>
    <x v="2"/>
    <x v="15"/>
    <x v="5"/>
    <x v="8"/>
    <x v="2"/>
    <n v="-207188.26999999996"/>
    <n v="-347558.85316716065"/>
    <n v="140370.58316716069"/>
  </r>
  <r>
    <s v="R.10015.06.01.04"/>
    <s v="W_R.10015.06.01.04: G System Capacity Upgrade Bulk Dist"/>
    <x v="2"/>
    <x v="22"/>
    <x v="5"/>
    <x v="0"/>
    <x v="2"/>
    <n v="-286260.26"/>
    <n v="-437461.29206794256"/>
    <n v="151201.03206794255"/>
  </r>
  <r>
    <s v="R.10015.06.01.05"/>
    <s v="W_R.10015.06.01.05: G System Capacity Upgrade Dist"/>
    <x v="2"/>
    <x v="22"/>
    <x v="5"/>
    <x v="0"/>
    <x v="2"/>
    <n v="-3614460.51"/>
    <n v="-4472404.555658441"/>
    <n v="857944.04565844126"/>
  </r>
  <r>
    <s v="R.10015.07.01.01"/>
    <s v="W_R.10015.07.01.01: G Gas Lightups Clearing"/>
    <x v="2"/>
    <x v="1"/>
    <x v="1"/>
    <x v="1"/>
    <x v="2"/>
    <n v="1.9999999999999997E-2"/>
    <n v="0"/>
    <n v="1.9999999999999997E-2"/>
  </r>
  <r>
    <s v="R.10019.01.01.02"/>
    <s v="W_R.10019.01.01.02: Bainbridge Trans WIN-MUR Loop"/>
    <x v="1"/>
    <x v="23"/>
    <x v="4"/>
    <x v="11"/>
    <x v="2"/>
    <n v="0"/>
    <n v="-7967622.301871445"/>
    <n v="7967622.301871445"/>
  </r>
  <r>
    <s v="R.10019.03.01.03"/>
    <s v="W_R.10019.03.01.03: E West Kitsap Reliability Project"/>
    <x v="1"/>
    <x v="1"/>
    <x v="1"/>
    <x v="1"/>
    <x v="2"/>
    <n v="0"/>
    <n v="-3746867.6141023864"/>
    <n v="3746867.6141023864"/>
  </r>
  <r>
    <s v="R.10022.01.01.01"/>
    <s v="W_R.10022.01.01.01: E Sumner Valley Area Capacity"/>
    <x v="1"/>
    <x v="8"/>
    <x v="5"/>
    <x v="5"/>
    <x v="2"/>
    <n v="0"/>
    <n v="-483963.30764539208"/>
    <n v="483963.30764539208"/>
  </r>
  <r>
    <s v="R.10024.01.01.04"/>
    <s v="W_R.10024.01.01.04: G AMR Operations"/>
    <x v="2"/>
    <x v="1"/>
    <x v="1"/>
    <x v="1"/>
    <x v="2"/>
    <n v="-415367.76"/>
    <n v="-1905850.0999999959"/>
    <n v="1490482.3399999959"/>
  </r>
  <r>
    <s v="R.10024.01.01.05"/>
    <s v="W_R.10024.01.01.05: E AMR Operations"/>
    <x v="1"/>
    <x v="1"/>
    <x v="1"/>
    <x v="1"/>
    <x v="2"/>
    <n v="-71228.560000000012"/>
    <n v="0"/>
    <n v="-71228.560000000012"/>
  </r>
  <r>
    <s v="R.10024.01.01.07"/>
    <s v="W_R.10024.01.01.07: E Opt Out AMR to NCM Capital Exch"/>
    <x v="1"/>
    <x v="1"/>
    <x v="1"/>
    <x v="1"/>
    <x v="2"/>
    <n v="-28313.3"/>
    <n v="0"/>
    <n v="-28313.3"/>
  </r>
  <r>
    <s v="R.10024.01.01.09"/>
    <s v="W_R.10024.01.01.09: G AMI Operations"/>
    <x v="2"/>
    <x v="1"/>
    <x v="1"/>
    <x v="1"/>
    <x v="2"/>
    <n v="-1405979.9100000006"/>
    <n v="-533130.04369558929"/>
    <n v="-872849.86630441132"/>
  </r>
  <r>
    <s v="R.10024.02.01.01"/>
    <s v="W_R.10024.02.01.01: G NonRegistering Meters Dist"/>
    <x v="2"/>
    <x v="20"/>
    <x v="5"/>
    <x v="6"/>
    <x v="2"/>
    <n v="-103771.52"/>
    <n v="-183871.24110803552"/>
    <n v="80099.721108035519"/>
  </r>
  <r>
    <s v="R.10024.02.01.03"/>
    <s v="W_R.10024.02.01.03: G Periodic Meter Changeout IMO Dist"/>
    <x v="2"/>
    <x v="15"/>
    <x v="5"/>
    <x v="8"/>
    <x v="2"/>
    <n v="-479189.36"/>
    <n v="-1293212.2658346782"/>
    <n v="814022.90583467821"/>
  </r>
  <r>
    <s v="R.10024.04.01.01"/>
    <s v="W_R.10024.04.01.01: Click Enhancements"/>
    <x v="1"/>
    <x v="0"/>
    <x v="0"/>
    <x v="0"/>
    <x v="1"/>
    <n v="-100516.68"/>
    <n v="0"/>
    <n v="-100516.68"/>
  </r>
  <r>
    <s v="R.10027.01.01.01"/>
    <s v="W_R.10027.01.01.01: E Moorlnds Vitulli 115Kv Reconduc Trans"/>
    <x v="1"/>
    <x v="8"/>
    <x v="5"/>
    <x v="5"/>
    <x v="2"/>
    <n v="-660.52"/>
    <n v="0"/>
    <n v="-660.52"/>
  </r>
  <r>
    <s v="R.10027.02.01.01"/>
    <s v="W_R.10027.02.01.01: E Vernell Substation Feeder"/>
    <x v="1"/>
    <x v="8"/>
    <x v="5"/>
    <x v="5"/>
    <x v="2"/>
    <n v="-38883.850000000006"/>
    <n v="0"/>
    <n v="-38883.850000000006"/>
  </r>
  <r>
    <s v="R.10027.02.01.02"/>
    <s v="W_R.10027.02.01.02: E BelRed Area Capacity Project"/>
    <x v="1"/>
    <x v="8"/>
    <x v="5"/>
    <x v="5"/>
    <x v="2"/>
    <n v="0"/>
    <n v="-615175.01192232023"/>
    <n v="615175.01192232023"/>
  </r>
  <r>
    <s v="R.10028.01.01.01"/>
    <s v="W_R.10028.01.01.01: E North Bellevue Bank No3"/>
    <x v="1"/>
    <x v="8"/>
    <x v="5"/>
    <x v="5"/>
    <x v="2"/>
    <n v="0"/>
    <n v="-8727.0199999999986"/>
    <n v="8727.0199999999986"/>
  </r>
  <r>
    <s v="R.10029.01.01.01"/>
    <s v="W_R.10029.01.01.01: G Tolt Hp 16in Phase 1 Main"/>
    <x v="2"/>
    <x v="1"/>
    <x v="1"/>
    <x v="1"/>
    <x v="2"/>
    <n v="-192.65999999999997"/>
    <n v="0"/>
    <n v="-192.65999999999997"/>
  </r>
  <r>
    <s v="R.10031.01.01.02"/>
    <s v="W_R.10031.01.01.02: E Lake Hills Phantom Lake 115Kv Tline"/>
    <x v="1"/>
    <x v="8"/>
    <x v="5"/>
    <x v="5"/>
    <x v="2"/>
    <n v="-1327181.1999999997"/>
    <n v="-658798.07264283113"/>
    <n v="-668383.12735716859"/>
  </r>
  <r>
    <s v="R.10031.03.01.01"/>
    <s v="W_R.10031.03.01.01: E Sammamish Juanita 115Kv Tline"/>
    <x v="1"/>
    <x v="24"/>
    <x v="4"/>
    <x v="12"/>
    <x v="2"/>
    <n v="0"/>
    <n v="-22989916.785140418"/>
    <n v="22989916.785140418"/>
  </r>
  <r>
    <s v="R.10033.01.01.03"/>
    <s v="W_R.10033.01.01.03: E Small Tool Electric Operations Tool"/>
    <x v="1"/>
    <x v="1"/>
    <x v="1"/>
    <x v="1"/>
    <x v="2"/>
    <n v="-4653891.330000001"/>
    <n v="-1984665.9999999963"/>
    <n v="-2669225.3300000047"/>
  </r>
  <r>
    <s v="R.10033.01.01.09"/>
    <s v="W_R.10033.01.01.09: G Small Tool Gas Operations Tool"/>
    <x v="2"/>
    <x v="1"/>
    <x v="1"/>
    <x v="1"/>
    <x v="2"/>
    <n v="-2605045.36"/>
    <n v="-1333734"/>
    <n v="-1271311.3599999999"/>
  </r>
  <r>
    <s v="R.10033.01.01.19"/>
    <s v="W_R.10033.01.01.19: E Small Tools PTS on CC4587"/>
    <x v="1"/>
    <x v="1"/>
    <x v="1"/>
    <x v="1"/>
    <x v="2"/>
    <n v="-28410.69"/>
    <n v="0"/>
    <n v="-28410.69"/>
  </r>
  <r>
    <s v="R.10033.02.01.01"/>
    <s v="W_R.10033.02.01.01: C Operational Training ISR Program"/>
    <x v="0"/>
    <x v="0"/>
    <x v="0"/>
    <x v="0"/>
    <x v="1"/>
    <n v="-193714.94"/>
    <n v="-249999.99999999965"/>
    <n v="56285.059999999648"/>
  </r>
  <r>
    <s v="R.10035.02.01.01"/>
    <s v="W_R.10035.02.01.01: E Greenwater Tap 55 155Kv Conversion"/>
    <x v="1"/>
    <x v="8"/>
    <x v="5"/>
    <x v="5"/>
    <x v="2"/>
    <n v="0"/>
    <n v="-1995977.8076246229"/>
    <n v="1995977.8076246229"/>
  </r>
  <r>
    <s v="R.10036.02.01.01"/>
    <s v="W_R.10036.02.01.01: C Capitalization of Real Estate Permits"/>
    <x v="1"/>
    <x v="1"/>
    <x v="1"/>
    <x v="1"/>
    <x v="2"/>
    <n v="-274689.5"/>
    <n v="-800000.00000000081"/>
    <n v="525310.50000000081"/>
  </r>
  <r>
    <s v="R.10036.03.01.01"/>
    <s v="W_R.10036.03.01.01: C Transient Deterrent"/>
    <x v="0"/>
    <x v="1"/>
    <x v="1"/>
    <x v="1"/>
    <x v="2"/>
    <n v="-169784.50000000003"/>
    <n v="-600000"/>
    <n v="430215.5"/>
  </r>
  <r>
    <s v="R.10037.01.01.01"/>
    <s v="W_R.10037.01.01.01: E Removal Cost Meters"/>
    <x v="1"/>
    <x v="10"/>
    <x v="5"/>
    <x v="6"/>
    <x v="2"/>
    <n v="0"/>
    <n v="-448037.8400000002"/>
    <n v="448037.8400000002"/>
  </r>
  <r>
    <s v="R.10037.01.01.06"/>
    <s v="W_R.10037.01.01.06: G Removal Cost Meters"/>
    <x v="2"/>
    <x v="20"/>
    <x v="5"/>
    <x v="6"/>
    <x v="2"/>
    <n v="0"/>
    <n v="-124099.20000000006"/>
    <n v="124099.20000000006"/>
  </r>
  <r>
    <s v="R.10039.02.01.01"/>
    <s v="W_R.10039.02.01.01: E Buckley Substation Feeder"/>
    <x v="1"/>
    <x v="8"/>
    <x v="5"/>
    <x v="5"/>
    <x v="2"/>
    <n v="0"/>
    <n v="-801251.72694858268"/>
    <n v="801251.72694858268"/>
  </r>
  <r>
    <s v="R.10039.02.01.02"/>
    <s v="W_R.10039.02.01.02: E Buckley Substation Sub"/>
    <x v="1"/>
    <x v="8"/>
    <x v="5"/>
    <x v="5"/>
    <x v="2"/>
    <n v="0"/>
    <n v="-4712971.867784461"/>
    <n v="4712971.867784461"/>
  </r>
  <r>
    <s v="R.10039.02.01.03"/>
    <s v="W_R.10039.02.01.03: E Electr Enum 55Kv 115Kv Sub Electr Hght"/>
    <x v="1"/>
    <x v="8"/>
    <x v="5"/>
    <x v="5"/>
    <x v="2"/>
    <n v="0"/>
    <n v="-80586.521491935215"/>
    <n v="80586.521491935215"/>
  </r>
  <r>
    <s v="R.10039.02.01.05"/>
    <s v="W_R.10039.02.01.05: E Electr Enum 55Kv To 115Kv Sub Enum"/>
    <x v="1"/>
    <x v="8"/>
    <x v="5"/>
    <x v="5"/>
    <x v="2"/>
    <n v="0"/>
    <n v="-468903.83704057796"/>
    <n v="468903.83704057796"/>
  </r>
  <r>
    <s v="R.10039.02.01.06"/>
    <s v="W_R.10039.02.01.06: E Electr Enum 55Kv To 115Kv Fiber"/>
    <x v="1"/>
    <x v="8"/>
    <x v="5"/>
    <x v="5"/>
    <x v="2"/>
    <n v="-51191.23000000001"/>
    <n v="-354911.57783531299"/>
    <n v="303720.34783531295"/>
  </r>
  <r>
    <s v="R.10039.02.01.07"/>
    <s v="W_R.10039.02.01.07: E Electr Enum 55Kv To 115Kv Tline"/>
    <x v="1"/>
    <x v="8"/>
    <x v="5"/>
    <x v="5"/>
    <x v="2"/>
    <n v="0"/>
    <n v="-429739.75845775026"/>
    <n v="429739.75845775026"/>
  </r>
  <r>
    <s v="R.10040.01.01.01"/>
    <s v="W_R.10040.01.01.01: E Seabeck Area Reliability Improvement"/>
    <x v="1"/>
    <x v="8"/>
    <x v="5"/>
    <x v="5"/>
    <x v="2"/>
    <n v="0"/>
    <n v="-471292.19858982268"/>
    <n v="471292.19858982268"/>
  </r>
  <r>
    <s v="R.10042.01.01.01"/>
    <s v="W_R.10042.01.01.01: E Silverdale 115Kv Tap To VJN Tline"/>
    <x v="1"/>
    <x v="8"/>
    <x v="5"/>
    <x v="5"/>
    <x v="2"/>
    <n v="0"/>
    <n v="-134184.55000000002"/>
    <n v="134184.55000000002"/>
  </r>
  <r>
    <s v="R.10047.02.01.02"/>
    <s v="W_R.10047.02.01.02: G SP Alignment Trans and Dist"/>
    <x v="2"/>
    <x v="0"/>
    <x v="0"/>
    <x v="0"/>
    <x v="4"/>
    <n v="0"/>
    <n v="-80212.557023501562"/>
    <n v="80212.557023501562"/>
  </r>
  <r>
    <s v="R.10050.02.01.01"/>
    <s v="W_R.10050.02.01.01: E Carpenter Substation Feeder Dist"/>
    <x v="1"/>
    <x v="8"/>
    <x v="5"/>
    <x v="5"/>
    <x v="2"/>
    <n v="0"/>
    <n v="-551181.56999999983"/>
    <n v="551181.56999999983"/>
  </r>
  <r>
    <s v="R.10050.04.01.01"/>
    <s v="W_R.10050.04.01.01: E Nisqually Sub Proj Property Purchase"/>
    <x v="1"/>
    <x v="8"/>
    <x v="5"/>
    <x v="5"/>
    <x v="2"/>
    <n v="0"/>
    <n v="-3799.4100000000008"/>
    <n v="3799.4100000000008"/>
  </r>
  <r>
    <s v="R.10051.02.01.01"/>
    <s v="W_R.10051.02.01.01: E Thurston Transmission Capacity"/>
    <x v="1"/>
    <x v="25"/>
    <x v="4"/>
    <x v="13"/>
    <x v="2"/>
    <n v="0"/>
    <n v="-15952966.929557476"/>
    <n v="15952966.929557476"/>
  </r>
  <r>
    <s v="R.10054.01.01.01"/>
    <s v="W_R.10054.01.01.01: E Bellingham Sedro 4 115Kv Recond Tline"/>
    <x v="1"/>
    <x v="8"/>
    <x v="5"/>
    <x v="5"/>
    <x v="2"/>
    <n v="-19880.830000000002"/>
    <n v="-5242587.2756725727"/>
    <n v="5222706.4456725726"/>
  </r>
  <r>
    <s v="R.10055.01.01.01"/>
    <s v="W_R.10055.01.01.01: E Maxwelton Substation Feeders"/>
    <x v="1"/>
    <x v="1"/>
    <x v="1"/>
    <x v="1"/>
    <x v="2"/>
    <n v="-127.28000000000003"/>
    <n v="0"/>
    <n v="-127.28000000000003"/>
  </r>
  <r>
    <s v="R.10055.01.01.03"/>
    <s v="W_R.10055.01.01.03: E Maxwelton Substation Trans"/>
    <x v="1"/>
    <x v="1"/>
    <x v="1"/>
    <x v="1"/>
    <x v="2"/>
    <n v="-1456.58"/>
    <n v="0"/>
    <n v="-1456.58"/>
  </r>
  <r>
    <s v="R.10055.02.01.01"/>
    <s v="W_R.10055.02.01.01: E Whidbey Island 115Kv Row"/>
    <x v="1"/>
    <x v="8"/>
    <x v="5"/>
    <x v="5"/>
    <x v="2"/>
    <n v="-283017.96999999997"/>
    <n v="-287292.44"/>
    <n v="4274.4700000000303"/>
  </r>
  <r>
    <s v="R.10056.01.01.01"/>
    <s v="W_R.10056.01.01.01: E Wilkeson Substation Sub"/>
    <x v="1"/>
    <x v="8"/>
    <x v="5"/>
    <x v="5"/>
    <x v="2"/>
    <n v="0"/>
    <n v="-333129.23054315941"/>
    <n v="333129.23054315941"/>
  </r>
  <r>
    <s v="R.10058.01.01.01"/>
    <s v="W_R.10058.01.01.01: E Skookumchuck Wind Farm"/>
    <x v="1"/>
    <x v="1"/>
    <x v="1"/>
    <x v="1"/>
    <x v="2"/>
    <n v="-8279.9900000000016"/>
    <n v="0"/>
    <n v="-8279.9900000000016"/>
  </r>
  <r>
    <s v="R.10059.01.01.01"/>
    <s v="W_R.10059.01.01.01: E Smart Grid Living Lab"/>
    <x v="1"/>
    <x v="5"/>
    <x v="5"/>
    <x v="2"/>
    <x v="2"/>
    <n v="-105740.5"/>
    <n v="-4128905.3818400037"/>
    <n v="4023164.8818400037"/>
  </r>
  <r>
    <s v="R.10059.02.01.01"/>
    <s v="W_R.10059.02.01.01: E ADMS Circuit Enablement"/>
    <x v="1"/>
    <x v="5"/>
    <x v="5"/>
    <x v="2"/>
    <x v="2"/>
    <n v="-382804.91000000003"/>
    <n v="-969575.45291033702"/>
    <n v="586770.54291033698"/>
  </r>
  <r>
    <s v="R.10059.03.01.01"/>
    <s v="W_R.10059.03.01.01: E Resilience Enhancement CEIP"/>
    <x v="1"/>
    <x v="26"/>
    <x v="5"/>
    <x v="0"/>
    <x v="2"/>
    <n v="-1294239.2399999998"/>
    <n v="-966466.61649999989"/>
    <n v="-327772.62349999987"/>
  </r>
  <r>
    <s v="R.10060.01.01.02"/>
    <s v="W_R.10060.01.01.02: G Vashon Interim Supply at Gig Harbor"/>
    <x v="2"/>
    <x v="27"/>
    <x v="4"/>
    <x v="0"/>
    <x v="2"/>
    <n v="-458640.08999999991"/>
    <n v="-1256366.1962771674"/>
    <n v="797726.10627716756"/>
  </r>
  <r>
    <s v="X.10003.01.01.01"/>
    <s v="W_X.10003.01.01.01: Street and Area Lighting Services"/>
    <x v="1"/>
    <x v="0"/>
    <x v="0"/>
    <x v="0"/>
    <x v="5"/>
    <n v="-2299605.5499999998"/>
    <n v="-3238842.3947134488"/>
    <n v="939236.84471344901"/>
  </r>
  <r>
    <s v="X.10003.01.03.01"/>
    <s v="W_X.10003.01.03.01: Street Light Replacement"/>
    <x v="1"/>
    <x v="0"/>
    <x v="0"/>
    <x v="0"/>
    <x v="5"/>
    <n v="-1336724.8999999997"/>
    <n v="-1092137.5806285986"/>
    <n v="-244587.3193714011"/>
  </r>
  <r>
    <s v="X.10003.01.03.02"/>
    <s v="W_X.10003.01.03.02: Smart Street Lighting"/>
    <x v="1"/>
    <x v="0"/>
    <x v="0"/>
    <x v="0"/>
    <x v="5"/>
    <n v="-1617272.2700000003"/>
    <n v="-226460.70384112062"/>
    <n v="-1390811.5661588795"/>
  </r>
  <r>
    <s v="X.10005.01.01.01"/>
    <s v="W_X.10005.01.01.01: Wireless and Wireline Construction"/>
    <x v="1"/>
    <x v="0"/>
    <x v="0"/>
    <x v="0"/>
    <x v="5"/>
    <n v="-2806755.14"/>
    <n v="-791774.94851725642"/>
    <n v="-2014980.1914827437"/>
  </r>
  <r>
    <s v="X.10006.01.01.01"/>
    <s v="W_X.10006.01.01.01: Customer Sited Energy Storage Pilot"/>
    <x v="1"/>
    <x v="0"/>
    <x v="0"/>
    <x v="0"/>
    <x v="5"/>
    <n v="-144034.18"/>
    <n v="0"/>
    <n v="-144034.18"/>
  </r>
  <r>
    <s v="X.10006.02.01.01"/>
    <s v="W_X.10006.02.01.01: EV Charging Program PSE Internal"/>
    <x v="1"/>
    <x v="0"/>
    <x v="0"/>
    <x v="0"/>
    <x v="5"/>
    <n v="0"/>
    <n v="-444814.81426639721"/>
    <n v="444814.81426639721"/>
  </r>
  <r>
    <s v="X.10006.02.02.02"/>
    <s v="W_X.10006.02.02.02: EV Charging Program Infrastructure"/>
    <x v="1"/>
    <x v="0"/>
    <x v="0"/>
    <x v="0"/>
    <x v="5"/>
    <n v="-2093226.5499999998"/>
    <n v="0"/>
    <n v="-2093226.5499999998"/>
  </r>
  <r>
    <s v="X.10006.03.01.02"/>
    <s v="W_X.10006.03.01.02: Community Solar Program"/>
    <x v="1"/>
    <x v="0"/>
    <x v="0"/>
    <x v="0"/>
    <x v="5"/>
    <n v="-2032922.06"/>
    <n v="0"/>
    <n v="-2032922.06"/>
  </r>
  <r>
    <s v="X.10006.03.01.04"/>
    <s v="W_X.10006.03.01.04: Community Solar Program IT"/>
    <x v="1"/>
    <x v="0"/>
    <x v="0"/>
    <x v="0"/>
    <x v="5"/>
    <n v="1030.5899999999999"/>
    <n v="0"/>
    <n v="1030.5899999999999"/>
  </r>
  <r>
    <s v="X.10006.03.01.05"/>
    <s v="W_X.10006.03.01.05: Community Solar Program 2022-25"/>
    <x v="1"/>
    <x v="0"/>
    <x v="0"/>
    <x v="0"/>
    <x v="1"/>
    <n v="-13510.02"/>
    <n v="0"/>
    <n v="-13510.02"/>
  </r>
  <r>
    <s v="K.10005.01.02.01"/>
    <s v="W_K.10005.01.02.01: COL U3 U4 Operational (non-production)"/>
    <x v="1"/>
    <x v="0"/>
    <x v="0"/>
    <x v="0"/>
    <x v="6"/>
    <m/>
    <n v="-17967.04"/>
    <n v="17967.04"/>
  </r>
  <r>
    <s v="X.10006.04.01.02"/>
    <s v="W_X.10006.04.01.02: Renewable Natural Gas Program IT"/>
    <x v="2"/>
    <x v="0"/>
    <x v="0"/>
    <x v="0"/>
    <x v="5"/>
    <n v="62665.770000000011"/>
    <n v="0"/>
    <n v="62665.770000000011"/>
  </r>
  <r>
    <s v="PLACEHOLDER WBS 21"/>
    <s v="PLACEHOLDER WBS 21: IP Scada"/>
    <x v="1"/>
    <x v="0"/>
    <x v="0"/>
    <x v="0"/>
    <x v="1"/>
    <m/>
    <n v="-2100000"/>
    <n v="2100000"/>
  </r>
  <r>
    <s v="Placeholder WBS 48"/>
    <s v="Placeholder WBS 48: Data Enablement and Enrichment Program"/>
    <x v="0"/>
    <x v="0"/>
    <x v="0"/>
    <x v="0"/>
    <x v="1"/>
    <m/>
    <n v="-3009237"/>
    <n v="3009237"/>
  </r>
  <r>
    <s v="R.10059.04.01.01"/>
    <s v="W_R.10059.04.01.01: E Wildfire Resilience"/>
    <x v="1"/>
    <x v="1"/>
    <x v="1"/>
    <x v="1"/>
    <x v="2"/>
    <m/>
    <n v="-1885788.5200000035"/>
    <n v="1885788.5200000035"/>
  </r>
  <r>
    <s v="PLACEHOLDER WBS 63"/>
    <s v="PLACEHOLDER WBS 63: E King County Franchise Fee"/>
    <x v="1"/>
    <x v="1"/>
    <x v="1"/>
    <x v="1"/>
    <x v="2"/>
    <m/>
    <n v="-336896.00000000029"/>
    <n v="336896.00000000029"/>
  </r>
  <r>
    <s v="PLACEHOLDER WBS 65"/>
    <s v="PLACEHOLDER WBS 65: Pipeline Modernization"/>
    <x v="2"/>
    <x v="1"/>
    <x v="1"/>
    <x v="1"/>
    <x v="2"/>
    <m/>
    <n v="-1697209.6679999996"/>
    <n v="1697209.6679999996"/>
  </r>
  <r>
    <s v="F.10003.03.01.01"/>
    <s v="W_F.10003.03.01.01: Wireless Spectrum"/>
    <x v="0"/>
    <x v="0"/>
    <x v="0"/>
    <x v="0"/>
    <x v="1"/>
    <m/>
    <n v="-686400"/>
    <n v="686400"/>
  </r>
  <r>
    <s v="F.10017.13.02.02"/>
    <s v="W_F.10017.13.02.02: Annual VOIP Deployment and Refresh"/>
    <x v="0"/>
    <x v="0"/>
    <x v="0"/>
    <x v="0"/>
    <x v="1"/>
    <m/>
    <n v="-4.3576999492663603E-2"/>
    <n v="4.3576999492663603E-2"/>
  </r>
  <r>
    <s v="F.10025.02.01.04"/>
    <s v="W_F.10025.02.01.04: Tenable.io"/>
    <x v="0"/>
    <x v="0"/>
    <x v="0"/>
    <x v="0"/>
    <x v="1"/>
    <m/>
    <n v="-4957.5682637400632"/>
    <n v="4957.5682637400632"/>
  </r>
  <r>
    <s v="K.10012.01.01.04"/>
    <s v="W_K.10012.01.01.04: BPCC Customer Self Service"/>
    <x v="0"/>
    <x v="0"/>
    <x v="0"/>
    <x v="0"/>
    <x v="1"/>
    <m/>
    <n v="-463875.31563805428"/>
    <n v="463875.31563805428"/>
  </r>
  <r>
    <s v="K.10035.01.01.02"/>
    <s v="W_K.10035.01.01.02: FRA Unit 2 to 4 Hot Gas Path"/>
    <x v="1"/>
    <x v="0"/>
    <x v="0"/>
    <x v="0"/>
    <x v="6"/>
    <m/>
    <n v="-1447.5462448451858"/>
    <n v="1447.5462448451858"/>
  </r>
  <r>
    <s v="R.10009.12.04.01"/>
    <s v="W_R.10009.12.04.01: E Trans Automation Placeholder"/>
    <x v="1"/>
    <x v="1"/>
    <x v="1"/>
    <x v="1"/>
    <x v="2"/>
    <m/>
    <n v="-524.70298175999994"/>
    <n v="524.70298175999994"/>
  </r>
  <r>
    <s v="R.10015.06.01.06"/>
    <s v="W_R.10015.06.01.06: G System Capacity Uprate Bulk Dist"/>
    <x v="2"/>
    <x v="1"/>
    <x v="1"/>
    <x v="1"/>
    <x v="2"/>
    <m/>
    <n v="-31413.867270916606"/>
    <n v="31413.867270916606"/>
  </r>
  <r>
    <s v="R.10037.01.01.07"/>
    <s v="W_R.10037.01.01.07: G Scrap Sale Plt Meters Dist"/>
    <x v="2"/>
    <x v="1"/>
    <x v="1"/>
    <x v="1"/>
    <x v="2"/>
    <m/>
    <n v="-1920.0000000000036"/>
    <n v="1920.0000000000036"/>
  </r>
  <r>
    <s v="R.10009.07.03.02"/>
    <s v="W_R.10009.07.03.02: E OH UG System Improv Opport New Trans"/>
    <x v="1"/>
    <x v="9"/>
    <x v="6"/>
    <x v="3"/>
    <x v="2"/>
    <m/>
    <n v="-366.15172416000001"/>
    <n v="366.15172416000001"/>
  </r>
  <r>
    <s v="F.10017.09.05.02"/>
    <s v="W_F.10017.09.05.02: RSA Token Refresh"/>
    <x v="0"/>
    <x v="0"/>
    <x v="0"/>
    <x v="0"/>
    <x v="1"/>
    <m/>
    <n v="686.53822143191314"/>
    <n v="-686.53822143191314"/>
  </r>
  <r>
    <s v="R.10059.05.01.01"/>
    <s v="W_R.10059.05.01.01: E Submarine Cable - Mercer Island"/>
    <x v="1"/>
    <x v="5"/>
    <x v="5"/>
    <x v="2"/>
    <x v="2"/>
    <m/>
    <n v="-1885788.5200000035"/>
    <n v="1885788.5200000035"/>
  </r>
  <r>
    <s v="R.10059.02.01.02"/>
    <s v="W_R.10059.02.01.02: E Circuit Enablement EV"/>
    <x v="1"/>
    <x v="28"/>
    <x v="5"/>
    <x v="0"/>
    <x v="2"/>
    <m/>
    <n v="-3158695.7710000034"/>
    <n v="3158695.7710000034"/>
  </r>
  <r>
    <s v="R.99999.99.99.99"/>
    <s v="W_R.99999.99.99.99: General Transmission Project (Rate Case Only)"/>
    <x v="1"/>
    <x v="1"/>
    <x v="1"/>
    <x v="1"/>
    <x v="2"/>
    <m/>
    <n v="-40119811.454329111"/>
    <n v="40119811.454329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:E30" firstHeaderRow="0" firstDataRow="1" firstDataCol="1"/>
  <pivotFields count="9">
    <pivotField showAll="0"/>
    <pivotField axis="axisRow" showAll="0">
      <items count="439">
        <item x="420"/>
        <item x="421"/>
        <item x="423"/>
        <item x="4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25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434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426"/>
        <item x="114"/>
        <item x="115"/>
        <item x="116"/>
        <item x="117"/>
        <item x="118"/>
        <item x="119"/>
        <item x="120"/>
        <item x="122"/>
        <item x="123"/>
        <item x="427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418"/>
        <item x="139"/>
        <item x="140"/>
        <item x="141"/>
        <item x="142"/>
        <item x="143"/>
        <item x="144"/>
        <item x="145"/>
        <item x="146"/>
        <item x="428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429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433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43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431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432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36"/>
        <item x="406"/>
        <item x="422"/>
        <item x="435"/>
        <item x="407"/>
        <item x="43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121"/>
        <item t="default"/>
      </items>
    </pivotField>
    <pivotField showAll="0"/>
    <pivotField axis="axisRow" showAll="0">
      <items count="30">
        <item x="19"/>
        <item x="8"/>
        <item x="20"/>
        <item x="3"/>
        <item x="23"/>
        <item x="0"/>
        <item x="4"/>
        <item x="15"/>
        <item x="25"/>
        <item x="2"/>
        <item x="14"/>
        <item x="22"/>
        <item x="27"/>
        <item x="24"/>
        <item x="5"/>
        <item x="10"/>
        <item x="6"/>
        <item x="18"/>
        <item x="13"/>
        <item x="1"/>
        <item x="16"/>
        <item x="17"/>
        <item x="21"/>
        <item x="9"/>
        <item x="7"/>
        <item x="11"/>
        <item x="26"/>
        <item x="12"/>
        <item x="28"/>
        <item t="default"/>
      </items>
    </pivotField>
    <pivotField axis="axisRow" showAll="0">
      <items count="9">
        <item sd="0" x="7"/>
        <item sd="0" x="0"/>
        <item sd="0" x="6"/>
        <item sd="0" x="1"/>
        <item x="5"/>
        <item sd="0" x="2"/>
        <item sd="0" x="4"/>
        <item x="3"/>
        <item t="default"/>
      </items>
    </pivotField>
    <pivotField dataField="1" showAll="0"/>
    <pivotField dataField="1" numFmtId="43" showAll="0"/>
    <pivotField dataField="1" showAll="0"/>
    <pivotField showAll="0" defaultSubtotal="0"/>
  </pivotFields>
  <rowFields count="3">
    <field x="4"/>
    <field x="3"/>
    <field x="1"/>
  </rowFields>
  <rowItems count="25">
    <i>
      <x/>
    </i>
    <i>
      <x v="1"/>
    </i>
    <i>
      <x v="2"/>
    </i>
    <i>
      <x v="3"/>
    </i>
    <i>
      <x v="4"/>
    </i>
    <i r="1">
      <x v="27"/>
    </i>
    <i r="2">
      <x v="101"/>
    </i>
    <i r="2">
      <x v="268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6"/>
    </i>
    <i>
      <x v="5"/>
    </i>
    <i>
      <x v="6"/>
    </i>
    <i>
      <x v="7"/>
    </i>
    <i r="1">
      <x v="14"/>
    </i>
    <i r="2">
      <x v="20"/>
    </i>
    <i r="2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ctual CWIP Closings" fld="5" baseField="4" baseItem="0"/>
    <dataField name="Forecast CWIP Closings" fld="6" baseField="0" baseItem="0"/>
    <dataField name="Sum of Variance" fld="7" baseField="4" baseItem="0"/>
  </dataFields>
  <formats count="155"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7">
      <pivotArea collapsedLevelsAreSubtotals="1" fieldPosition="0">
        <references count="1">
          <reference field="4" count="1">
            <x v="0"/>
          </reference>
        </references>
      </pivotArea>
    </format>
    <format dxfId="356">
      <pivotArea grandRow="1" outline="0" collapsedLevelsAreSubtotals="1" fieldPosition="0"/>
    </format>
    <format dxfId="3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4">
      <pivotArea collapsedLevelsAreSubtotals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353">
      <pivotArea collapsedLevelsAreSubtotals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352">
      <pivotArea dataOnly="0" labelOnly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351">
      <pivotArea dataOnly="0" labelOnly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350">
      <pivotArea collapsedLevelsAreSubtotals="1" fieldPosition="0">
        <references count="2">
          <reference field="3" count="1">
            <x v="2"/>
          </reference>
          <reference field="4" count="1" selected="0">
            <x v="5"/>
          </reference>
        </references>
      </pivotArea>
    </format>
    <format dxfId="349">
      <pivotArea collapsedLevelsAreSubtotals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348">
      <pivotArea collapsedLevelsAreSubtotals="1" fieldPosition="0">
        <references count="2">
          <reference field="3" count="1">
            <x v="3"/>
          </reference>
          <reference field="4" count="1" selected="0">
            <x v="5"/>
          </reference>
        </references>
      </pivotArea>
    </format>
    <format dxfId="347">
      <pivotArea collapsedLevelsAreSubtotals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346">
      <pivotArea collapsedLevelsAreSubtotals="1" fieldPosition="0">
        <references count="2">
          <reference field="3" count="1">
            <x v="4"/>
          </reference>
          <reference field="4" count="1" selected="0">
            <x v="5"/>
          </reference>
        </references>
      </pivotArea>
    </format>
    <format dxfId="345">
      <pivotArea collapsedLevelsAreSubtotals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344">
      <pivotArea collapsedLevelsAreSubtotals="1" fieldPosition="0">
        <references count="2">
          <reference field="3" count="1">
            <x v="8"/>
          </reference>
          <reference field="4" count="1" selected="0">
            <x v="5"/>
          </reference>
        </references>
      </pivotArea>
    </format>
    <format dxfId="343">
      <pivotArea collapsedLevelsAreSubtotals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342">
      <pivotArea collapsedLevelsAreSubtotals="1" fieldPosition="0">
        <references count="2">
          <reference field="3" count="1">
            <x v="10"/>
          </reference>
          <reference field="4" count="1" selected="0">
            <x v="5"/>
          </reference>
        </references>
      </pivotArea>
    </format>
    <format dxfId="341">
      <pivotArea collapsedLevelsAreSubtotals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340">
      <pivotArea collapsedLevelsAreSubtotals="1" fieldPosition="0">
        <references count="2">
          <reference field="3" count="1">
            <x v="11"/>
          </reference>
          <reference field="4" count="1" selected="0">
            <x v="5"/>
          </reference>
        </references>
      </pivotArea>
    </format>
    <format dxfId="339">
      <pivotArea collapsedLevelsAreSubtotals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338">
      <pivotArea collapsedLevelsAreSubtotals="1" fieldPosition="0">
        <references count="2">
          <reference field="3" count="1">
            <x v="14"/>
          </reference>
          <reference field="4" count="1" selected="0">
            <x v="5"/>
          </reference>
        </references>
      </pivotArea>
    </format>
    <format dxfId="337">
      <pivotArea collapsedLevelsAreSubtotals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336">
      <pivotArea collapsedLevelsAreSubtotals="1" fieldPosition="0">
        <references count="2">
          <reference field="3" count="1">
            <x v="18"/>
          </reference>
          <reference field="4" count="1" selected="0">
            <x v="5"/>
          </reference>
        </references>
      </pivotArea>
    </format>
    <format dxfId="335">
      <pivotArea collapsedLevelsAreSubtotals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334">
      <pivotArea collapsedLevelsAreSubtotals="1" fieldPosition="0">
        <references count="2">
          <reference field="3" count="1">
            <x v="19"/>
          </reference>
          <reference field="4" count="1" selected="0">
            <x v="5"/>
          </reference>
        </references>
      </pivotArea>
    </format>
    <format dxfId="333">
      <pivotArea collapsedLevelsAreSubtotals="1" fieldPosition="0">
        <references count="3">
          <reference field="1" count="126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32">
      <pivotArea collapsedLevelsAreSubtotals="1" fieldPosition="0">
        <references count="2">
          <reference field="3" count="1">
            <x v="22"/>
          </reference>
          <reference field="4" count="1" selected="0">
            <x v="5"/>
          </reference>
        </references>
      </pivotArea>
    </format>
    <format dxfId="331">
      <pivotArea collapsedLevelsAreSubtotals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330">
      <pivotArea dataOnly="0" labelOnly="1" fieldPosition="0">
        <references count="2">
          <reference field="3" count="10">
            <x v="2"/>
            <x v="3"/>
            <x v="4"/>
            <x v="8"/>
            <x v="10"/>
            <x v="11"/>
            <x v="14"/>
            <x v="18"/>
            <x v="19"/>
            <x v="22"/>
          </reference>
          <reference field="4" count="1" selected="0">
            <x v="5"/>
          </reference>
        </references>
      </pivotArea>
    </format>
    <format dxfId="329">
      <pivotArea dataOnly="0" labelOnly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328">
      <pivotArea dataOnly="0" labelOnly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327">
      <pivotArea dataOnly="0" labelOnly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326">
      <pivotArea dataOnly="0" labelOnly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325">
      <pivotArea dataOnly="0" labelOnly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324">
      <pivotArea dataOnly="0" labelOnly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323">
      <pivotArea dataOnly="0" labelOnly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322">
      <pivotArea dataOnly="0" labelOnly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321">
      <pivotArea dataOnly="0" labelOnly="1" fieldPosition="0">
        <references count="3">
          <reference field="1" count="50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20">
      <pivotArea dataOnly="0" labelOnly="1" fieldPosition="0">
        <references count="3">
          <reference field="1" count="50"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19">
      <pivotArea dataOnly="0" labelOnly="1" fieldPosition="0">
        <references count="3">
          <reference field="1" count="26"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18">
      <pivotArea dataOnly="0" labelOnly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317">
      <pivotArea collapsedLevelsAreSubtotals="1" fieldPosition="0">
        <references count="2">
          <reference field="3" count="1">
            <x v="28"/>
          </reference>
          <reference field="4" count="1" selected="0">
            <x v="5"/>
          </reference>
        </references>
      </pivotArea>
    </format>
    <format dxfId="316">
      <pivotArea collapsedLevelsAreSubtotals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315">
      <pivotArea dataOnly="0" labelOnly="1" fieldPosition="0">
        <references count="2">
          <reference field="3" count="1">
            <x v="28"/>
          </reference>
          <reference field="4" count="1" selected="0">
            <x v="5"/>
          </reference>
        </references>
      </pivotArea>
    </format>
    <format dxfId="314">
      <pivotArea dataOnly="0" labelOnly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313">
      <pivotArea collapsedLevelsAreSubtotals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312">
      <pivotArea collapsedLevelsAreSubtotals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311">
      <pivotArea collapsedLevelsAreSubtotals="1" fieldPosition="0">
        <references count="1">
          <reference field="4" count="1">
            <x v="1"/>
          </reference>
        </references>
      </pivotArea>
    </format>
    <format dxfId="310">
      <pivotArea collapsedLevelsAreSubtotals="1" fieldPosition="0">
        <references count="2">
          <reference field="3" count="1">
            <x v="5"/>
          </reference>
          <reference field="4" count="1" selected="0">
            <x v="1"/>
          </reference>
        </references>
      </pivotArea>
    </format>
    <format dxfId="309">
      <pivotArea collapsedLevelsAreSubtotals="1" fieldPosition="0">
        <references count="3">
          <reference field="1" count="15">
            <x v="4"/>
            <x v="6"/>
            <x v="7"/>
            <x v="9"/>
            <x v="10"/>
            <x v="11"/>
            <x v="12"/>
            <x v="13"/>
            <x v="14"/>
            <x v="18"/>
            <x v="19"/>
            <x v="22"/>
            <x v="23"/>
            <x v="103"/>
            <x v="327"/>
          </reference>
          <reference field="3" count="1" selected="0">
            <x v="5"/>
          </reference>
          <reference field="4" count="1" selected="0">
            <x v="1"/>
          </reference>
        </references>
      </pivotArea>
    </format>
    <format dxfId="308">
      <pivotArea collapsedLevelsAreSubtotals="1" fieldPosition="0">
        <references count="1">
          <reference field="4" count="1">
            <x v="2"/>
          </reference>
        </references>
      </pivotArea>
    </format>
    <format dxfId="307">
      <pivotArea collapsedLevelsAreSubtotals="1" fieldPosition="0">
        <references count="2">
          <reference field="3" count="1">
            <x v="17"/>
          </reference>
          <reference field="4" count="1" selected="0">
            <x v="2"/>
          </reference>
        </references>
      </pivotArea>
    </format>
    <format dxfId="306">
      <pivotArea collapsedLevelsAreSubtotals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305">
      <pivotArea collapsedLevelsAreSubtotals="1" fieldPosition="0">
        <references count="2">
          <reference field="3" count="1">
            <x v="20"/>
          </reference>
          <reference field="4" count="1" selected="0">
            <x v="2"/>
          </reference>
        </references>
      </pivotArea>
    </format>
    <format dxfId="304">
      <pivotArea collapsedLevelsAreSubtotals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303">
      <pivotArea collapsedLevelsAreSubtotals="1" fieldPosition="0">
        <references count="1">
          <reference field="4" count="1">
            <x v="3"/>
          </reference>
        </references>
      </pivotArea>
    </format>
    <format dxfId="302">
      <pivotArea collapsedLevelsAreSubtotals="1" fieldPosition="0">
        <references count="2">
          <reference field="3" count="1">
            <x v="1"/>
          </reference>
          <reference field="4" count="1" selected="0">
            <x v="3"/>
          </reference>
        </references>
      </pivotArea>
    </format>
    <format dxfId="301">
      <pivotArea collapsedLevelsAreSubtotals="1" fieldPosition="0">
        <references count="3">
          <reference field="1" count="53">
            <x v="26"/>
            <x v="27"/>
            <x v="28"/>
            <x v="29"/>
            <x v="32"/>
            <x v="33"/>
            <x v="34"/>
            <x v="35"/>
            <x v="37"/>
            <x v="38"/>
            <x v="39"/>
            <x v="40"/>
            <x v="41"/>
            <x v="46"/>
            <x v="47"/>
            <x v="48"/>
            <x v="49"/>
            <x v="50"/>
            <x v="51"/>
            <x v="52"/>
            <x v="53"/>
            <x v="55"/>
            <x v="56"/>
            <x v="58"/>
            <x v="60"/>
            <x v="61"/>
            <x v="62"/>
            <x v="63"/>
            <x v="67"/>
            <x v="68"/>
            <x v="70"/>
            <x v="71"/>
            <x v="72"/>
            <x v="73"/>
            <x v="74"/>
            <x v="75"/>
            <x v="76"/>
            <x v="78"/>
            <x v="83"/>
            <x v="86"/>
            <x v="92"/>
            <x v="97"/>
            <x v="106"/>
            <x v="113"/>
            <x v="118"/>
            <x v="155"/>
            <x v="156"/>
            <x v="157"/>
            <x v="158"/>
            <x v="159"/>
            <x v="186"/>
            <x v="365"/>
            <x v="435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300">
      <pivotArea collapsedLevelsAreSubtotals="1" fieldPosition="0">
        <references count="2">
          <reference field="3" count="1">
            <x v="6"/>
          </reference>
          <reference field="4" count="1" selected="0">
            <x v="3"/>
          </reference>
        </references>
      </pivotArea>
    </format>
    <format dxfId="299">
      <pivotArea collapsedLevelsAreSubtotals="1" fieldPosition="0">
        <references count="3">
          <reference field="1" count="6">
            <x v="16"/>
            <x v="17"/>
            <x v="104"/>
            <x v="110"/>
            <x v="130"/>
            <x v="382"/>
          </reference>
          <reference field="3" count="1" selected="0">
            <x v="6"/>
          </reference>
          <reference field="4" count="1" selected="0">
            <x v="3"/>
          </reference>
        </references>
      </pivotArea>
    </format>
    <format dxfId="298">
      <pivotArea collapsedLevelsAreSubtotals="1" fieldPosition="0">
        <references count="2">
          <reference field="3" count="1">
            <x v="7"/>
          </reference>
          <reference field="4" count="1" selected="0">
            <x v="3"/>
          </reference>
        </references>
      </pivotArea>
    </format>
    <format dxfId="297">
      <pivotArea collapsedLevelsAreSubtotals="1" fieldPosition="0">
        <references count="3">
          <reference field="1" count="2">
            <x v="132"/>
            <x v="133"/>
          </reference>
          <reference field="3" count="1" selected="0">
            <x v="7"/>
          </reference>
          <reference field="4" count="1" selected="0">
            <x v="3"/>
          </reference>
        </references>
      </pivotArea>
    </format>
    <format dxfId="296">
      <pivotArea collapsedLevelsAreSubtotals="1" fieldPosition="0">
        <references count="2">
          <reference field="3" count="1">
            <x v="9"/>
          </reference>
          <reference field="4" count="1" selected="0">
            <x v="3"/>
          </reference>
        </references>
      </pivotArea>
    </format>
    <format dxfId="295">
      <pivotArea collapsedLevelsAreSubtotals="1" fieldPosition="0">
        <references count="3">
          <reference field="1" count="45">
            <x v="0"/>
            <x v="8"/>
            <x v="31"/>
            <x v="36"/>
            <x v="42"/>
            <x v="43"/>
            <x v="44"/>
            <x v="57"/>
            <x v="64"/>
            <x v="65"/>
            <x v="66"/>
            <x v="69"/>
            <x v="77"/>
            <x v="80"/>
            <x v="81"/>
            <x v="82"/>
            <x v="84"/>
            <x v="85"/>
            <x v="87"/>
            <x v="88"/>
            <x v="89"/>
            <x v="90"/>
            <x v="91"/>
            <x v="94"/>
            <x v="95"/>
            <x v="96"/>
            <x v="98"/>
            <x v="99"/>
            <x v="102"/>
            <x v="105"/>
            <x v="107"/>
            <x v="108"/>
            <x v="109"/>
            <x v="112"/>
            <x v="114"/>
            <x v="117"/>
            <x v="119"/>
            <x v="120"/>
            <x v="121"/>
            <x v="122"/>
            <x v="123"/>
            <x v="124"/>
            <x v="125"/>
            <x v="131"/>
            <x v="328"/>
          </reference>
          <reference field="3" count="1" selected="0">
            <x v="9"/>
          </reference>
          <reference field="4" count="1" selected="0">
            <x v="3"/>
          </reference>
        </references>
      </pivotArea>
    </format>
    <format dxfId="294">
      <pivotArea collapsedLevelsAreSubtotals="1" fieldPosition="0">
        <references count="2">
          <reference field="3" count="1">
            <x v="15"/>
          </reference>
          <reference field="4" count="1" selected="0">
            <x v="3"/>
          </reference>
        </references>
      </pivotArea>
    </format>
    <format dxfId="293">
      <pivotArea collapsedLevelsAreSubtotals="1" fieldPosition="0">
        <references count="3">
          <reference field="1" count="1">
            <x v="79"/>
          </reference>
          <reference field="3" count="1" selected="0">
            <x v="15"/>
          </reference>
          <reference field="4" count="1" selected="0">
            <x v="3"/>
          </reference>
        </references>
      </pivotArea>
    </format>
    <format dxfId="292">
      <pivotArea collapsedLevelsAreSubtotals="1" fieldPosition="0">
        <references count="2">
          <reference field="3" count="1">
            <x v="23"/>
          </reference>
          <reference field="4" count="1" selected="0">
            <x v="3"/>
          </reference>
        </references>
      </pivotArea>
    </format>
    <format dxfId="291">
      <pivotArea collapsedLevelsAreSubtotals="1" fieldPosition="0">
        <references count="3">
          <reference field="1" count="8">
            <x v="1"/>
            <x v="30"/>
            <x v="45"/>
            <x v="59"/>
            <x v="126"/>
            <x v="127"/>
            <x v="128"/>
            <x v="287"/>
          </reference>
          <reference field="3" count="1" selected="0">
            <x v="23"/>
          </reference>
          <reference field="4" count="1" selected="0">
            <x v="3"/>
          </reference>
        </references>
      </pivotArea>
    </format>
    <format dxfId="290">
      <pivotArea collapsedLevelsAreSubtotals="1" fieldPosition="0">
        <references count="2">
          <reference field="3" count="1">
            <x v="24"/>
          </reference>
          <reference field="4" count="1" selected="0">
            <x v="3"/>
          </reference>
        </references>
      </pivotArea>
    </format>
    <format dxfId="289">
      <pivotArea collapsedLevelsAreSubtotals="1" fieldPosition="0">
        <references count="3">
          <reference field="1" count="1">
            <x v="25"/>
          </reference>
          <reference field="3" count="1" selected="0">
            <x v="24"/>
          </reference>
          <reference field="4" count="1" selected="0">
            <x v="3"/>
          </reference>
        </references>
      </pivotArea>
    </format>
    <format dxfId="288">
      <pivotArea collapsedLevelsAreSubtotals="1" fieldPosition="0">
        <references count="2">
          <reference field="3" count="1">
            <x v="25"/>
          </reference>
          <reference field="4" count="1" selected="0">
            <x v="3"/>
          </reference>
        </references>
      </pivotArea>
    </format>
    <format dxfId="287">
      <pivotArea collapsedLevelsAreSubtotals="1" fieldPosition="0">
        <references count="3">
          <reference field="1" count="2">
            <x v="93"/>
            <x v="364"/>
          </reference>
          <reference field="3" count="1" selected="0">
            <x v="25"/>
          </reference>
          <reference field="4" count="1" selected="0">
            <x v="3"/>
          </reference>
        </references>
      </pivotArea>
    </format>
    <format dxfId="286">
      <pivotArea collapsedLevelsAreSubtotals="1" fieldPosition="0">
        <references count="2">
          <reference field="3" count="1">
            <x v="26"/>
          </reference>
          <reference field="4" count="1" selected="0">
            <x v="3"/>
          </reference>
        </references>
      </pivotArea>
    </format>
    <format dxfId="285">
      <pivotArea collapsedLevelsAreSubtotals="1" fieldPosition="0">
        <references count="3">
          <reference field="1" count="1">
            <x v="393"/>
          </reference>
          <reference field="3" count="1" selected="0">
            <x v="26"/>
          </reference>
          <reference field="4" count="1" selected="0">
            <x v="3"/>
          </reference>
        </references>
      </pivotArea>
    </format>
    <format dxfId="284">
      <pivotArea collapsedLevelsAreSubtotals="1" fieldPosition="0">
        <references count="1">
          <reference field="4" count="1">
            <x v="4"/>
          </reference>
        </references>
      </pivotArea>
    </format>
    <format dxfId="283">
      <pivotArea collapsedLevelsAreSubtotals="1" fieldPosition="0">
        <references count="2">
          <reference field="3" count="1">
            <x v="27"/>
          </reference>
          <reference field="4" count="1" selected="0">
            <x v="4"/>
          </reference>
        </references>
      </pivotArea>
    </format>
    <format dxfId="282">
      <pivotArea collapsedLevelsAreSubtotals="1" fieldPosition="0">
        <references count="3">
          <reference field="1" count="12">
            <x v="101"/>
            <x v="268"/>
            <x v="426"/>
            <x v="427"/>
            <x v="428"/>
            <x v="429"/>
            <x v="430"/>
            <x v="431"/>
            <x v="432"/>
            <x v="433"/>
            <x v="434"/>
            <x v="436"/>
          </reference>
          <reference field="3" count="1" selected="0">
            <x v="27"/>
          </reference>
          <reference field="4" count="1" selected="0">
            <x v="4"/>
          </reference>
        </references>
      </pivotArea>
    </format>
    <format dxfId="281">
      <pivotArea collapsedLevelsAreSubtotals="1" fieldPosition="0">
        <references count="1">
          <reference field="4" count="1">
            <x v="5"/>
          </reference>
        </references>
      </pivotArea>
    </format>
    <format dxfId="280">
      <pivotArea collapsedLevelsAreSubtotals="1" fieldPosition="0">
        <references count="2">
          <reference field="3" count="1">
            <x v="2"/>
          </reference>
          <reference field="4" count="1" selected="0">
            <x v="5"/>
          </reference>
        </references>
      </pivotArea>
    </format>
    <format dxfId="279">
      <pivotArea collapsedLevelsAreSubtotals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278">
      <pivotArea collapsedLevelsAreSubtotals="1" fieldPosition="0">
        <references count="2">
          <reference field="3" count="1">
            <x v="3"/>
          </reference>
          <reference field="4" count="1" selected="0">
            <x v="5"/>
          </reference>
        </references>
      </pivotArea>
    </format>
    <format dxfId="277">
      <pivotArea collapsedLevelsAreSubtotals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276">
      <pivotArea collapsedLevelsAreSubtotals="1" fieldPosition="0">
        <references count="2">
          <reference field="3" count="1">
            <x v="4"/>
          </reference>
          <reference field="4" count="1" selected="0">
            <x v="5"/>
          </reference>
        </references>
      </pivotArea>
    </format>
    <format dxfId="275">
      <pivotArea collapsedLevelsAreSubtotals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274">
      <pivotArea collapsedLevelsAreSubtotals="1" fieldPosition="0">
        <references count="2">
          <reference field="3" count="1">
            <x v="8"/>
          </reference>
          <reference field="4" count="1" selected="0">
            <x v="5"/>
          </reference>
        </references>
      </pivotArea>
    </format>
    <format dxfId="273">
      <pivotArea collapsedLevelsAreSubtotals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272">
      <pivotArea collapsedLevelsAreSubtotals="1" fieldPosition="0">
        <references count="2">
          <reference field="3" count="1">
            <x v="10"/>
          </reference>
          <reference field="4" count="1" selected="0">
            <x v="5"/>
          </reference>
        </references>
      </pivotArea>
    </format>
    <format dxfId="271">
      <pivotArea collapsedLevelsAreSubtotals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270">
      <pivotArea collapsedLevelsAreSubtotals="1" fieldPosition="0">
        <references count="2">
          <reference field="3" count="1">
            <x v="11"/>
          </reference>
          <reference field="4" count="1" selected="0">
            <x v="5"/>
          </reference>
        </references>
      </pivotArea>
    </format>
    <format dxfId="269">
      <pivotArea collapsedLevelsAreSubtotals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268">
      <pivotArea collapsedLevelsAreSubtotals="1" fieldPosition="0">
        <references count="2">
          <reference field="3" count="1">
            <x v="14"/>
          </reference>
          <reference field="4" count="1" selected="0">
            <x v="5"/>
          </reference>
        </references>
      </pivotArea>
    </format>
    <format dxfId="267">
      <pivotArea collapsedLevelsAreSubtotals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266">
      <pivotArea collapsedLevelsAreSubtotals="1" fieldPosition="0">
        <references count="2">
          <reference field="3" count="1">
            <x v="18"/>
          </reference>
          <reference field="4" count="1" selected="0">
            <x v="5"/>
          </reference>
        </references>
      </pivotArea>
    </format>
    <format dxfId="265">
      <pivotArea collapsedLevelsAreSubtotals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264">
      <pivotArea collapsedLevelsAreSubtotals="1" fieldPosition="0">
        <references count="2">
          <reference field="3" count="1">
            <x v="19"/>
          </reference>
          <reference field="4" count="1" selected="0">
            <x v="5"/>
          </reference>
        </references>
      </pivotArea>
    </format>
    <format dxfId="263">
      <pivotArea collapsedLevelsAreSubtotals="1" fieldPosition="0">
        <references count="3">
          <reference field="1" count="126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62">
      <pivotArea collapsedLevelsAreSubtotals="1" fieldPosition="0">
        <references count="2">
          <reference field="3" count="1">
            <x v="22"/>
          </reference>
          <reference field="4" count="1" selected="0">
            <x v="5"/>
          </reference>
        </references>
      </pivotArea>
    </format>
    <format dxfId="261">
      <pivotArea collapsedLevelsAreSubtotals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260">
      <pivotArea collapsedLevelsAreSubtotals="1" fieldPosition="0">
        <references count="2">
          <reference field="3" count="1">
            <x v="28"/>
          </reference>
          <reference field="4" count="1" selected="0">
            <x v="5"/>
          </reference>
        </references>
      </pivotArea>
    </format>
    <format dxfId="259">
      <pivotArea collapsedLevelsAreSubtotals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258">
      <pivotArea collapsedLevelsAreSubtotals="1" fieldPosition="0">
        <references count="1">
          <reference field="4" count="1">
            <x v="6"/>
          </reference>
        </references>
      </pivotArea>
    </format>
    <format dxfId="257">
      <pivotArea collapsedLevelsAreSubtotals="1" fieldPosition="0">
        <references count="2">
          <reference field="3" count="1">
            <x v="0"/>
          </reference>
          <reference field="4" count="1" selected="0">
            <x v="6"/>
          </reference>
        </references>
      </pivotArea>
    </format>
    <format dxfId="256">
      <pivotArea collapsedLevelsAreSubtotals="1" fieldPosition="0">
        <references count="3">
          <reference field="1" count="1">
            <x v="193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255">
      <pivotArea dataOnly="0" labelOnly="1" fieldPosition="0">
        <references count="1">
          <reference field="4" count="6">
            <x v="1"/>
            <x v="2"/>
            <x v="3"/>
            <x v="4"/>
            <x v="5"/>
            <x v="6"/>
          </reference>
        </references>
      </pivotArea>
    </format>
    <format dxfId="254">
      <pivotArea dataOnly="0" labelOnly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253">
      <pivotArea dataOnly="0" labelOnly="1" fieldPosition="0">
        <references count="2">
          <reference field="3" count="1">
            <x v="5"/>
          </reference>
          <reference field="4" count="1" selected="0">
            <x v="1"/>
          </reference>
        </references>
      </pivotArea>
    </format>
    <format dxfId="252">
      <pivotArea dataOnly="0" labelOnly="1" fieldPosition="0">
        <references count="2">
          <reference field="3" count="2">
            <x v="17"/>
            <x v="20"/>
          </reference>
          <reference field="4" count="1" selected="0">
            <x v="2"/>
          </reference>
        </references>
      </pivotArea>
    </format>
    <format dxfId="251">
      <pivotArea dataOnly="0" labelOnly="1" fieldPosition="0">
        <references count="2">
          <reference field="3" count="9">
            <x v="1"/>
            <x v="6"/>
            <x v="7"/>
            <x v="9"/>
            <x v="15"/>
            <x v="23"/>
            <x v="24"/>
            <x v="25"/>
            <x v="26"/>
          </reference>
          <reference field="4" count="1" selected="0">
            <x v="3"/>
          </reference>
        </references>
      </pivotArea>
    </format>
    <format dxfId="250">
      <pivotArea dataOnly="0" labelOnly="1" fieldPosition="0">
        <references count="2">
          <reference field="3" count="1">
            <x v="27"/>
          </reference>
          <reference field="4" count="1" selected="0">
            <x v="4"/>
          </reference>
        </references>
      </pivotArea>
    </format>
    <format dxfId="249">
      <pivotArea dataOnly="0" labelOnly="1" fieldPosition="0">
        <references count="2">
          <reference field="3" count="11">
            <x v="2"/>
            <x v="3"/>
            <x v="4"/>
            <x v="8"/>
            <x v="10"/>
            <x v="11"/>
            <x v="14"/>
            <x v="18"/>
            <x v="19"/>
            <x v="22"/>
            <x v="28"/>
          </reference>
          <reference field="4" count="1" selected="0">
            <x v="5"/>
          </reference>
        </references>
      </pivotArea>
    </format>
    <format dxfId="248">
      <pivotArea dataOnly="0" labelOnly="1" fieldPosition="0">
        <references count="2">
          <reference field="3" count="1">
            <x v="0"/>
          </reference>
          <reference field="4" count="1" selected="0">
            <x v="6"/>
          </reference>
        </references>
      </pivotArea>
    </format>
    <format dxfId="247">
      <pivotArea dataOnly="0" labelOnly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246">
      <pivotArea dataOnly="0" labelOnly="1" fieldPosition="0">
        <references count="3">
          <reference field="1" count="15">
            <x v="4"/>
            <x v="6"/>
            <x v="7"/>
            <x v="9"/>
            <x v="10"/>
            <x v="11"/>
            <x v="12"/>
            <x v="13"/>
            <x v="14"/>
            <x v="18"/>
            <x v="19"/>
            <x v="22"/>
            <x v="23"/>
            <x v="103"/>
            <x v="327"/>
          </reference>
          <reference field="3" count="1" selected="0">
            <x v="5"/>
          </reference>
          <reference field="4" count="1" selected="0">
            <x v="1"/>
          </reference>
        </references>
      </pivotArea>
    </format>
    <format dxfId="245">
      <pivotArea dataOnly="0" labelOnly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44">
      <pivotArea dataOnly="0" labelOnly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43">
      <pivotArea dataOnly="0" labelOnly="1" fieldPosition="0">
        <references count="3">
          <reference field="1" count="49">
            <x v="26"/>
            <x v="27"/>
            <x v="28"/>
            <x v="29"/>
            <x v="32"/>
            <x v="33"/>
            <x v="34"/>
            <x v="35"/>
            <x v="37"/>
            <x v="38"/>
            <x v="39"/>
            <x v="40"/>
            <x v="41"/>
            <x v="46"/>
            <x v="47"/>
            <x v="48"/>
            <x v="49"/>
            <x v="50"/>
            <x v="51"/>
            <x v="52"/>
            <x v="53"/>
            <x v="55"/>
            <x v="56"/>
            <x v="58"/>
            <x v="60"/>
            <x v="61"/>
            <x v="62"/>
            <x v="63"/>
            <x v="67"/>
            <x v="68"/>
            <x v="70"/>
            <x v="71"/>
            <x v="72"/>
            <x v="73"/>
            <x v="74"/>
            <x v="75"/>
            <x v="76"/>
            <x v="78"/>
            <x v="83"/>
            <x v="86"/>
            <x v="92"/>
            <x v="97"/>
            <x v="106"/>
            <x v="113"/>
            <x v="118"/>
            <x v="155"/>
            <x v="156"/>
            <x v="157"/>
            <x v="158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242">
      <pivotArea dataOnly="0" labelOnly="1" fieldPosition="0">
        <references count="3">
          <reference field="1" count="4">
            <x v="159"/>
            <x v="186"/>
            <x v="365"/>
            <x v="435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241">
      <pivotArea dataOnly="0" labelOnly="1" fieldPosition="0">
        <references count="3">
          <reference field="1" count="6">
            <x v="16"/>
            <x v="17"/>
            <x v="104"/>
            <x v="110"/>
            <x v="130"/>
            <x v="382"/>
          </reference>
          <reference field="3" count="1" selected="0">
            <x v="6"/>
          </reference>
          <reference field="4" count="1" selected="0">
            <x v="3"/>
          </reference>
        </references>
      </pivotArea>
    </format>
    <format dxfId="240">
      <pivotArea dataOnly="0" labelOnly="1" fieldPosition="0">
        <references count="3">
          <reference field="1" count="2">
            <x v="132"/>
            <x v="133"/>
          </reference>
          <reference field="3" count="1" selected="0">
            <x v="7"/>
          </reference>
          <reference field="4" count="1" selected="0">
            <x v="3"/>
          </reference>
        </references>
      </pivotArea>
    </format>
    <format dxfId="239">
      <pivotArea dataOnly="0" labelOnly="1" fieldPosition="0">
        <references count="3">
          <reference field="1" count="45">
            <x v="0"/>
            <x v="8"/>
            <x v="31"/>
            <x v="36"/>
            <x v="42"/>
            <x v="43"/>
            <x v="44"/>
            <x v="57"/>
            <x v="64"/>
            <x v="65"/>
            <x v="66"/>
            <x v="69"/>
            <x v="77"/>
            <x v="80"/>
            <x v="81"/>
            <x v="82"/>
            <x v="84"/>
            <x v="85"/>
            <x v="87"/>
            <x v="88"/>
            <x v="89"/>
            <x v="90"/>
            <x v="91"/>
            <x v="94"/>
            <x v="95"/>
            <x v="96"/>
            <x v="98"/>
            <x v="99"/>
            <x v="102"/>
            <x v="105"/>
            <x v="107"/>
            <x v="108"/>
            <x v="109"/>
            <x v="112"/>
            <x v="114"/>
            <x v="117"/>
            <x v="119"/>
            <x v="120"/>
            <x v="121"/>
            <x v="122"/>
            <x v="123"/>
            <x v="124"/>
            <x v="125"/>
            <x v="131"/>
            <x v="328"/>
          </reference>
          <reference field="3" count="1" selected="0">
            <x v="9"/>
          </reference>
          <reference field="4" count="1" selected="0">
            <x v="3"/>
          </reference>
        </references>
      </pivotArea>
    </format>
    <format dxfId="238">
      <pivotArea dataOnly="0" labelOnly="1" fieldPosition="0">
        <references count="3">
          <reference field="1" count="1">
            <x v="79"/>
          </reference>
          <reference field="3" count="1" selected="0">
            <x v="15"/>
          </reference>
          <reference field="4" count="1" selected="0">
            <x v="3"/>
          </reference>
        </references>
      </pivotArea>
    </format>
    <format dxfId="237">
      <pivotArea dataOnly="0" labelOnly="1" fieldPosition="0">
        <references count="3">
          <reference field="1" count="8">
            <x v="1"/>
            <x v="30"/>
            <x v="45"/>
            <x v="59"/>
            <x v="126"/>
            <x v="127"/>
            <x v="128"/>
            <x v="287"/>
          </reference>
          <reference field="3" count="1" selected="0">
            <x v="23"/>
          </reference>
          <reference field="4" count="1" selected="0">
            <x v="3"/>
          </reference>
        </references>
      </pivotArea>
    </format>
    <format dxfId="236">
      <pivotArea dataOnly="0" labelOnly="1" fieldPosition="0">
        <references count="3">
          <reference field="1" count="1">
            <x v="25"/>
          </reference>
          <reference field="3" count="1" selected="0">
            <x v="24"/>
          </reference>
          <reference field="4" count="1" selected="0">
            <x v="3"/>
          </reference>
        </references>
      </pivotArea>
    </format>
    <format dxfId="235">
      <pivotArea dataOnly="0" labelOnly="1" fieldPosition="0">
        <references count="3">
          <reference field="1" count="2">
            <x v="93"/>
            <x v="364"/>
          </reference>
          <reference field="3" count="1" selected="0">
            <x v="25"/>
          </reference>
          <reference field="4" count="1" selected="0">
            <x v="3"/>
          </reference>
        </references>
      </pivotArea>
    </format>
    <format dxfId="234">
      <pivotArea dataOnly="0" labelOnly="1" fieldPosition="0">
        <references count="3">
          <reference field="1" count="1">
            <x v="393"/>
          </reference>
          <reference field="3" count="1" selected="0">
            <x v="26"/>
          </reference>
          <reference field="4" count="1" selected="0">
            <x v="3"/>
          </reference>
        </references>
      </pivotArea>
    </format>
    <format dxfId="233">
      <pivotArea dataOnly="0" labelOnly="1" fieldPosition="0">
        <references count="3">
          <reference field="1" count="12">
            <x v="101"/>
            <x v="268"/>
            <x v="426"/>
            <x v="427"/>
            <x v="428"/>
            <x v="429"/>
            <x v="430"/>
            <x v="431"/>
            <x v="432"/>
            <x v="433"/>
            <x v="434"/>
            <x v="436"/>
          </reference>
          <reference field="3" count="1" selected="0">
            <x v="27"/>
          </reference>
          <reference field="4" count="1" selected="0">
            <x v="4"/>
          </reference>
        </references>
      </pivotArea>
    </format>
    <format dxfId="232">
      <pivotArea dataOnly="0" labelOnly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231">
      <pivotArea dataOnly="0" labelOnly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230">
      <pivotArea dataOnly="0" labelOnly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229">
      <pivotArea dataOnly="0" labelOnly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228">
      <pivotArea dataOnly="0" labelOnly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227">
      <pivotArea dataOnly="0" labelOnly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226">
      <pivotArea dataOnly="0" labelOnly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225">
      <pivotArea dataOnly="0" labelOnly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224">
      <pivotArea dataOnly="0" labelOnly="1" fieldPosition="0">
        <references count="3">
          <reference field="1" count="50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23">
      <pivotArea dataOnly="0" labelOnly="1" fieldPosition="0">
        <references count="3">
          <reference field="1" count="50"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22">
      <pivotArea dataOnly="0" labelOnly="1" fieldPosition="0">
        <references count="3">
          <reference field="1" count="26"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21">
      <pivotArea dataOnly="0" labelOnly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220">
      <pivotArea dataOnly="0" labelOnly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219">
      <pivotArea dataOnly="0" labelOnly="1" fieldPosition="0">
        <references count="3">
          <reference field="1" count="1">
            <x v="193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218">
      <pivotArea collapsedLevelsAreSubtotals="1" fieldPosition="0">
        <references count="2">
          <reference field="3" count="1">
            <x v="17"/>
          </reference>
          <reference field="4" count="1" selected="0">
            <x v="2"/>
          </reference>
        </references>
      </pivotArea>
    </format>
    <format dxfId="217">
      <pivotArea collapsedLevelsAreSubtotals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16">
      <pivotArea collapsedLevelsAreSubtotals="1" fieldPosition="0">
        <references count="2">
          <reference field="3" count="1">
            <x v="20"/>
          </reference>
          <reference field="4" count="1" selected="0">
            <x v="2"/>
          </reference>
        </references>
      </pivotArea>
    </format>
    <format dxfId="215">
      <pivotArea collapsedLevelsAreSubtotals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14">
      <pivotArea dataOnly="0" labelOnly="1" fieldPosition="0">
        <references count="2">
          <reference field="3" count="2">
            <x v="17"/>
            <x v="20"/>
          </reference>
          <reference field="4" count="1" selected="0">
            <x v="2"/>
          </reference>
        </references>
      </pivotArea>
    </format>
    <format dxfId="213">
      <pivotArea dataOnly="0" labelOnly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12">
      <pivotArea dataOnly="0" labelOnly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11">
      <pivotArea collapsedLevelsAreSubtotals="1" fieldPosition="0">
        <references count="2">
          <reference field="3" count="1">
            <x v="17"/>
          </reference>
          <reference field="4" count="1" selected="0">
            <x v="2"/>
          </reference>
        </references>
      </pivotArea>
    </format>
    <format dxfId="210">
      <pivotArea collapsedLevelsAreSubtotals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09">
      <pivotArea collapsedLevelsAreSubtotals="1" fieldPosition="0">
        <references count="2">
          <reference field="3" count="1">
            <x v="20"/>
          </reference>
          <reference field="4" count="1" selected="0">
            <x v="2"/>
          </reference>
        </references>
      </pivotArea>
    </format>
    <format dxfId="208">
      <pivotArea collapsedLevelsAreSubtotals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07">
      <pivotArea dataOnly="0" labelOnly="1" fieldPosition="0">
        <references count="2">
          <reference field="3" count="2">
            <x v="17"/>
            <x v="20"/>
          </reference>
          <reference field="4" count="1" selected="0">
            <x v="2"/>
          </reference>
        </references>
      </pivotArea>
    </format>
    <format dxfId="206">
      <pivotArea dataOnly="0" labelOnly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05">
      <pivotArea dataOnly="0" labelOnly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30" firstHeaderRow="0" firstDataRow="1" firstDataCol="1" rowPageCount="1" colPageCount="1"/>
  <pivotFields count="10">
    <pivotField showAll="0"/>
    <pivotField showAll="0"/>
    <pivotField showAll="0"/>
    <pivotField axis="axisRow" showAll="0" defaultSubtotal="0">
      <items count="31">
        <item x="12"/>
        <item x="13"/>
        <item x="14"/>
        <item x="23"/>
        <item x="11"/>
        <item x="22"/>
        <item x="6"/>
        <item x="18"/>
        <item x="7"/>
        <item x="17"/>
        <item x="10"/>
        <item x="20"/>
        <item x="4"/>
        <item x="28"/>
        <item x="15"/>
        <item x="5"/>
        <item x="8"/>
        <item m="1" x="29"/>
        <item x="16"/>
        <item x="27"/>
        <item h="1" x="2"/>
        <item x="21"/>
        <item m="1" x="30"/>
        <item x="1"/>
        <item x="9"/>
        <item x="19"/>
        <item x="26"/>
        <item x="24"/>
        <item x="25"/>
        <item x="3"/>
        <item x="0"/>
      </items>
    </pivotField>
    <pivotField showAll="0" defaultSubtotal="0"/>
    <pivotField showAll="0" defaultSubtotal="0"/>
    <pivotField axis="axisPage" multipleItemSelectionAllowed="1" showAll="0">
      <items count="9">
        <item x="7"/>
        <item h="1" x="0"/>
        <item h="1" x="6"/>
        <item h="1" x="1"/>
        <item h="1" x="5"/>
        <item x="2"/>
        <item h="1" x="4"/>
        <item h="1" x="3"/>
        <item t="default"/>
      </items>
    </pivotField>
    <pivotField dataField="1" showAll="0"/>
    <pivotField dataField="1" showAll="0"/>
    <pivotField dataField="1" showAll="0"/>
  </pivotFields>
  <rowFields count="1">
    <field x="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1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2 Total Actual CWIP Closings" fld="7" baseField="4" baseItem="0"/>
    <dataField name="Sum of JAK5 SEF16 Forecast CWIP Closings" fld="8" baseField="4" baseItem="0"/>
    <dataField name="Sum of Variance" fld="9" baseField="0" baseItem="0"/>
  </dataFields>
  <formats count="11">
    <format dxfId="204">
      <pivotArea grandRow="1" outline="0" collapsedLevelsAreSubtotals="1" fieldPosition="0"/>
    </format>
    <format dxfId="203">
      <pivotArea grandRow="1" outline="0" collapsedLevelsAreSubtotals="1" fieldPosition="0"/>
    </format>
    <format dxfId="202">
      <pivotArea grandRow="1" outline="0" collapsedLevelsAreSubtotals="1" fieldPosition="0"/>
    </format>
    <format dxfId="2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9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8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7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6">
      <pivotArea collapsedLevelsAreSubtotals="1" fieldPosition="0">
        <references count="1">
          <reference field="3" count="1">
            <x v="0"/>
          </reference>
        </references>
      </pivotArea>
    </format>
    <format dxfId="195">
      <pivotArea collapsedLevelsAreSubtotals="1" fieldPosition="0">
        <references count="1">
          <reference field="3" count="1">
            <x v="0"/>
          </reference>
        </references>
      </pivotArea>
    </format>
    <format dxfId="194">
      <pivotArea collapsedLevelsAreSubtotals="1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6" firstHeaderRow="0" firstDataRow="1" firstDataCol="1" rowPageCount="1" colPageCount="1"/>
  <pivotFields count="10">
    <pivotField showAll="0"/>
    <pivotField showAll="0"/>
    <pivotField axis="axisRow" showAll="0">
      <items count="7">
        <item m="1" x="5"/>
        <item m="1" x="4"/>
        <item m="1" x="3"/>
        <item x="0"/>
        <item x="1"/>
        <item x="2"/>
        <item t="default"/>
      </items>
    </pivotField>
    <pivotField axis="axisRow" showAll="0" defaultSubtotal="0">
      <items count="31">
        <item x="12"/>
        <item x="13"/>
        <item x="14"/>
        <item x="23"/>
        <item x="11"/>
        <item x="22"/>
        <item x="6"/>
        <item x="18"/>
        <item x="7"/>
        <item x="17"/>
        <item x="10"/>
        <item x="20"/>
        <item x="4"/>
        <item x="28"/>
        <item x="15"/>
        <item x="5"/>
        <item x="8"/>
        <item m="1" x="29"/>
        <item x="16"/>
        <item x="27"/>
        <item h="1" x="2"/>
        <item x="21"/>
        <item m="1" x="30"/>
        <item x="1"/>
        <item x="9"/>
        <item x="19"/>
        <item x="26"/>
        <item x="24"/>
        <item x="25"/>
        <item x="3"/>
        <item x="0"/>
      </items>
    </pivotField>
    <pivotField axis="axisRow" showAll="0" defaultSubtotal="0">
      <items count="7">
        <item x="2"/>
        <item x="6"/>
        <item x="5"/>
        <item x="1"/>
        <item x="4"/>
        <item x="3"/>
        <item x="0"/>
      </items>
    </pivotField>
    <pivotField showAll="0" defaultSubtotal="0"/>
    <pivotField axis="axisPage" multipleItemSelectionAllowed="1" showAll="0">
      <items count="9">
        <item x="7"/>
        <item h="1" x="0"/>
        <item h="1" x="6"/>
        <item h="1" x="1"/>
        <item h="1" x="5"/>
        <item x="2"/>
        <item h="1" x="4"/>
        <item h="1" x="3"/>
        <item t="default"/>
      </items>
    </pivotField>
    <pivotField dataField="1" showAll="0"/>
    <pivotField dataField="1" showAll="0"/>
    <pivotField dataField="1" showAll="0"/>
  </pivotFields>
  <rowFields count="3">
    <field x="2"/>
    <field x="4"/>
    <field x="3"/>
  </rowFields>
  <rowItems count="43">
    <i>
      <x v="3"/>
    </i>
    <i r="1">
      <x v="2"/>
    </i>
    <i r="2">
      <x/>
    </i>
    <i r="1">
      <x v="3"/>
    </i>
    <i r="2">
      <x v="23"/>
    </i>
    <i>
      <x v="4"/>
    </i>
    <i r="1">
      <x v="1"/>
    </i>
    <i r="2">
      <x v="6"/>
    </i>
    <i r="2">
      <x v="8"/>
    </i>
    <i r="2">
      <x v="24"/>
    </i>
    <i r="1">
      <x v="2"/>
    </i>
    <i r="2">
      <x v="1"/>
    </i>
    <i r="2">
      <x v="4"/>
    </i>
    <i r="2">
      <x v="10"/>
    </i>
    <i r="2">
      <x v="13"/>
    </i>
    <i r="2">
      <x v="15"/>
    </i>
    <i r="2">
      <x v="16"/>
    </i>
    <i r="2">
      <x v="26"/>
    </i>
    <i r="1">
      <x v="3"/>
    </i>
    <i r="2">
      <x v="23"/>
    </i>
    <i r="1">
      <x v="4"/>
    </i>
    <i r="2">
      <x v="3"/>
    </i>
    <i r="2">
      <x v="12"/>
    </i>
    <i r="2">
      <x v="27"/>
    </i>
    <i r="2">
      <x v="28"/>
    </i>
    <i>
      <x v="5"/>
    </i>
    <i r="1">
      <x v="1"/>
    </i>
    <i r="2">
      <x v="7"/>
    </i>
    <i r="2">
      <x v="8"/>
    </i>
    <i r="2">
      <x v="9"/>
    </i>
    <i r="2">
      <x v="25"/>
    </i>
    <i r="1">
      <x v="2"/>
    </i>
    <i r="2">
      <x v="2"/>
    </i>
    <i r="2">
      <x v="5"/>
    </i>
    <i r="2">
      <x v="11"/>
    </i>
    <i r="2">
      <x v="14"/>
    </i>
    <i r="2">
      <x v="18"/>
    </i>
    <i r="2">
      <x v="21"/>
    </i>
    <i r="1">
      <x v="3"/>
    </i>
    <i r="2">
      <x v="23"/>
    </i>
    <i r="1">
      <x v="4"/>
    </i>
    <i r="2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2 Total Actual CWIP Closings" fld="7" baseField="4" baseItem="0"/>
    <dataField name="Sum of JAK5 SEF16 Forecast CWIP Closings" fld="8" baseField="4" baseItem="0"/>
    <dataField name="Sum of Variance" fld="9" baseField="0" baseItem="0"/>
  </dataFields>
  <formats count="77">
    <format dxfId="193">
      <pivotArea grandRow="1" outline="0" collapsedLevelsAreSubtotals="1" fieldPosition="0"/>
    </format>
    <format dxfId="192">
      <pivotArea grandRow="1" outline="0" collapsedLevelsAreSubtotals="1" fieldPosition="0"/>
    </format>
    <format dxfId="191">
      <pivotArea grandRow="1" outline="0" collapsedLevelsAreSubtotals="1" fieldPosition="0"/>
    </format>
    <format dxfId="1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87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86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85">
      <pivotArea collapsedLevelsAreSubtotals="1" fieldPosition="0">
        <references count="1">
          <reference field="3" count="1">
            <x v="0"/>
          </reference>
        </references>
      </pivotArea>
    </format>
    <format dxfId="184">
      <pivotArea collapsedLevelsAreSubtotals="1" fieldPosition="0">
        <references count="1">
          <reference field="3" count="1">
            <x v="0"/>
          </reference>
        </references>
      </pivotArea>
    </format>
    <format dxfId="183">
      <pivotArea collapsedLevelsAreSubtotals="1" fieldPosition="0">
        <references count="1">
          <reference field="3" count="1">
            <x v="0"/>
          </reference>
        </references>
      </pivotArea>
    </format>
    <format dxfId="182">
      <pivotArea collapsedLevelsAreSubtotals="1" fieldPosition="0">
        <references count="1">
          <reference field="2" count="1">
            <x v="3"/>
          </reference>
        </references>
      </pivotArea>
    </format>
    <format dxfId="181">
      <pivotArea collapsedLevelsAreSubtotals="1" fieldPosition="0">
        <references count="1">
          <reference field="2" count="1">
            <x v="3"/>
          </reference>
        </references>
      </pivotArea>
    </format>
    <format dxfId="180">
      <pivotArea collapsedLevelsAreSubtotals="1" fieldPosition="0">
        <references count="1">
          <reference field="2" count="1">
            <x v="3"/>
          </reference>
        </references>
      </pivotArea>
    </format>
    <format dxfId="179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78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77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7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7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74">
      <pivotArea collapsedLevelsAreSubtotals="1" fieldPosition="0">
        <references count="1">
          <reference field="2" count="1">
            <x v="4"/>
          </reference>
        </references>
      </pivotArea>
    </format>
    <format dxfId="17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7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7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7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6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6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6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6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65">
      <pivotArea collapsedLevelsAreSubtotals="1" fieldPosition="0">
        <references count="1">
          <reference field="2" count="1">
            <x v="5"/>
          </reference>
        </references>
      </pivotArea>
    </format>
    <format dxfId="16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6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6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6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6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5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5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5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5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5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54">
      <pivotArea collapsedLevelsAreSubtotals="1" fieldPosition="0">
        <references count="1">
          <reference field="2" count="1">
            <x v="4"/>
          </reference>
        </references>
      </pivotArea>
    </format>
    <format dxfId="15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5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5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5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4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4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4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4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45">
      <pivotArea collapsedLevelsAreSubtotals="1" fieldPosition="0">
        <references count="1">
          <reference field="2" count="1">
            <x v="5"/>
          </reference>
        </references>
      </pivotArea>
    </format>
    <format dxfId="14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4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4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4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4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3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3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3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3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3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34">
      <pivotArea collapsedLevelsAreSubtotals="1" fieldPosition="0">
        <references count="1">
          <reference field="2" count="1">
            <x v="4"/>
          </reference>
        </references>
      </pivotArea>
    </format>
    <format dxfId="13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3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3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3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2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2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2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2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25">
      <pivotArea collapsedLevelsAreSubtotals="1" fieldPosition="0">
        <references count="1">
          <reference field="2" count="1">
            <x v="5"/>
          </reference>
        </references>
      </pivotArea>
    </format>
    <format dxfId="12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2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2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2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2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1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1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1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5" firstHeaderRow="0" firstDataRow="1" firstDataCol="1" rowPageCount="1" colPageCount="1"/>
  <pivotFields count="10">
    <pivotField showAll="0"/>
    <pivotField showAll="0"/>
    <pivotField showAll="0"/>
    <pivotField axis="axisRow" showAll="0" sortType="ascending">
      <items count="32">
        <item x="12"/>
        <item x="13"/>
        <item x="14"/>
        <item x="23"/>
        <item x="11"/>
        <item x="22"/>
        <item x="6"/>
        <item x="18"/>
        <item x="7"/>
        <item x="17"/>
        <item x="10"/>
        <item x="20"/>
        <item x="4"/>
        <item x="28"/>
        <item x="15"/>
        <item x="5"/>
        <item x="8"/>
        <item m="1" x="29"/>
        <item x="16"/>
        <item x="27"/>
        <item x="2"/>
        <item x="21"/>
        <item m="1" x="30"/>
        <item x="1"/>
        <item x="9"/>
        <item x="19"/>
        <item x="26"/>
        <item x="24"/>
        <item x="25"/>
        <item x="3"/>
        <item x="0"/>
        <item t="default"/>
      </items>
    </pivotField>
    <pivotField showAll="0"/>
    <pivotField axis="axisRow" showAll="0">
      <items count="21">
        <item m="1" x="15"/>
        <item m="1" x="14"/>
        <item m="1" x="16"/>
        <item x="0"/>
        <item m="1" x="19"/>
        <item m="1" x="18"/>
        <item m="1"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9">
        <item x="7"/>
        <item h="1" x="0"/>
        <item h="1" x="6"/>
        <item h="1" x="1"/>
        <item h="1" x="5"/>
        <item x="2"/>
        <item h="1" x="4"/>
        <item h="1" x="3"/>
        <item t="default"/>
      </items>
    </pivotField>
    <pivotField dataField="1" showAll="0"/>
    <pivotField dataField="1" showAll="0"/>
    <pivotField dataField="1" showAll="0"/>
  </pivotFields>
  <rowFields count="2">
    <field x="5"/>
    <field x="3"/>
  </rowFields>
  <rowItems count="42">
    <i>
      <x v="3"/>
    </i>
    <i r="1">
      <x v="4"/>
    </i>
    <i r="1">
      <x v="5"/>
    </i>
    <i r="1">
      <x v="12"/>
    </i>
    <i r="1">
      <x v="13"/>
    </i>
    <i r="1">
      <x v="19"/>
    </i>
    <i r="1">
      <x v="26"/>
    </i>
    <i>
      <x v="7"/>
    </i>
    <i r="1">
      <x v="23"/>
    </i>
    <i>
      <x v="8"/>
    </i>
    <i r="1">
      <x v="15"/>
    </i>
    <i>
      <x v="9"/>
    </i>
    <i r="1">
      <x v="6"/>
    </i>
    <i r="1">
      <x v="8"/>
    </i>
    <i r="1">
      <x v="24"/>
    </i>
    <i>
      <x v="10"/>
    </i>
    <i r="1">
      <x v="7"/>
    </i>
    <i r="1">
      <x v="8"/>
    </i>
    <i r="1">
      <x v="9"/>
    </i>
    <i r="1">
      <x v="25"/>
    </i>
    <i>
      <x v="11"/>
    </i>
    <i r="1">
      <x v="16"/>
    </i>
    <i>
      <x v="12"/>
    </i>
    <i r="1">
      <x v="10"/>
    </i>
    <i r="1">
      <x v="11"/>
    </i>
    <i>
      <x v="13"/>
    </i>
    <i r="1">
      <x/>
    </i>
    <i r="1">
      <x v="1"/>
    </i>
    <i r="1">
      <x v="2"/>
    </i>
    <i>
      <x v="14"/>
    </i>
    <i r="1">
      <x v="14"/>
    </i>
    <i>
      <x v="15"/>
    </i>
    <i r="1">
      <x v="18"/>
    </i>
    <i>
      <x v="16"/>
    </i>
    <i r="1">
      <x v="21"/>
    </i>
    <i>
      <x v="17"/>
    </i>
    <i r="1">
      <x v="3"/>
    </i>
    <i>
      <x v="18"/>
    </i>
    <i r="1">
      <x v="27"/>
    </i>
    <i>
      <x v="19"/>
    </i>
    <i r="1"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2 Total Actual CWIP Closings" fld="7" baseField="3" baseItem="1"/>
    <dataField name="Sum of JAK5 SEF16 Forecast CWIP Closings" fld="8" baseField="3" baseItem="1"/>
    <dataField name="Sum of Variance" fld="9" baseField="0" baseItem="0"/>
  </dataFields>
  <formats count="117"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13">
      <pivotArea collapsedLevelsAreSubtotals="1" fieldPosition="0">
        <references count="1">
          <reference field="5" count="1">
            <x v="1"/>
          </reference>
        </references>
      </pivotArea>
    </format>
    <format dxfId="112">
      <pivotArea collapsedLevelsAreSubtotals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1">
      <pivotArea collapsedLevelsAreSubtotals="1" fieldPosition="0">
        <references count="1">
          <reference field="5" count="1">
            <x v="2"/>
          </reference>
        </references>
      </pivotArea>
    </format>
    <format dxfId="110">
      <pivotArea collapsedLevelsAreSubtotals="1" fieldPosition="0">
        <references count="2">
          <reference field="3" count="6">
            <x v="6"/>
            <x v="7"/>
            <x v="8"/>
            <x v="9"/>
            <x v="24"/>
            <x v="25"/>
          </reference>
          <reference field="5" count="1" selected="0">
            <x v="2"/>
          </reference>
        </references>
      </pivotArea>
    </format>
    <format dxfId="109">
      <pivotArea collapsedLevelsAreSubtotals="1" fieldPosition="0">
        <references count="1">
          <reference field="5" count="1">
            <x v="3"/>
          </reference>
        </references>
      </pivotArea>
    </format>
    <format dxfId="108">
      <pivotArea collapsedLevelsAreSubtotals="1" fieldPosition="0">
        <references count="2">
          <reference field="3" count="19">
            <x v="4"/>
            <x v="5"/>
            <x v="10"/>
            <x v="11"/>
            <x v="12"/>
            <x v="13"/>
            <x v="14"/>
            <x v="15"/>
            <x v="16"/>
            <x v="18"/>
            <x v="19"/>
            <x v="20"/>
            <x v="21"/>
            <x v="23"/>
            <x v="26"/>
            <x v="27"/>
            <x v="28"/>
            <x v="29"/>
            <x v="30"/>
          </reference>
          <reference field="5" count="1" selected="0">
            <x v="3"/>
          </reference>
        </references>
      </pivotArea>
    </format>
    <format dxfId="107">
      <pivotArea grandRow="1" outline="0" collapsedLevelsAreSubtotals="1" fieldPosition="0"/>
    </format>
    <format dxfId="106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05">
      <pivotArea collapsedLevelsAreSubtotals="1" fieldPosition="0">
        <references count="1">
          <reference field="5" count="1">
            <x v="1"/>
          </reference>
        </references>
      </pivotArea>
    </format>
    <format dxfId="104">
      <pivotArea collapsedLevelsAreSubtotals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03">
      <pivotArea collapsedLevelsAreSubtotals="1" fieldPosition="0">
        <references count="1">
          <reference field="5" count="1">
            <x v="2"/>
          </reference>
        </references>
      </pivotArea>
    </format>
    <format dxfId="102">
      <pivotArea collapsedLevelsAreSubtotals="1" fieldPosition="0">
        <references count="2">
          <reference field="3" count="6">
            <x v="6"/>
            <x v="7"/>
            <x v="8"/>
            <x v="9"/>
            <x v="24"/>
            <x v="25"/>
          </reference>
          <reference field="5" count="1" selected="0">
            <x v="2"/>
          </reference>
        </references>
      </pivotArea>
    </format>
    <format dxfId="101">
      <pivotArea collapsedLevelsAreSubtotals="1" fieldPosition="0">
        <references count="1">
          <reference field="5" count="1">
            <x v="3"/>
          </reference>
        </references>
      </pivotArea>
    </format>
    <format dxfId="100">
      <pivotArea collapsedLevelsAreSubtotals="1" fieldPosition="0">
        <references count="2">
          <reference field="3" count="19">
            <x v="4"/>
            <x v="5"/>
            <x v="10"/>
            <x v="11"/>
            <x v="12"/>
            <x v="13"/>
            <x v="14"/>
            <x v="15"/>
            <x v="16"/>
            <x v="18"/>
            <x v="19"/>
            <x v="20"/>
            <x v="21"/>
            <x v="23"/>
            <x v="26"/>
            <x v="27"/>
            <x v="28"/>
            <x v="29"/>
            <x v="30"/>
          </reference>
          <reference field="5" count="1" selected="0">
            <x v="3"/>
          </reference>
        </references>
      </pivotArea>
    </format>
    <format dxfId="99">
      <pivotArea grandRow="1" outline="0" collapsedLevelsAreSubtotals="1" fieldPosition="0"/>
    </format>
    <format dxfId="98">
      <pivotArea collapsedLevelsAreSubtotals="1" fieldPosition="0">
        <references count="1">
          <reference field="5" count="1">
            <x v="0"/>
          </reference>
        </references>
      </pivotArea>
    </format>
    <format dxfId="97">
      <pivotArea collapsedLevelsAreSubtotals="1" fieldPosition="0">
        <references count="1">
          <reference field="5" count="1">
            <x v="0"/>
          </reference>
        </references>
      </pivotArea>
    </format>
    <format dxfId="96">
      <pivotArea collapsedLevelsAreSubtotals="1" fieldPosition="0">
        <references count="1">
          <reference field="5" count="1">
            <x v="0"/>
          </reference>
        </references>
      </pivotArea>
    </format>
    <format dxfId="95">
      <pivotArea collapsedLevelsAreSubtotals="1" fieldPosition="0">
        <references count="1">
          <reference field="5" count="1">
            <x v="4"/>
          </reference>
        </references>
      </pivotArea>
    </format>
    <format dxfId="94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4"/>
          </reference>
        </references>
      </pivotArea>
    </format>
    <format dxfId="93">
      <pivotArea collapsedLevelsAreSubtotals="1" fieldPosition="0">
        <references count="1">
          <reference field="5" count="1">
            <x v="4"/>
          </reference>
        </references>
      </pivotArea>
    </format>
    <format dxfId="92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4"/>
          </reference>
        </references>
      </pivotArea>
    </format>
    <format dxfId="91">
      <pivotArea collapsedLevelsAreSubtotals="1" fieldPosition="0">
        <references count="1">
          <reference field="5" count="1">
            <x v="4"/>
          </reference>
        </references>
      </pivotArea>
    </format>
    <format dxfId="90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4"/>
          </reference>
        </references>
      </pivotArea>
    </format>
    <format dxfId="89">
      <pivotArea collapsedLevelsAreSubtotals="1" fieldPosition="0">
        <references count="1">
          <reference field="5" count="1">
            <x v="5"/>
          </reference>
        </references>
      </pivotArea>
    </format>
    <format dxfId="88">
      <pivotArea collapsedLevelsAreSubtotals="1" fieldPosition="0">
        <references count="2">
          <reference field="3" count="1">
            <x v="23"/>
          </reference>
          <reference field="5" count="1" selected="0">
            <x v="5"/>
          </reference>
        </references>
      </pivotArea>
    </format>
    <format dxfId="87">
      <pivotArea collapsedLevelsAreSubtotals="1" fieldPosition="0">
        <references count="1">
          <reference field="5" count="1">
            <x v="6"/>
          </reference>
        </references>
      </pivotArea>
    </format>
    <format dxfId="86">
      <pivotArea collapsedLevelsAreSubtotals="1" fieldPosition="0">
        <references count="2">
          <reference field="3" count="1">
            <x v="21"/>
          </reference>
          <reference field="5" count="1" selected="0">
            <x v="6"/>
          </reference>
        </references>
      </pivotArea>
    </format>
    <format dxfId="85">
      <pivotArea collapsedLevelsAreSubtotals="1" fieldPosition="0">
        <references count="1">
          <reference field="5" count="1">
            <x v="5"/>
          </reference>
        </references>
      </pivotArea>
    </format>
    <format dxfId="84">
      <pivotArea collapsedLevelsAreSubtotals="1" fieldPosition="0">
        <references count="2">
          <reference field="3" count="1">
            <x v="23"/>
          </reference>
          <reference field="5" count="1" selected="0">
            <x v="5"/>
          </reference>
        </references>
      </pivotArea>
    </format>
    <format dxfId="83">
      <pivotArea collapsedLevelsAreSubtotals="1" fieldPosition="0">
        <references count="1">
          <reference field="5" count="1">
            <x v="6"/>
          </reference>
        </references>
      </pivotArea>
    </format>
    <format dxfId="82">
      <pivotArea collapsedLevelsAreSubtotals="1" fieldPosition="0">
        <references count="2">
          <reference field="3" count="1">
            <x v="21"/>
          </reference>
          <reference field="5" count="1" selected="0">
            <x v="6"/>
          </reference>
        </references>
      </pivotArea>
    </format>
    <format dxfId="81">
      <pivotArea collapsedLevelsAreSubtotals="1" fieldPosition="0">
        <references count="1">
          <reference field="5" count="1">
            <x v="5"/>
          </reference>
        </references>
      </pivotArea>
    </format>
    <format dxfId="80">
      <pivotArea collapsedLevelsAreSubtotals="1" fieldPosition="0">
        <references count="2">
          <reference field="3" count="1">
            <x v="23"/>
          </reference>
          <reference field="5" count="1" selected="0">
            <x v="5"/>
          </reference>
        </references>
      </pivotArea>
    </format>
    <format dxfId="79">
      <pivotArea collapsedLevelsAreSubtotals="1" fieldPosition="0">
        <references count="1">
          <reference field="5" count="1">
            <x v="6"/>
          </reference>
        </references>
      </pivotArea>
    </format>
    <format dxfId="78">
      <pivotArea collapsedLevelsAreSubtotals="1" fieldPosition="0">
        <references count="2">
          <reference field="3" count="1">
            <x v="21"/>
          </reference>
          <reference field="5" count="1" selected="0">
            <x v="6"/>
          </reference>
        </references>
      </pivotArea>
    </format>
    <format dxfId="77">
      <pivotArea collapsedLevelsAreSubtotals="1" fieldPosition="0">
        <references count="1">
          <reference field="5" count="1">
            <x v="7"/>
          </reference>
        </references>
      </pivotArea>
    </format>
    <format dxfId="76">
      <pivotArea collapsedLevelsAreSubtotals="1" fieldPosition="0">
        <references count="2">
          <reference field="3" count="1">
            <x v="23"/>
          </reference>
          <reference field="5" count="1" selected="0">
            <x v="7"/>
          </reference>
        </references>
      </pivotArea>
    </format>
    <format dxfId="75">
      <pivotArea collapsedLevelsAreSubtotals="1" fieldPosition="0">
        <references count="1">
          <reference field="5" count="1">
            <x v="8"/>
          </reference>
        </references>
      </pivotArea>
    </format>
    <format dxfId="74">
      <pivotArea collapsedLevelsAreSubtotals="1" fieldPosition="0">
        <references count="2">
          <reference field="3" count="1">
            <x v="15"/>
          </reference>
          <reference field="5" count="1" selected="0">
            <x v="8"/>
          </reference>
        </references>
      </pivotArea>
    </format>
    <format dxfId="73">
      <pivotArea collapsedLevelsAreSubtotals="1" fieldPosition="0">
        <references count="1">
          <reference field="5" count="1">
            <x v="9"/>
          </reference>
        </references>
      </pivotArea>
    </format>
    <format dxfId="72">
      <pivotArea collapsedLevelsAreSubtotals="1" fieldPosition="0">
        <references count="2">
          <reference field="3" count="3">
            <x v="6"/>
            <x v="8"/>
            <x v="24"/>
          </reference>
          <reference field="5" count="1" selected="0">
            <x v="9"/>
          </reference>
        </references>
      </pivotArea>
    </format>
    <format dxfId="71">
      <pivotArea collapsedLevelsAreSubtotals="1" fieldPosition="0">
        <references count="1">
          <reference field="5" count="1">
            <x v="10"/>
          </reference>
        </references>
      </pivotArea>
    </format>
    <format dxfId="70">
      <pivotArea collapsedLevelsAreSubtotals="1" fieldPosition="0">
        <references count="2">
          <reference field="3" count="4">
            <x v="7"/>
            <x v="8"/>
            <x v="9"/>
            <x v="25"/>
          </reference>
          <reference field="5" count="1" selected="0">
            <x v="10"/>
          </reference>
        </references>
      </pivotArea>
    </format>
    <format dxfId="69">
      <pivotArea collapsedLevelsAreSubtotals="1" fieldPosition="0">
        <references count="1">
          <reference field="5" count="1">
            <x v="11"/>
          </reference>
        </references>
      </pivotArea>
    </format>
    <format dxfId="68">
      <pivotArea collapsedLevelsAreSubtotals="1" fieldPosition="0">
        <references count="2">
          <reference field="3" count="1">
            <x v="16"/>
          </reference>
          <reference field="5" count="1" selected="0">
            <x v="11"/>
          </reference>
        </references>
      </pivotArea>
    </format>
    <format dxfId="67">
      <pivotArea collapsedLevelsAreSubtotals="1" fieldPosition="0">
        <references count="1">
          <reference field="5" count="1">
            <x v="12"/>
          </reference>
        </references>
      </pivotArea>
    </format>
    <format dxfId="66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12"/>
          </reference>
        </references>
      </pivotArea>
    </format>
    <format dxfId="65">
      <pivotArea collapsedLevelsAreSubtotals="1" fieldPosition="0">
        <references count="1">
          <reference field="5" count="1">
            <x v="13"/>
          </reference>
        </references>
      </pivotArea>
    </format>
    <format dxfId="64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63">
      <pivotArea collapsedLevelsAreSubtotals="1" fieldPosition="0">
        <references count="1">
          <reference field="5" count="1">
            <x v="14"/>
          </reference>
        </references>
      </pivotArea>
    </format>
    <format dxfId="62">
      <pivotArea collapsedLevelsAreSubtotals="1" fieldPosition="0">
        <references count="2">
          <reference field="3" count="1">
            <x v="14"/>
          </reference>
          <reference field="5" count="1" selected="0">
            <x v="14"/>
          </reference>
        </references>
      </pivotArea>
    </format>
    <format dxfId="61">
      <pivotArea collapsedLevelsAreSubtotals="1" fieldPosition="0">
        <references count="1">
          <reference field="5" count="1">
            <x v="15"/>
          </reference>
        </references>
      </pivotArea>
    </format>
    <format dxfId="60">
      <pivotArea collapsedLevelsAreSubtotals="1" fieldPosition="0">
        <references count="2">
          <reference field="3" count="1">
            <x v="18"/>
          </reference>
          <reference field="5" count="1" selected="0">
            <x v="15"/>
          </reference>
        </references>
      </pivotArea>
    </format>
    <format dxfId="59">
      <pivotArea collapsedLevelsAreSubtotals="1" fieldPosition="0">
        <references count="1">
          <reference field="5" count="1">
            <x v="16"/>
          </reference>
        </references>
      </pivotArea>
    </format>
    <format dxfId="58">
      <pivotArea collapsedLevelsAreSubtotals="1" fieldPosition="0">
        <references count="2">
          <reference field="3" count="1">
            <x v="21"/>
          </reference>
          <reference field="5" count="1" selected="0">
            <x v="16"/>
          </reference>
        </references>
      </pivotArea>
    </format>
    <format dxfId="57">
      <pivotArea collapsedLevelsAreSubtotals="1" fieldPosition="0">
        <references count="1">
          <reference field="5" count="1">
            <x v="17"/>
          </reference>
        </references>
      </pivotArea>
    </format>
    <format dxfId="56">
      <pivotArea collapsedLevelsAreSubtotals="1" fieldPosition="0">
        <references count="2">
          <reference field="3" count="1">
            <x v="3"/>
          </reference>
          <reference field="5" count="1" selected="0">
            <x v="17"/>
          </reference>
        </references>
      </pivotArea>
    </format>
    <format dxfId="55">
      <pivotArea collapsedLevelsAreSubtotals="1" fieldPosition="0">
        <references count="1">
          <reference field="5" count="1">
            <x v="7"/>
          </reference>
        </references>
      </pivotArea>
    </format>
    <format dxfId="54">
      <pivotArea collapsedLevelsAreSubtotals="1" fieldPosition="0">
        <references count="2">
          <reference field="3" count="1">
            <x v="23"/>
          </reference>
          <reference field="5" count="1" selected="0">
            <x v="7"/>
          </reference>
        </references>
      </pivotArea>
    </format>
    <format dxfId="53">
      <pivotArea collapsedLevelsAreSubtotals="1" fieldPosition="0">
        <references count="1">
          <reference field="5" count="1">
            <x v="8"/>
          </reference>
        </references>
      </pivotArea>
    </format>
    <format dxfId="52">
      <pivotArea collapsedLevelsAreSubtotals="1" fieldPosition="0">
        <references count="2">
          <reference field="3" count="1">
            <x v="15"/>
          </reference>
          <reference field="5" count="1" selected="0">
            <x v="8"/>
          </reference>
        </references>
      </pivotArea>
    </format>
    <format dxfId="51">
      <pivotArea collapsedLevelsAreSubtotals="1" fieldPosition="0">
        <references count="1">
          <reference field="5" count="1">
            <x v="9"/>
          </reference>
        </references>
      </pivotArea>
    </format>
    <format dxfId="50">
      <pivotArea collapsedLevelsAreSubtotals="1" fieldPosition="0">
        <references count="2">
          <reference field="3" count="3">
            <x v="6"/>
            <x v="8"/>
            <x v="24"/>
          </reference>
          <reference field="5" count="1" selected="0">
            <x v="9"/>
          </reference>
        </references>
      </pivotArea>
    </format>
    <format dxfId="49">
      <pivotArea collapsedLevelsAreSubtotals="1" fieldPosition="0">
        <references count="1">
          <reference field="5" count="1">
            <x v="10"/>
          </reference>
        </references>
      </pivotArea>
    </format>
    <format dxfId="48">
      <pivotArea collapsedLevelsAreSubtotals="1" fieldPosition="0">
        <references count="2">
          <reference field="3" count="4">
            <x v="7"/>
            <x v="8"/>
            <x v="9"/>
            <x v="25"/>
          </reference>
          <reference field="5" count="1" selected="0">
            <x v="10"/>
          </reference>
        </references>
      </pivotArea>
    </format>
    <format dxfId="47">
      <pivotArea collapsedLevelsAreSubtotals="1" fieldPosition="0">
        <references count="1">
          <reference field="5" count="1">
            <x v="11"/>
          </reference>
        </references>
      </pivotArea>
    </format>
    <format dxfId="46">
      <pivotArea collapsedLevelsAreSubtotals="1" fieldPosition="0">
        <references count="2">
          <reference field="3" count="1">
            <x v="16"/>
          </reference>
          <reference field="5" count="1" selected="0">
            <x v="11"/>
          </reference>
        </references>
      </pivotArea>
    </format>
    <format dxfId="45">
      <pivotArea collapsedLevelsAreSubtotals="1" fieldPosition="0">
        <references count="1">
          <reference field="5" count="1">
            <x v="12"/>
          </reference>
        </references>
      </pivotArea>
    </format>
    <format dxfId="44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12"/>
          </reference>
        </references>
      </pivotArea>
    </format>
    <format dxfId="43">
      <pivotArea collapsedLevelsAreSubtotals="1" fieldPosition="0">
        <references count="1">
          <reference field="5" count="1">
            <x v="13"/>
          </reference>
        </references>
      </pivotArea>
    </format>
    <format dxfId="42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41">
      <pivotArea collapsedLevelsAreSubtotals="1" fieldPosition="0">
        <references count="1">
          <reference field="5" count="1">
            <x v="14"/>
          </reference>
        </references>
      </pivotArea>
    </format>
    <format dxfId="40">
      <pivotArea collapsedLevelsAreSubtotals="1" fieldPosition="0">
        <references count="2">
          <reference field="3" count="1">
            <x v="14"/>
          </reference>
          <reference field="5" count="1" selected="0">
            <x v="14"/>
          </reference>
        </references>
      </pivotArea>
    </format>
    <format dxfId="39">
      <pivotArea collapsedLevelsAreSubtotals="1" fieldPosition="0">
        <references count="1">
          <reference field="5" count="1">
            <x v="15"/>
          </reference>
        </references>
      </pivotArea>
    </format>
    <format dxfId="38">
      <pivotArea collapsedLevelsAreSubtotals="1" fieldPosition="0">
        <references count="2">
          <reference field="3" count="1">
            <x v="18"/>
          </reference>
          <reference field="5" count="1" selected="0">
            <x v="15"/>
          </reference>
        </references>
      </pivotArea>
    </format>
    <format dxfId="37">
      <pivotArea collapsedLevelsAreSubtotals="1" fieldPosition="0">
        <references count="1">
          <reference field="5" count="1">
            <x v="16"/>
          </reference>
        </references>
      </pivotArea>
    </format>
    <format dxfId="36">
      <pivotArea collapsedLevelsAreSubtotals="1" fieldPosition="0">
        <references count="2">
          <reference field="3" count="1">
            <x v="21"/>
          </reference>
          <reference field="5" count="1" selected="0">
            <x v="16"/>
          </reference>
        </references>
      </pivotArea>
    </format>
    <format dxfId="35">
      <pivotArea collapsedLevelsAreSubtotals="1" fieldPosition="0">
        <references count="1">
          <reference field="5" count="1">
            <x v="17"/>
          </reference>
        </references>
      </pivotArea>
    </format>
    <format dxfId="34">
      <pivotArea collapsedLevelsAreSubtotals="1" fieldPosition="0">
        <references count="2">
          <reference field="3" count="1">
            <x v="3"/>
          </reference>
          <reference field="5" count="1" selected="0">
            <x v="17"/>
          </reference>
        </references>
      </pivotArea>
    </format>
    <format dxfId="33">
      <pivotArea collapsedLevelsAreSubtotals="1" fieldPosition="0">
        <references count="1">
          <reference field="5" count="1">
            <x v="7"/>
          </reference>
        </references>
      </pivotArea>
    </format>
    <format dxfId="32">
      <pivotArea collapsedLevelsAreSubtotals="1" fieldPosition="0">
        <references count="2">
          <reference field="3" count="1">
            <x v="23"/>
          </reference>
          <reference field="5" count="1" selected="0">
            <x v="7"/>
          </reference>
        </references>
      </pivotArea>
    </format>
    <format dxfId="31">
      <pivotArea collapsedLevelsAreSubtotals="1" fieldPosition="0">
        <references count="1">
          <reference field="5" count="1">
            <x v="8"/>
          </reference>
        </references>
      </pivotArea>
    </format>
    <format dxfId="30">
      <pivotArea collapsedLevelsAreSubtotals="1" fieldPosition="0">
        <references count="2">
          <reference field="3" count="1">
            <x v="15"/>
          </reference>
          <reference field="5" count="1" selected="0">
            <x v="8"/>
          </reference>
        </references>
      </pivotArea>
    </format>
    <format dxfId="29">
      <pivotArea collapsedLevelsAreSubtotals="1" fieldPosition="0">
        <references count="1">
          <reference field="5" count="1">
            <x v="9"/>
          </reference>
        </references>
      </pivotArea>
    </format>
    <format dxfId="28">
      <pivotArea collapsedLevelsAreSubtotals="1" fieldPosition="0">
        <references count="2">
          <reference field="3" count="3">
            <x v="6"/>
            <x v="8"/>
            <x v="24"/>
          </reference>
          <reference field="5" count="1" selected="0">
            <x v="9"/>
          </reference>
        </references>
      </pivotArea>
    </format>
    <format dxfId="27">
      <pivotArea collapsedLevelsAreSubtotals="1" fieldPosition="0">
        <references count="1">
          <reference field="5" count="1">
            <x v="10"/>
          </reference>
        </references>
      </pivotArea>
    </format>
    <format dxfId="26">
      <pivotArea collapsedLevelsAreSubtotals="1" fieldPosition="0">
        <references count="2">
          <reference field="3" count="4">
            <x v="7"/>
            <x v="8"/>
            <x v="9"/>
            <x v="25"/>
          </reference>
          <reference field="5" count="1" selected="0">
            <x v="10"/>
          </reference>
        </references>
      </pivotArea>
    </format>
    <format dxfId="25">
      <pivotArea collapsedLevelsAreSubtotals="1" fieldPosition="0">
        <references count="1">
          <reference field="5" count="1">
            <x v="11"/>
          </reference>
        </references>
      </pivotArea>
    </format>
    <format dxfId="24">
      <pivotArea collapsedLevelsAreSubtotals="1" fieldPosition="0">
        <references count="2">
          <reference field="3" count="1">
            <x v="16"/>
          </reference>
          <reference field="5" count="1" selected="0">
            <x v="11"/>
          </reference>
        </references>
      </pivotArea>
    </format>
    <format dxfId="23">
      <pivotArea collapsedLevelsAreSubtotals="1" fieldPosition="0">
        <references count="1">
          <reference field="5" count="1">
            <x v="12"/>
          </reference>
        </references>
      </pivotArea>
    </format>
    <format dxfId="22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12"/>
          </reference>
        </references>
      </pivotArea>
    </format>
    <format dxfId="21">
      <pivotArea collapsedLevelsAreSubtotals="1" fieldPosition="0">
        <references count="1">
          <reference field="5" count="1">
            <x v="13"/>
          </reference>
        </references>
      </pivotArea>
    </format>
    <format dxfId="20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19">
      <pivotArea collapsedLevelsAreSubtotals="1" fieldPosition="0">
        <references count="1">
          <reference field="5" count="1">
            <x v="14"/>
          </reference>
        </references>
      </pivotArea>
    </format>
    <format dxfId="18">
      <pivotArea collapsedLevelsAreSubtotals="1" fieldPosition="0">
        <references count="2">
          <reference field="3" count="1">
            <x v="14"/>
          </reference>
          <reference field="5" count="1" selected="0">
            <x v="14"/>
          </reference>
        </references>
      </pivotArea>
    </format>
    <format dxfId="17">
      <pivotArea collapsedLevelsAreSubtotals="1" fieldPosition="0">
        <references count="1">
          <reference field="5" count="1">
            <x v="15"/>
          </reference>
        </references>
      </pivotArea>
    </format>
    <format dxfId="16">
      <pivotArea collapsedLevelsAreSubtotals="1" fieldPosition="0">
        <references count="2">
          <reference field="3" count="1">
            <x v="18"/>
          </reference>
          <reference field="5" count="1" selected="0">
            <x v="15"/>
          </reference>
        </references>
      </pivotArea>
    </format>
    <format dxfId="15">
      <pivotArea collapsedLevelsAreSubtotals="1" fieldPosition="0">
        <references count="1">
          <reference field="5" count="1">
            <x v="16"/>
          </reference>
        </references>
      </pivotArea>
    </format>
    <format dxfId="14">
      <pivotArea collapsedLevelsAreSubtotals="1" fieldPosition="0">
        <references count="2">
          <reference field="3" count="1">
            <x v="21"/>
          </reference>
          <reference field="5" count="1" selected="0">
            <x v="16"/>
          </reference>
        </references>
      </pivotArea>
    </format>
    <format dxfId="13">
      <pivotArea collapsedLevelsAreSubtotals="1" fieldPosition="0">
        <references count="1">
          <reference field="5" count="1">
            <x v="17"/>
          </reference>
        </references>
      </pivotArea>
    </format>
    <format dxfId="12">
      <pivotArea collapsedLevelsAreSubtotals="1" fieldPosition="0">
        <references count="2">
          <reference field="3" count="1">
            <x v="3"/>
          </reference>
          <reference field="5" count="1" selected="0">
            <x v="17"/>
          </reference>
        </references>
      </pivotArea>
    </format>
    <format dxfId="11">
      <pivotArea collapsedLevelsAreSubtotals="1" fieldPosition="0">
        <references count="1">
          <reference field="5" count="1">
            <x v="18"/>
          </reference>
        </references>
      </pivotArea>
    </format>
    <format dxfId="10">
      <pivotArea collapsedLevelsAreSubtotals="1" fieldPosition="0">
        <references count="2">
          <reference field="3" count="1">
            <x v="27"/>
          </reference>
          <reference field="5" count="1" selected="0">
            <x v="18"/>
          </reference>
        </references>
      </pivotArea>
    </format>
    <format dxfId="9">
      <pivotArea collapsedLevelsAreSubtotals="1" fieldPosition="0">
        <references count="1">
          <reference field="5" count="1">
            <x v="19"/>
          </reference>
        </references>
      </pivotArea>
    </format>
    <format dxfId="8">
      <pivotArea collapsedLevelsAreSubtotals="1" fieldPosition="0">
        <references count="2">
          <reference field="3" count="1">
            <x v="28"/>
          </reference>
          <reference field="5" count="1" selected="0">
            <x v="19"/>
          </reference>
        </references>
      </pivotArea>
    </format>
    <format dxfId="7">
      <pivotArea collapsedLevelsAreSubtotals="1" fieldPosition="0">
        <references count="1">
          <reference field="5" count="1">
            <x v="18"/>
          </reference>
        </references>
      </pivotArea>
    </format>
    <format dxfId="6">
      <pivotArea collapsedLevelsAreSubtotals="1" fieldPosition="0">
        <references count="2">
          <reference field="3" count="1">
            <x v="27"/>
          </reference>
          <reference field="5" count="1" selected="0">
            <x v="18"/>
          </reference>
        </references>
      </pivotArea>
    </format>
    <format dxfId="5">
      <pivotArea collapsedLevelsAreSubtotals="1" fieldPosition="0">
        <references count="1">
          <reference field="5" count="1">
            <x v="19"/>
          </reference>
        </references>
      </pivotArea>
    </format>
    <format dxfId="4">
      <pivotArea collapsedLevelsAreSubtotals="1" fieldPosition="0">
        <references count="2">
          <reference field="3" count="1">
            <x v="28"/>
          </reference>
          <reference field="5" count="1" selected="0">
            <x v="19"/>
          </reference>
        </references>
      </pivotArea>
    </format>
    <format dxfId="3">
      <pivotArea collapsedLevelsAreSubtotals="1" fieldPosition="0">
        <references count="1">
          <reference field="5" count="1">
            <x v="18"/>
          </reference>
        </references>
      </pivotArea>
    </format>
    <format dxfId="2">
      <pivotArea collapsedLevelsAreSubtotals="1" fieldPosition="0">
        <references count="2">
          <reference field="3" count="1">
            <x v="27"/>
          </reference>
          <reference field="5" count="1" selected="0">
            <x v="18"/>
          </reference>
        </references>
      </pivotArea>
    </format>
    <format dxfId="1">
      <pivotArea collapsedLevelsAreSubtotals="1" fieldPosition="0">
        <references count="1">
          <reference field="5" count="1">
            <x v="19"/>
          </reference>
        </references>
      </pivotArea>
    </format>
    <format dxfId="0">
      <pivotArea collapsedLevelsAreSubtotals="1" fieldPosition="0">
        <references count="2">
          <reference field="3" count="1">
            <x v="28"/>
          </reference>
          <reference field="5" count="1" selected="0"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45"/>
  <sheetViews>
    <sheetView zoomScaleNormal="100" workbookViewId="0">
      <pane xSplit="5" ySplit="4" topLeftCell="F5" activePane="bottomRight" state="frozen"/>
      <selection activeCell="J16" sqref="J16"/>
      <selection pane="topRight" activeCell="J16" sqref="J16"/>
      <selection pane="bottomLeft" activeCell="J16" sqref="J16"/>
      <selection pane="bottomRight" activeCell="D161" sqref="D161"/>
    </sheetView>
  </sheetViews>
  <sheetFormatPr defaultRowHeight="15" outlineLevelCol="1" x14ac:dyDescent="0.25"/>
  <cols>
    <col min="1" max="1" width="22.7109375" customWidth="1"/>
    <col min="2" max="2" width="57.42578125" bestFit="1" customWidth="1"/>
    <col min="3" max="3" width="11.5703125" bestFit="1" customWidth="1"/>
    <col min="4" max="4" width="33.28515625" customWidth="1" outlineLevel="1"/>
    <col min="5" max="5" width="29.140625" customWidth="1" outlineLevel="1"/>
    <col min="6" max="6" width="16" customWidth="1" outlineLevel="1"/>
    <col min="7" max="7" width="15.5703125" customWidth="1"/>
    <col min="8" max="8" width="20" bestFit="1" customWidth="1"/>
    <col min="9" max="10" width="20" customWidth="1"/>
    <col min="11" max="11" width="67.7109375" bestFit="1" customWidth="1"/>
    <col min="12" max="12" width="15.28515625" bestFit="1" customWidth="1"/>
    <col min="13" max="13" width="13.28515625" bestFit="1" customWidth="1"/>
    <col min="14" max="14" width="11.5703125" bestFit="1" customWidth="1"/>
  </cols>
  <sheetData>
    <row r="1" spans="1:11" ht="17.25" thickTop="1" thickBot="1" x14ac:dyDescent="0.3">
      <c r="A1" s="60" t="s">
        <v>216</v>
      </c>
      <c r="H1" s="279">
        <f>SUM(H5:H442)</f>
        <v>-754825958.62</v>
      </c>
      <c r="I1" s="279">
        <f>SUM(I5:I442)</f>
        <v>-763426925.05589962</v>
      </c>
      <c r="J1" s="279">
        <f>SUM(J5:J442)</f>
        <v>8600966.4358996525</v>
      </c>
    </row>
    <row r="2" spans="1:11" ht="16.5" thickTop="1" x14ac:dyDescent="0.25">
      <c r="A2" s="60" t="s">
        <v>217</v>
      </c>
      <c r="J2" s="233" t="s">
        <v>218</v>
      </c>
    </row>
    <row r="3" spans="1:11" x14ac:dyDescent="0.25">
      <c r="J3" s="233" t="s">
        <v>219</v>
      </c>
    </row>
    <row r="4" spans="1:11" ht="30" x14ac:dyDescent="0.25">
      <c r="A4" s="234" t="s">
        <v>220</v>
      </c>
      <c r="B4" s="234" t="s">
        <v>221</v>
      </c>
      <c r="C4" s="234" t="s">
        <v>1106</v>
      </c>
      <c r="D4" s="234" t="s">
        <v>1119</v>
      </c>
      <c r="E4" s="234" t="s">
        <v>45</v>
      </c>
      <c r="F4" s="234" t="s">
        <v>1140</v>
      </c>
      <c r="G4" s="234" t="s">
        <v>222</v>
      </c>
      <c r="H4" s="235" t="s">
        <v>223</v>
      </c>
      <c r="I4" s="235" t="s">
        <v>224</v>
      </c>
      <c r="J4" s="234" t="s">
        <v>225</v>
      </c>
      <c r="K4" s="234" t="s">
        <v>226</v>
      </c>
    </row>
    <row r="5" spans="1:11" hidden="1" x14ac:dyDescent="0.25">
      <c r="A5" s="2" t="s">
        <v>227</v>
      </c>
      <c r="B5" s="2" t="s">
        <v>228</v>
      </c>
      <c r="C5" s="2" t="s">
        <v>1110</v>
      </c>
      <c r="D5" s="2"/>
      <c r="E5" s="2"/>
      <c r="F5" s="267"/>
      <c r="G5" s="2" t="s">
        <v>210</v>
      </c>
      <c r="H5" s="277">
        <v>-4226582.16</v>
      </c>
      <c r="I5" s="278">
        <v>0</v>
      </c>
      <c r="J5" s="277">
        <f>H5-I5</f>
        <v>-4226582.16</v>
      </c>
    </row>
    <row r="6" spans="1:11" hidden="1" x14ac:dyDescent="0.25">
      <c r="A6" s="2" t="s">
        <v>229</v>
      </c>
      <c r="B6" s="2" t="s">
        <v>230</v>
      </c>
      <c r="C6" s="2" t="s">
        <v>1110</v>
      </c>
      <c r="D6" s="2"/>
      <c r="E6" s="2"/>
      <c r="F6" s="267"/>
      <c r="G6" s="266" t="s">
        <v>210</v>
      </c>
      <c r="H6" s="7">
        <v>-3012717.12</v>
      </c>
      <c r="I6" s="236">
        <v>0</v>
      </c>
      <c r="J6" s="3">
        <f t="shared" ref="J6:J69" si="0">H6-I6</f>
        <v>-3012717.12</v>
      </c>
    </row>
    <row r="7" spans="1:11" hidden="1" x14ac:dyDescent="0.25">
      <c r="A7" s="2" t="s">
        <v>231</v>
      </c>
      <c r="B7" s="2" t="s">
        <v>232</v>
      </c>
      <c r="C7" s="2" t="s">
        <v>1110</v>
      </c>
      <c r="D7" s="2"/>
      <c r="E7" s="2"/>
      <c r="F7" s="267"/>
      <c r="G7" s="2" t="s">
        <v>210</v>
      </c>
      <c r="H7" s="7">
        <v>-1885.74</v>
      </c>
      <c r="I7" s="236">
        <v>0</v>
      </c>
      <c r="J7" s="3">
        <f t="shared" si="0"/>
        <v>-1885.74</v>
      </c>
    </row>
    <row r="8" spans="1:11" hidden="1" x14ac:dyDescent="0.25">
      <c r="A8" s="2" t="s">
        <v>233</v>
      </c>
      <c r="B8" s="2" t="s">
        <v>234</v>
      </c>
      <c r="C8" s="2" t="s">
        <v>1110</v>
      </c>
      <c r="D8" s="2"/>
      <c r="E8" s="2"/>
      <c r="F8" s="267"/>
      <c r="G8" s="2" t="s">
        <v>210</v>
      </c>
      <c r="H8" s="7">
        <v>-25402.97</v>
      </c>
      <c r="I8" s="236">
        <v>0</v>
      </c>
      <c r="J8" s="3">
        <f t="shared" si="0"/>
        <v>-25402.97</v>
      </c>
    </row>
    <row r="9" spans="1:11" hidden="1" x14ac:dyDescent="0.25">
      <c r="A9" s="2" t="s">
        <v>235</v>
      </c>
      <c r="B9" s="2" t="s">
        <v>236</v>
      </c>
      <c r="C9" s="2" t="s">
        <v>1110</v>
      </c>
      <c r="D9" s="2"/>
      <c r="E9" s="2"/>
      <c r="F9" s="267"/>
      <c r="G9" s="2" t="s">
        <v>212</v>
      </c>
      <c r="H9" s="7">
        <v>-138.87</v>
      </c>
      <c r="I9" s="236">
        <v>0</v>
      </c>
      <c r="J9" s="3">
        <f t="shared" si="0"/>
        <v>-138.87</v>
      </c>
    </row>
    <row r="10" spans="1:11" hidden="1" x14ac:dyDescent="0.25">
      <c r="A10" s="2" t="s">
        <v>237</v>
      </c>
      <c r="B10" s="2" t="s">
        <v>238</v>
      </c>
      <c r="C10" s="2" t="s">
        <v>1110</v>
      </c>
      <c r="D10" s="2"/>
      <c r="E10" s="2"/>
      <c r="F10" s="267"/>
      <c r="G10" s="2" t="s">
        <v>210</v>
      </c>
      <c r="H10" s="7">
        <v>-750044.19</v>
      </c>
      <c r="I10" s="236">
        <v>-612173.52985905576</v>
      </c>
      <c r="J10" s="3">
        <f t="shared" si="0"/>
        <v>-137870.66014094418</v>
      </c>
    </row>
    <row r="11" spans="1:11" hidden="1" x14ac:dyDescent="0.25">
      <c r="A11" s="2" t="s">
        <v>239</v>
      </c>
      <c r="B11" s="2" t="s">
        <v>240</v>
      </c>
      <c r="C11" s="2" t="s">
        <v>1110</v>
      </c>
      <c r="D11" s="2"/>
      <c r="E11" s="2"/>
      <c r="F11" s="267"/>
      <c r="G11" s="2" t="s">
        <v>210</v>
      </c>
      <c r="H11" s="7">
        <v>0</v>
      </c>
      <c r="I11" s="236">
        <v>-2499999.9999999958</v>
      </c>
      <c r="J11" s="3">
        <f t="shared" si="0"/>
        <v>2499999.9999999958</v>
      </c>
    </row>
    <row r="12" spans="1:11" hidden="1" x14ac:dyDescent="0.25">
      <c r="A12" s="2" t="s">
        <v>241</v>
      </c>
      <c r="B12" s="2" t="s">
        <v>242</v>
      </c>
      <c r="C12" s="2" t="s">
        <v>1110</v>
      </c>
      <c r="D12" s="2"/>
      <c r="E12" s="2"/>
      <c r="F12" s="267"/>
      <c r="G12" s="2" t="s">
        <v>210</v>
      </c>
      <c r="H12" s="7">
        <v>-5081733.0999999996</v>
      </c>
      <c r="I12" s="236">
        <v>-222496.30987401874</v>
      </c>
      <c r="J12" s="3">
        <f t="shared" si="0"/>
        <v>-4859236.790125981</v>
      </c>
    </row>
    <row r="13" spans="1:11" hidden="1" x14ac:dyDescent="0.25">
      <c r="A13" s="2" t="s">
        <v>243</v>
      </c>
      <c r="B13" s="2" t="s">
        <v>244</v>
      </c>
      <c r="C13" s="2" t="s">
        <v>145</v>
      </c>
      <c r="D13" s="2"/>
      <c r="E13" s="2"/>
      <c r="F13" s="267"/>
      <c r="G13" s="2" t="s">
        <v>210</v>
      </c>
      <c r="H13" s="7">
        <v>-77736.899999999994</v>
      </c>
      <c r="I13" s="236">
        <v>0</v>
      </c>
      <c r="J13" s="3">
        <f t="shared" si="0"/>
        <v>-77736.899999999994</v>
      </c>
    </row>
    <row r="14" spans="1:11" hidden="1" x14ac:dyDescent="0.25">
      <c r="A14" s="2" t="s">
        <v>245</v>
      </c>
      <c r="B14" s="2" t="s">
        <v>246</v>
      </c>
      <c r="C14" s="2" t="s">
        <v>1110</v>
      </c>
      <c r="D14" s="2"/>
      <c r="E14" s="2"/>
      <c r="F14" s="267"/>
      <c r="G14" s="2" t="s">
        <v>210</v>
      </c>
      <c r="H14" s="7">
        <v>-931984.88000000012</v>
      </c>
      <c r="I14" s="236">
        <v>-2000000.000000004</v>
      </c>
      <c r="J14" s="3">
        <f t="shared" si="0"/>
        <v>1068015.1200000038</v>
      </c>
    </row>
    <row r="15" spans="1:11" hidden="1" x14ac:dyDescent="0.25">
      <c r="A15" s="2" t="s">
        <v>247</v>
      </c>
      <c r="B15" s="2" t="s">
        <v>248</v>
      </c>
      <c r="C15" s="2" t="s">
        <v>145</v>
      </c>
      <c r="D15" s="2"/>
      <c r="E15" s="2"/>
      <c r="F15" s="267"/>
      <c r="G15" s="2" t="s">
        <v>210</v>
      </c>
      <c r="H15" s="7">
        <v>-2482679.0100000002</v>
      </c>
      <c r="I15" s="236">
        <v>-3517943.5273017157</v>
      </c>
      <c r="J15" s="3">
        <f t="shared" si="0"/>
        <v>1035264.5173017154</v>
      </c>
    </row>
    <row r="16" spans="1:11" hidden="1" x14ac:dyDescent="0.25">
      <c r="A16" s="2" t="s">
        <v>249</v>
      </c>
      <c r="B16" s="2" t="s">
        <v>250</v>
      </c>
      <c r="C16" s="2" t="s">
        <v>145</v>
      </c>
      <c r="D16" s="2" t="s">
        <v>29</v>
      </c>
      <c r="E16" s="2" t="s">
        <v>29</v>
      </c>
      <c r="F16" s="267" t="s">
        <v>1161</v>
      </c>
      <c r="G16" s="2" t="s">
        <v>214</v>
      </c>
      <c r="H16" s="7">
        <v>319620.77</v>
      </c>
      <c r="I16" s="236">
        <v>-102066.67948257366</v>
      </c>
      <c r="J16" s="3">
        <f t="shared" si="0"/>
        <v>421687.44948257366</v>
      </c>
    </row>
    <row r="17" spans="1:12" hidden="1" x14ac:dyDescent="0.25">
      <c r="A17" s="2" t="s">
        <v>251</v>
      </c>
      <c r="B17" s="2" t="s">
        <v>252</v>
      </c>
      <c r="C17" s="2" t="s">
        <v>145</v>
      </c>
      <c r="D17" s="2"/>
      <c r="E17" s="2"/>
      <c r="F17" s="267"/>
      <c r="G17" s="2" t="s">
        <v>212</v>
      </c>
      <c r="H17" s="7">
        <v>-2777267.29</v>
      </c>
      <c r="I17" s="236">
        <v>-4150542.9239990781</v>
      </c>
      <c r="J17" s="3">
        <f t="shared" si="0"/>
        <v>1373275.6339990781</v>
      </c>
    </row>
    <row r="18" spans="1:12" hidden="1" x14ac:dyDescent="0.25">
      <c r="A18" s="2" t="s">
        <v>253</v>
      </c>
      <c r="B18" s="2" t="s">
        <v>254</v>
      </c>
      <c r="C18" s="2" t="s">
        <v>145</v>
      </c>
      <c r="D18" s="2"/>
      <c r="E18" s="2"/>
      <c r="F18" s="267"/>
      <c r="G18" s="2" t="s">
        <v>212</v>
      </c>
      <c r="H18" s="7">
        <v>-2360340.17</v>
      </c>
      <c r="I18" s="236">
        <v>-5512377.9848884968</v>
      </c>
      <c r="J18" s="3">
        <f t="shared" si="0"/>
        <v>3152037.8148884969</v>
      </c>
    </row>
    <row r="19" spans="1:12" hidden="1" x14ac:dyDescent="0.25">
      <c r="A19" s="2" t="s">
        <v>255</v>
      </c>
      <c r="B19" s="2" t="s">
        <v>256</v>
      </c>
      <c r="C19" s="2" t="s">
        <v>145</v>
      </c>
      <c r="D19" s="2"/>
      <c r="E19" s="2"/>
      <c r="F19" s="267"/>
      <c r="G19" s="2" t="s">
        <v>210</v>
      </c>
      <c r="H19" s="7">
        <v>-3087362.1500000004</v>
      </c>
      <c r="I19" s="236">
        <v>-951000</v>
      </c>
      <c r="J19" s="3">
        <f t="shared" si="0"/>
        <v>-2136362.1500000004</v>
      </c>
    </row>
    <row r="20" spans="1:12" hidden="1" x14ac:dyDescent="0.25">
      <c r="A20" s="2" t="s">
        <v>257</v>
      </c>
      <c r="B20" s="2" t="s">
        <v>258</v>
      </c>
      <c r="C20" s="2" t="s">
        <v>1110</v>
      </c>
      <c r="D20" s="2"/>
      <c r="E20" s="2"/>
      <c r="F20" s="267"/>
      <c r="G20" s="2" t="s">
        <v>210</v>
      </c>
      <c r="H20" s="7">
        <v>-187123.93999999997</v>
      </c>
      <c r="I20" s="236">
        <v>-299999.99999999994</v>
      </c>
      <c r="J20" s="3">
        <f t="shared" si="0"/>
        <v>112876.05999999997</v>
      </c>
    </row>
    <row r="21" spans="1:12" hidden="1" x14ac:dyDescent="0.25">
      <c r="A21" s="2" t="s">
        <v>259</v>
      </c>
      <c r="B21" s="2" t="s">
        <v>260</v>
      </c>
      <c r="C21" s="2" t="s">
        <v>145</v>
      </c>
      <c r="D21" s="2" t="s">
        <v>1120</v>
      </c>
      <c r="E21" s="2" t="s">
        <v>1120</v>
      </c>
      <c r="F21" s="267"/>
      <c r="G21" s="2" t="s">
        <v>1105</v>
      </c>
      <c r="H21" s="7">
        <v>-7803062.8199999994</v>
      </c>
      <c r="I21" s="236">
        <v>-2591851.5917673563</v>
      </c>
      <c r="J21" s="3">
        <f t="shared" si="0"/>
        <v>-5211211.2282326426</v>
      </c>
    </row>
    <row r="22" spans="1:12" hidden="1" x14ac:dyDescent="0.25">
      <c r="A22" s="2" t="s">
        <v>262</v>
      </c>
      <c r="B22" s="2" t="s">
        <v>263</v>
      </c>
      <c r="C22" s="2" t="s">
        <v>145</v>
      </c>
      <c r="D22" s="2" t="s">
        <v>1120</v>
      </c>
      <c r="E22" s="2" t="s">
        <v>1120</v>
      </c>
      <c r="F22" s="267"/>
      <c r="G22" s="2" t="s">
        <v>1105</v>
      </c>
      <c r="H22" s="7">
        <v>-324036.53000000003</v>
      </c>
      <c r="I22" s="236">
        <v>-1083281.8529110118</v>
      </c>
      <c r="J22" s="3">
        <f t="shared" si="0"/>
        <v>759245.32291101175</v>
      </c>
    </row>
    <row r="23" spans="1:12" hidden="1" x14ac:dyDescent="0.25">
      <c r="A23" s="2" t="s">
        <v>264</v>
      </c>
      <c r="B23" s="2" t="s">
        <v>265</v>
      </c>
      <c r="C23" s="2" t="s">
        <v>1110</v>
      </c>
      <c r="D23" s="2"/>
      <c r="E23" s="2"/>
      <c r="F23" s="267"/>
      <c r="G23" s="2" t="s">
        <v>210</v>
      </c>
      <c r="H23" s="7">
        <v>-84987.920000000013</v>
      </c>
      <c r="I23" s="236">
        <v>255991.8340744134</v>
      </c>
      <c r="J23" s="3">
        <f t="shared" si="0"/>
        <v>-340979.75407441345</v>
      </c>
    </row>
    <row r="24" spans="1:12" hidden="1" x14ac:dyDescent="0.25">
      <c r="A24" s="2" t="s">
        <v>266</v>
      </c>
      <c r="B24" s="2" t="s">
        <v>267</v>
      </c>
      <c r="C24" s="2" t="s">
        <v>1110</v>
      </c>
      <c r="D24" s="2"/>
      <c r="E24" s="2"/>
      <c r="F24" s="267"/>
      <c r="G24" s="2" t="s">
        <v>210</v>
      </c>
      <c r="H24" s="7">
        <v>-40637.300000000003</v>
      </c>
      <c r="I24" s="236">
        <v>-40637.30000000001</v>
      </c>
      <c r="J24" s="3">
        <f t="shared" si="0"/>
        <v>0</v>
      </c>
    </row>
    <row r="25" spans="1:12" hidden="1" x14ac:dyDescent="0.25">
      <c r="A25" s="2" t="s">
        <v>268</v>
      </c>
      <c r="B25" s="2" t="s">
        <v>269</v>
      </c>
      <c r="C25" s="2" t="s">
        <v>145</v>
      </c>
      <c r="D25" s="2"/>
      <c r="E25" s="2"/>
      <c r="F25" s="267"/>
      <c r="G25" s="2" t="s">
        <v>215</v>
      </c>
      <c r="H25" s="7">
        <v>0</v>
      </c>
      <c r="I25" s="236">
        <v>-141000</v>
      </c>
      <c r="J25" s="3">
        <f t="shared" si="0"/>
        <v>141000</v>
      </c>
    </row>
    <row r="26" spans="1:12" hidden="1" x14ac:dyDescent="0.25">
      <c r="A26" s="2" t="s">
        <v>270</v>
      </c>
      <c r="B26" s="2" t="s">
        <v>271</v>
      </c>
      <c r="C26" s="2" t="s">
        <v>1110</v>
      </c>
      <c r="D26" s="2"/>
      <c r="E26" s="2"/>
      <c r="F26" s="267"/>
      <c r="G26" s="2" t="s">
        <v>212</v>
      </c>
      <c r="H26" s="7">
        <v>-49085.19</v>
      </c>
      <c r="I26" s="236">
        <v>0</v>
      </c>
      <c r="J26" s="3">
        <f t="shared" si="0"/>
        <v>-49085.19</v>
      </c>
    </row>
    <row r="27" spans="1:12" hidden="1" x14ac:dyDescent="0.25">
      <c r="A27" s="2" t="s">
        <v>272</v>
      </c>
      <c r="B27" s="2" t="s">
        <v>273</v>
      </c>
      <c r="C27" s="2" t="s">
        <v>1110</v>
      </c>
      <c r="D27" s="2"/>
      <c r="E27" s="2"/>
      <c r="F27" s="267"/>
      <c r="G27" s="2" t="s">
        <v>212</v>
      </c>
      <c r="H27" s="7">
        <v>81.84</v>
      </c>
      <c r="I27" s="236">
        <v>0</v>
      </c>
      <c r="J27" s="3">
        <f t="shared" si="0"/>
        <v>81.84</v>
      </c>
    </row>
    <row r="28" spans="1:12" hidden="1" x14ac:dyDescent="0.25">
      <c r="A28" s="2" t="s">
        <v>274</v>
      </c>
      <c r="B28" s="2" t="s">
        <v>275</v>
      </c>
      <c r="C28" s="2" t="s">
        <v>145</v>
      </c>
      <c r="D28" s="2"/>
      <c r="E28" s="2"/>
      <c r="F28" s="267"/>
      <c r="G28" s="2" t="s">
        <v>212</v>
      </c>
      <c r="H28" s="7">
        <v>-174136.85000000003</v>
      </c>
      <c r="I28" s="236">
        <v>-251490.49683625373</v>
      </c>
      <c r="J28" s="3">
        <f t="shared" si="0"/>
        <v>77353.646836253698</v>
      </c>
    </row>
    <row r="29" spans="1:12" hidden="1" x14ac:dyDescent="0.25">
      <c r="A29" s="2" t="s">
        <v>276</v>
      </c>
      <c r="B29" s="2" t="s">
        <v>277</v>
      </c>
      <c r="C29" s="2" t="s">
        <v>1110</v>
      </c>
      <c r="D29" s="2"/>
      <c r="E29" s="2"/>
      <c r="F29" s="267"/>
      <c r="G29" s="2" t="s">
        <v>212</v>
      </c>
      <c r="H29" s="7">
        <v>-3252262.88</v>
      </c>
      <c r="I29" s="236">
        <v>-8470701.4769779239</v>
      </c>
      <c r="J29" s="3">
        <f t="shared" si="0"/>
        <v>5218438.596977924</v>
      </c>
    </row>
    <row r="30" spans="1:12" hidden="1" x14ac:dyDescent="0.25">
      <c r="A30" s="2" t="s">
        <v>278</v>
      </c>
      <c r="B30" s="2" t="s">
        <v>279</v>
      </c>
      <c r="C30" s="2" t="s">
        <v>1110</v>
      </c>
      <c r="D30" s="2"/>
      <c r="E30" s="2"/>
      <c r="F30" s="267"/>
      <c r="G30" s="2" t="s">
        <v>212</v>
      </c>
      <c r="H30" s="7">
        <v>-21027.68</v>
      </c>
      <c r="I30" s="236">
        <v>0</v>
      </c>
      <c r="J30" s="3">
        <f t="shared" si="0"/>
        <v>-21027.68</v>
      </c>
    </row>
    <row r="31" spans="1:12" hidden="1" x14ac:dyDescent="0.25">
      <c r="A31" s="259" t="s">
        <v>280</v>
      </c>
      <c r="B31" s="259" t="s">
        <v>281</v>
      </c>
      <c r="C31" s="259" t="s">
        <v>145</v>
      </c>
      <c r="D31" s="259"/>
      <c r="E31" s="259"/>
      <c r="F31" s="298"/>
      <c r="G31" s="259" t="s">
        <v>212</v>
      </c>
      <c r="H31" s="274"/>
      <c r="I31" s="261">
        <v>-147308.85548345</v>
      </c>
      <c r="J31" s="260">
        <f t="shared" si="0"/>
        <v>147308.85548345</v>
      </c>
      <c r="K31" s="262"/>
      <c r="L31" s="7"/>
    </row>
    <row r="32" spans="1:12" hidden="1" x14ac:dyDescent="0.25">
      <c r="A32" s="2" t="s">
        <v>282</v>
      </c>
      <c r="B32" s="2" t="s">
        <v>283</v>
      </c>
      <c r="C32" s="2" t="s">
        <v>1110</v>
      </c>
      <c r="D32" s="2"/>
      <c r="E32" s="2"/>
      <c r="F32" s="267"/>
      <c r="G32" s="2" t="s">
        <v>212</v>
      </c>
      <c r="H32" s="7">
        <v>-736615.76000000013</v>
      </c>
      <c r="I32" s="236">
        <v>0</v>
      </c>
      <c r="J32" s="3">
        <f t="shared" si="0"/>
        <v>-736615.76000000013</v>
      </c>
    </row>
    <row r="33" spans="1:10" hidden="1" x14ac:dyDescent="0.25">
      <c r="A33" s="2" t="s">
        <v>284</v>
      </c>
      <c r="B33" s="2" t="s">
        <v>285</v>
      </c>
      <c r="C33" s="2" t="s">
        <v>145</v>
      </c>
      <c r="D33" s="2"/>
      <c r="E33" s="2"/>
      <c r="F33" s="267"/>
      <c r="G33" s="2" t="s">
        <v>212</v>
      </c>
      <c r="H33" s="7">
        <v>-2682734.14</v>
      </c>
      <c r="I33" s="236">
        <v>0</v>
      </c>
      <c r="J33" s="3">
        <f t="shared" si="0"/>
        <v>-2682734.14</v>
      </c>
    </row>
    <row r="34" spans="1:10" hidden="1" x14ac:dyDescent="0.25">
      <c r="A34" s="2" t="s">
        <v>286</v>
      </c>
      <c r="B34" s="2" t="s">
        <v>287</v>
      </c>
      <c r="C34" s="2" t="s">
        <v>1110</v>
      </c>
      <c r="D34" s="2"/>
      <c r="E34" s="2"/>
      <c r="F34" s="267"/>
      <c r="G34" s="2" t="s">
        <v>212</v>
      </c>
      <c r="H34" s="7">
        <v>-70209.110000000015</v>
      </c>
      <c r="I34" s="236">
        <v>0</v>
      </c>
      <c r="J34" s="3">
        <f t="shared" si="0"/>
        <v>-70209.110000000015</v>
      </c>
    </row>
    <row r="35" spans="1:10" hidden="1" x14ac:dyDescent="0.25">
      <c r="A35" s="2" t="s">
        <v>288</v>
      </c>
      <c r="B35" s="2" t="s">
        <v>289</v>
      </c>
      <c r="C35" s="2" t="s">
        <v>1110</v>
      </c>
      <c r="D35" s="2"/>
      <c r="E35" s="2"/>
      <c r="F35" s="267"/>
      <c r="G35" s="2" t="s">
        <v>212</v>
      </c>
      <c r="H35" s="7">
        <v>2272</v>
      </c>
      <c r="I35" s="236">
        <v>0</v>
      </c>
      <c r="J35" s="3">
        <f t="shared" si="0"/>
        <v>2272</v>
      </c>
    </row>
    <row r="36" spans="1:10" hidden="1" x14ac:dyDescent="0.25">
      <c r="A36" s="2" t="s">
        <v>290</v>
      </c>
      <c r="B36" s="2" t="s">
        <v>291</v>
      </c>
      <c r="C36" s="2" t="s">
        <v>1110</v>
      </c>
      <c r="D36" s="2"/>
      <c r="E36" s="2"/>
      <c r="F36" s="267"/>
      <c r="G36" s="2" t="s">
        <v>212</v>
      </c>
      <c r="H36" s="7">
        <v>23683.05</v>
      </c>
      <c r="I36" s="236">
        <v>0</v>
      </c>
      <c r="J36" s="3">
        <f t="shared" si="0"/>
        <v>23683.05</v>
      </c>
    </row>
    <row r="37" spans="1:10" hidden="1" x14ac:dyDescent="0.25">
      <c r="A37" s="2" t="s">
        <v>292</v>
      </c>
      <c r="B37" s="2" t="s">
        <v>293</v>
      </c>
      <c r="C37" s="2" t="s">
        <v>1110</v>
      </c>
      <c r="D37" s="2"/>
      <c r="E37" s="2"/>
      <c r="F37" s="267"/>
      <c r="G37" s="2" t="s">
        <v>212</v>
      </c>
      <c r="H37" s="7">
        <v>-361022.92000000004</v>
      </c>
      <c r="I37" s="236">
        <v>0</v>
      </c>
      <c r="J37" s="3">
        <f t="shared" si="0"/>
        <v>-361022.92000000004</v>
      </c>
    </row>
    <row r="38" spans="1:10" hidden="1" x14ac:dyDescent="0.25">
      <c r="A38" s="2" t="s">
        <v>294</v>
      </c>
      <c r="B38" s="2" t="s">
        <v>295</v>
      </c>
      <c r="C38" s="2" t="s">
        <v>1110</v>
      </c>
      <c r="D38" s="2"/>
      <c r="E38" s="2"/>
      <c r="F38" s="267"/>
      <c r="G38" s="2" t="s">
        <v>212</v>
      </c>
      <c r="H38" s="7">
        <v>-5151685.43</v>
      </c>
      <c r="I38" s="236">
        <v>-5479256.6619912293</v>
      </c>
      <c r="J38" s="3">
        <f t="shared" si="0"/>
        <v>327571.23199122958</v>
      </c>
    </row>
    <row r="39" spans="1:10" hidden="1" x14ac:dyDescent="0.25">
      <c r="A39" s="2" t="s">
        <v>296</v>
      </c>
      <c r="B39" s="2" t="s">
        <v>297</v>
      </c>
      <c r="C39" s="2" t="s">
        <v>1110</v>
      </c>
      <c r="D39" s="2"/>
      <c r="E39" s="2"/>
      <c r="F39" s="267"/>
      <c r="G39" s="2" t="s">
        <v>212</v>
      </c>
      <c r="H39" s="7">
        <v>-1802364.3299999998</v>
      </c>
      <c r="I39" s="236">
        <v>0</v>
      </c>
      <c r="J39" s="3">
        <f t="shared" si="0"/>
        <v>-1802364.3299999998</v>
      </c>
    </row>
    <row r="40" spans="1:10" hidden="1" x14ac:dyDescent="0.25">
      <c r="A40" s="2" t="s">
        <v>298</v>
      </c>
      <c r="B40" s="2" t="s">
        <v>299</v>
      </c>
      <c r="C40" s="2" t="s">
        <v>1110</v>
      </c>
      <c r="D40" s="2"/>
      <c r="E40" s="2"/>
      <c r="F40" s="267"/>
      <c r="G40" s="2" t="s">
        <v>212</v>
      </c>
      <c r="H40" s="7">
        <v>37663.159999999989</v>
      </c>
      <c r="I40" s="236">
        <v>0</v>
      </c>
      <c r="J40" s="3">
        <f t="shared" si="0"/>
        <v>37663.159999999989</v>
      </c>
    </row>
    <row r="41" spans="1:10" hidden="1" x14ac:dyDescent="0.25">
      <c r="A41" s="2" t="s">
        <v>300</v>
      </c>
      <c r="B41" s="2" t="s">
        <v>301</v>
      </c>
      <c r="C41" s="2" t="s">
        <v>1110</v>
      </c>
      <c r="D41" s="2"/>
      <c r="E41" s="2"/>
      <c r="F41" s="267"/>
      <c r="G41" s="2" t="s">
        <v>212</v>
      </c>
      <c r="H41" s="7">
        <v>-539823.54</v>
      </c>
      <c r="I41" s="236">
        <v>0</v>
      </c>
      <c r="J41" s="3">
        <f t="shared" si="0"/>
        <v>-539823.54</v>
      </c>
    </row>
    <row r="42" spans="1:10" hidden="1" x14ac:dyDescent="0.25">
      <c r="A42" s="2" t="s">
        <v>302</v>
      </c>
      <c r="B42" s="2" t="s">
        <v>303</v>
      </c>
      <c r="C42" s="2" t="s">
        <v>1110</v>
      </c>
      <c r="D42" s="2"/>
      <c r="E42" s="2"/>
      <c r="F42" s="267"/>
      <c r="G42" s="2" t="s">
        <v>212</v>
      </c>
      <c r="H42" s="7">
        <v>-2283675.2600000002</v>
      </c>
      <c r="I42" s="236">
        <v>0</v>
      </c>
      <c r="J42" s="3">
        <f t="shared" si="0"/>
        <v>-2283675.2600000002</v>
      </c>
    </row>
    <row r="43" spans="1:10" hidden="1" x14ac:dyDescent="0.25">
      <c r="A43" s="2" t="s">
        <v>304</v>
      </c>
      <c r="B43" s="2" t="s">
        <v>305</v>
      </c>
      <c r="C43" s="2" t="s">
        <v>1110</v>
      </c>
      <c r="D43" s="2"/>
      <c r="E43" s="2"/>
      <c r="F43" s="267"/>
      <c r="G43" s="2" t="s">
        <v>212</v>
      </c>
      <c r="H43" s="7">
        <v>-7470171.5599999996</v>
      </c>
      <c r="I43" s="236">
        <v>0</v>
      </c>
      <c r="J43" s="3">
        <f t="shared" si="0"/>
        <v>-7470171.5599999996</v>
      </c>
    </row>
    <row r="44" spans="1:10" hidden="1" x14ac:dyDescent="0.25">
      <c r="A44" s="2" t="s">
        <v>306</v>
      </c>
      <c r="B44" s="2" t="s">
        <v>307</v>
      </c>
      <c r="C44" s="2" t="s">
        <v>1110</v>
      </c>
      <c r="D44" s="2"/>
      <c r="E44" s="2"/>
      <c r="F44" s="267"/>
      <c r="G44" s="2" t="s">
        <v>212</v>
      </c>
      <c r="H44" s="7">
        <v>-1587346.7000000002</v>
      </c>
      <c r="I44" s="236">
        <v>0</v>
      </c>
      <c r="J44" s="3">
        <f t="shared" si="0"/>
        <v>-1587346.7000000002</v>
      </c>
    </row>
    <row r="45" spans="1:10" hidden="1" x14ac:dyDescent="0.25">
      <c r="A45" s="2" t="s">
        <v>308</v>
      </c>
      <c r="B45" s="2" t="s">
        <v>309</v>
      </c>
      <c r="C45" s="2" t="s">
        <v>1110</v>
      </c>
      <c r="D45" s="2"/>
      <c r="E45" s="2"/>
      <c r="F45" s="267"/>
      <c r="G45" s="2" t="s">
        <v>212</v>
      </c>
      <c r="H45" s="7">
        <v>0</v>
      </c>
      <c r="I45" s="236">
        <v>-26905131.616054956</v>
      </c>
      <c r="J45" s="3">
        <f t="shared" si="0"/>
        <v>26905131.616054956</v>
      </c>
    </row>
    <row r="46" spans="1:10" hidden="1" x14ac:dyDescent="0.25">
      <c r="A46" s="2" t="s">
        <v>310</v>
      </c>
      <c r="B46" s="2" t="s">
        <v>311</v>
      </c>
      <c r="C46" s="2" t="s">
        <v>1110</v>
      </c>
      <c r="D46" s="2"/>
      <c r="E46" s="2"/>
      <c r="F46" s="267"/>
      <c r="G46" s="2" t="s">
        <v>212</v>
      </c>
      <c r="H46" s="7">
        <v>12919.580000000002</v>
      </c>
      <c r="I46" s="236">
        <v>0</v>
      </c>
      <c r="J46" s="3">
        <f t="shared" si="0"/>
        <v>12919.580000000002</v>
      </c>
    </row>
    <row r="47" spans="1:10" hidden="1" x14ac:dyDescent="0.25">
      <c r="A47" s="2" t="s">
        <v>312</v>
      </c>
      <c r="B47" s="2" t="s">
        <v>313</v>
      </c>
      <c r="C47" s="2" t="s">
        <v>1110</v>
      </c>
      <c r="D47" s="2"/>
      <c r="E47" s="2"/>
      <c r="F47" s="267"/>
      <c r="G47" s="2" t="s">
        <v>212</v>
      </c>
      <c r="H47" s="7">
        <v>-662880.43999999994</v>
      </c>
      <c r="I47" s="236">
        <v>0</v>
      </c>
      <c r="J47" s="3">
        <f t="shared" si="0"/>
        <v>-662880.43999999994</v>
      </c>
    </row>
    <row r="48" spans="1:10" hidden="1" x14ac:dyDescent="0.25">
      <c r="A48" s="2" t="s">
        <v>314</v>
      </c>
      <c r="B48" s="2" t="s">
        <v>315</v>
      </c>
      <c r="C48" s="2" t="s">
        <v>145</v>
      </c>
      <c r="D48" s="2"/>
      <c r="E48" s="2"/>
      <c r="F48" s="267"/>
      <c r="G48" s="2" t="s">
        <v>212</v>
      </c>
      <c r="H48" s="7">
        <v>-331.81</v>
      </c>
      <c r="I48" s="236">
        <v>0</v>
      </c>
      <c r="J48" s="3">
        <f t="shared" si="0"/>
        <v>-331.81</v>
      </c>
    </row>
    <row r="49" spans="1:11" hidden="1" x14ac:dyDescent="0.25">
      <c r="A49" s="2" t="s">
        <v>316</v>
      </c>
      <c r="B49" s="2" t="s">
        <v>317</v>
      </c>
      <c r="C49" s="2" t="s">
        <v>196</v>
      </c>
      <c r="D49" s="2"/>
      <c r="E49" s="2"/>
      <c r="F49" s="267"/>
      <c r="G49" s="2" t="s">
        <v>212</v>
      </c>
      <c r="H49" s="7">
        <v>0</v>
      </c>
      <c r="I49" s="236">
        <v>-3113278.1971035767</v>
      </c>
      <c r="J49" s="3">
        <f t="shared" si="0"/>
        <v>3113278.1971035767</v>
      </c>
    </row>
    <row r="50" spans="1:11" hidden="1" x14ac:dyDescent="0.25">
      <c r="A50" s="2" t="s">
        <v>318</v>
      </c>
      <c r="B50" s="2" t="s">
        <v>319</v>
      </c>
      <c r="C50" s="2" t="s">
        <v>145</v>
      </c>
      <c r="D50" s="2"/>
      <c r="E50" s="2"/>
      <c r="F50" s="267"/>
      <c r="G50" s="2" t="s">
        <v>212</v>
      </c>
      <c r="H50" s="7">
        <v>-1191411.69</v>
      </c>
      <c r="I50" s="236">
        <v>0</v>
      </c>
      <c r="J50" s="3">
        <f t="shared" si="0"/>
        <v>-1191411.69</v>
      </c>
    </row>
    <row r="51" spans="1:11" hidden="1" x14ac:dyDescent="0.25">
      <c r="A51" s="2" t="s">
        <v>320</v>
      </c>
      <c r="B51" s="2" t="s">
        <v>321</v>
      </c>
      <c r="C51" s="2" t="s">
        <v>145</v>
      </c>
      <c r="D51" s="2"/>
      <c r="E51" s="2"/>
      <c r="F51" s="267"/>
      <c r="G51" s="2" t="s">
        <v>212</v>
      </c>
      <c r="H51" s="7">
        <v>-157967.89000000001</v>
      </c>
      <c r="I51" s="236">
        <v>0</v>
      </c>
      <c r="J51" s="3">
        <f t="shared" si="0"/>
        <v>-157967.89000000001</v>
      </c>
    </row>
    <row r="52" spans="1:11" hidden="1" x14ac:dyDescent="0.25">
      <c r="A52" s="2" t="s">
        <v>322</v>
      </c>
      <c r="B52" s="2" t="s">
        <v>323</v>
      </c>
      <c r="C52" s="2" t="s">
        <v>145</v>
      </c>
      <c r="D52" s="2"/>
      <c r="E52" s="2"/>
      <c r="F52" s="267"/>
      <c r="G52" s="2" t="s">
        <v>212</v>
      </c>
      <c r="H52" s="7">
        <v>-46876.67</v>
      </c>
      <c r="I52" s="236">
        <v>0</v>
      </c>
      <c r="J52" s="237">
        <f t="shared" si="0"/>
        <v>-46876.67</v>
      </c>
      <c r="K52" s="237"/>
    </row>
    <row r="53" spans="1:11" hidden="1" x14ac:dyDescent="0.25">
      <c r="A53" s="2" t="s">
        <v>324</v>
      </c>
      <c r="B53" s="2" t="s">
        <v>325</v>
      </c>
      <c r="C53" s="2" t="s">
        <v>1110</v>
      </c>
      <c r="D53" s="2"/>
      <c r="E53" s="2"/>
      <c r="F53" s="267"/>
      <c r="G53" s="2" t="s">
        <v>212</v>
      </c>
      <c r="H53" s="7">
        <v>-1956354.6900000002</v>
      </c>
      <c r="I53" s="236">
        <v>0</v>
      </c>
      <c r="J53" s="3">
        <f t="shared" si="0"/>
        <v>-1956354.6900000002</v>
      </c>
    </row>
    <row r="54" spans="1:11" hidden="1" x14ac:dyDescent="0.25">
      <c r="A54" s="2" t="s">
        <v>326</v>
      </c>
      <c r="B54" s="2" t="s">
        <v>327</v>
      </c>
      <c r="C54" s="2" t="s">
        <v>1110</v>
      </c>
      <c r="D54" s="2"/>
      <c r="E54" s="2"/>
      <c r="F54" s="267"/>
      <c r="G54" s="266" t="s">
        <v>212</v>
      </c>
      <c r="H54" s="7">
        <v>-118095.04999999999</v>
      </c>
      <c r="I54" s="236">
        <v>0</v>
      </c>
      <c r="J54" s="3">
        <f t="shared" si="0"/>
        <v>-118095.04999999999</v>
      </c>
    </row>
    <row r="55" spans="1:11" hidden="1" x14ac:dyDescent="0.25">
      <c r="A55" s="2" t="s">
        <v>328</v>
      </c>
      <c r="B55" s="2" t="s">
        <v>329</v>
      </c>
      <c r="C55" s="2" t="s">
        <v>1110</v>
      </c>
      <c r="D55" s="2"/>
      <c r="E55" s="2"/>
      <c r="F55" s="267"/>
      <c r="G55" s="2" t="s">
        <v>212</v>
      </c>
      <c r="H55" s="7">
        <v>-386246.23</v>
      </c>
      <c r="I55" s="236">
        <v>0</v>
      </c>
      <c r="J55" s="3">
        <f t="shared" si="0"/>
        <v>-386246.23</v>
      </c>
    </row>
    <row r="56" spans="1:11" hidden="1" x14ac:dyDescent="0.25">
      <c r="A56" s="2" t="s">
        <v>330</v>
      </c>
      <c r="B56" s="2" t="s">
        <v>331</v>
      </c>
      <c r="C56" s="2" t="s">
        <v>1110</v>
      </c>
      <c r="D56" s="2"/>
      <c r="E56" s="2"/>
      <c r="F56" s="267"/>
      <c r="G56" s="2" t="s">
        <v>212</v>
      </c>
      <c r="H56" s="7">
        <v>-100132.16</v>
      </c>
      <c r="I56" s="236">
        <v>-106897.64030778737</v>
      </c>
      <c r="J56" s="3">
        <f t="shared" si="0"/>
        <v>6765.4803077873657</v>
      </c>
    </row>
    <row r="57" spans="1:11" hidden="1" x14ac:dyDescent="0.25">
      <c r="A57" s="2" t="s">
        <v>332</v>
      </c>
      <c r="B57" s="2" t="s">
        <v>333</v>
      </c>
      <c r="C57" s="2" t="s">
        <v>1110</v>
      </c>
      <c r="D57" s="2"/>
      <c r="E57" s="2"/>
      <c r="F57" s="267"/>
      <c r="G57" s="2" t="s">
        <v>212</v>
      </c>
      <c r="H57" s="7">
        <v>-256985.73</v>
      </c>
      <c r="I57" s="236">
        <v>0</v>
      </c>
      <c r="J57" s="3">
        <f t="shared" si="0"/>
        <v>-256985.73</v>
      </c>
    </row>
    <row r="58" spans="1:11" hidden="1" x14ac:dyDescent="0.25">
      <c r="A58" s="2" t="s">
        <v>334</v>
      </c>
      <c r="B58" s="2" t="s">
        <v>335</v>
      </c>
      <c r="C58" s="2" t="s">
        <v>1110</v>
      </c>
      <c r="D58" s="2"/>
      <c r="E58" s="2"/>
      <c r="F58" s="267"/>
      <c r="G58" s="2" t="s">
        <v>212</v>
      </c>
      <c r="H58" s="7">
        <v>3200.73</v>
      </c>
      <c r="I58" s="236">
        <v>0</v>
      </c>
      <c r="J58" s="3">
        <f t="shared" si="0"/>
        <v>3200.73</v>
      </c>
    </row>
    <row r="59" spans="1:11" hidden="1" x14ac:dyDescent="0.25">
      <c r="A59" s="2" t="s">
        <v>336</v>
      </c>
      <c r="B59" s="2" t="s">
        <v>337</v>
      </c>
      <c r="C59" s="2" t="s">
        <v>1110</v>
      </c>
      <c r="D59" s="2"/>
      <c r="E59" s="2"/>
      <c r="F59" s="267"/>
      <c r="G59" s="2" t="s">
        <v>212</v>
      </c>
      <c r="H59" s="7">
        <v>-590210.21</v>
      </c>
      <c r="I59" s="236">
        <v>-180361.76376031534</v>
      </c>
      <c r="J59" s="3">
        <f t="shared" si="0"/>
        <v>-409848.44623968459</v>
      </c>
    </row>
    <row r="60" spans="1:11" hidden="1" x14ac:dyDescent="0.25">
      <c r="A60" s="2" t="s">
        <v>338</v>
      </c>
      <c r="B60" s="2" t="s">
        <v>339</v>
      </c>
      <c r="C60" s="2" t="s">
        <v>1110</v>
      </c>
      <c r="D60" s="2"/>
      <c r="E60" s="2"/>
      <c r="F60" s="267"/>
      <c r="G60" s="2" t="s">
        <v>212</v>
      </c>
      <c r="H60" s="7">
        <v>-447725.04000000004</v>
      </c>
      <c r="I60" s="236">
        <v>0</v>
      </c>
      <c r="J60" s="3">
        <f t="shared" si="0"/>
        <v>-447725.04000000004</v>
      </c>
    </row>
    <row r="61" spans="1:11" hidden="1" x14ac:dyDescent="0.25">
      <c r="A61" s="2" t="s">
        <v>340</v>
      </c>
      <c r="B61" s="2" t="s">
        <v>341</v>
      </c>
      <c r="C61" s="2" t="s">
        <v>1110</v>
      </c>
      <c r="D61" s="2"/>
      <c r="E61" s="2"/>
      <c r="F61" s="267"/>
      <c r="G61" s="2" t="s">
        <v>212</v>
      </c>
      <c r="H61" s="7">
        <v>-253010.78000000003</v>
      </c>
      <c r="I61" s="236">
        <v>0</v>
      </c>
      <c r="J61" s="3">
        <f t="shared" si="0"/>
        <v>-253010.78000000003</v>
      </c>
    </row>
    <row r="62" spans="1:11" hidden="1" x14ac:dyDescent="0.25">
      <c r="A62" s="2" t="s">
        <v>342</v>
      </c>
      <c r="B62" s="2" t="s">
        <v>343</v>
      </c>
      <c r="C62" s="2" t="s">
        <v>1110</v>
      </c>
      <c r="D62" s="2"/>
      <c r="E62" s="2"/>
      <c r="F62" s="267"/>
      <c r="G62" s="2" t="s">
        <v>212</v>
      </c>
      <c r="H62" s="7">
        <v>541.63000000000011</v>
      </c>
      <c r="I62" s="236">
        <v>0</v>
      </c>
      <c r="J62" s="3">
        <f t="shared" si="0"/>
        <v>541.63000000000011</v>
      </c>
    </row>
    <row r="63" spans="1:11" hidden="1" x14ac:dyDescent="0.25">
      <c r="A63" s="2" t="s">
        <v>344</v>
      </c>
      <c r="B63" s="2" t="s">
        <v>345</v>
      </c>
      <c r="C63" s="2" t="s">
        <v>1110</v>
      </c>
      <c r="D63" s="2"/>
      <c r="E63" s="2"/>
      <c r="F63" s="267"/>
      <c r="G63" s="2" t="s">
        <v>212</v>
      </c>
      <c r="H63" s="7">
        <v>369.9</v>
      </c>
      <c r="I63" s="236">
        <v>0</v>
      </c>
      <c r="J63" s="3">
        <f t="shared" si="0"/>
        <v>369.9</v>
      </c>
    </row>
    <row r="64" spans="1:11" hidden="1" x14ac:dyDescent="0.25">
      <c r="A64" s="2" t="s">
        <v>346</v>
      </c>
      <c r="B64" s="2" t="s">
        <v>347</v>
      </c>
      <c r="C64" s="2" t="s">
        <v>1110</v>
      </c>
      <c r="D64" s="2"/>
      <c r="E64" s="2"/>
      <c r="F64" s="267"/>
      <c r="G64" s="2" t="s">
        <v>212</v>
      </c>
      <c r="H64" s="7">
        <v>-1776208.4200000002</v>
      </c>
      <c r="I64" s="236">
        <v>0</v>
      </c>
      <c r="J64" s="3">
        <f t="shared" si="0"/>
        <v>-1776208.4200000002</v>
      </c>
    </row>
    <row r="65" spans="1:10" hidden="1" x14ac:dyDescent="0.25">
      <c r="A65" s="2" t="s">
        <v>348</v>
      </c>
      <c r="B65" s="2" t="s">
        <v>349</v>
      </c>
      <c r="C65" s="2" t="s">
        <v>1110</v>
      </c>
      <c r="D65" s="2"/>
      <c r="E65" s="2"/>
      <c r="F65" s="267"/>
      <c r="G65" s="2" t="s">
        <v>212</v>
      </c>
      <c r="H65" s="7">
        <v>-588672.32999999996</v>
      </c>
      <c r="I65" s="236">
        <v>0</v>
      </c>
      <c r="J65" s="3">
        <f t="shared" si="0"/>
        <v>-588672.32999999996</v>
      </c>
    </row>
    <row r="66" spans="1:10" hidden="1" x14ac:dyDescent="0.25">
      <c r="A66" s="2" t="s">
        <v>350</v>
      </c>
      <c r="B66" s="2" t="s">
        <v>351</v>
      </c>
      <c r="C66" s="2" t="s">
        <v>1110</v>
      </c>
      <c r="D66" s="2"/>
      <c r="E66" s="2"/>
      <c r="F66" s="267"/>
      <c r="G66" s="2" t="s">
        <v>212</v>
      </c>
      <c r="H66" s="7">
        <v>-2029399.1999999997</v>
      </c>
      <c r="I66" s="236">
        <v>0</v>
      </c>
      <c r="J66" s="3">
        <f t="shared" si="0"/>
        <v>-2029399.1999999997</v>
      </c>
    </row>
    <row r="67" spans="1:10" hidden="1" x14ac:dyDescent="0.25">
      <c r="A67" s="2" t="s">
        <v>352</v>
      </c>
      <c r="B67" s="2" t="s">
        <v>353</v>
      </c>
      <c r="C67" s="2" t="s">
        <v>1110</v>
      </c>
      <c r="D67" s="2"/>
      <c r="E67" s="2"/>
      <c r="F67" s="267"/>
      <c r="G67" s="2" t="s">
        <v>212</v>
      </c>
      <c r="H67" s="7">
        <v>-465.23999999999796</v>
      </c>
      <c r="I67" s="236">
        <v>0</v>
      </c>
      <c r="J67" s="3">
        <f t="shared" si="0"/>
        <v>-465.23999999999796</v>
      </c>
    </row>
    <row r="68" spans="1:10" hidden="1" x14ac:dyDescent="0.25">
      <c r="A68" s="2" t="s">
        <v>354</v>
      </c>
      <c r="B68" s="2" t="s">
        <v>355</v>
      </c>
      <c r="C68" s="2" t="s">
        <v>1110</v>
      </c>
      <c r="D68" s="2"/>
      <c r="E68" s="2"/>
      <c r="F68" s="267"/>
      <c r="G68" s="2" t="s">
        <v>212</v>
      </c>
      <c r="H68" s="7">
        <v>1386.9100000000021</v>
      </c>
      <c r="I68" s="236">
        <v>0</v>
      </c>
      <c r="J68" s="3">
        <f t="shared" si="0"/>
        <v>1386.9100000000021</v>
      </c>
    </row>
    <row r="69" spans="1:10" hidden="1" x14ac:dyDescent="0.25">
      <c r="A69" s="2" t="s">
        <v>356</v>
      </c>
      <c r="B69" s="2" t="s">
        <v>357</v>
      </c>
      <c r="C69" s="2" t="s">
        <v>1110</v>
      </c>
      <c r="D69" s="2"/>
      <c r="E69" s="2"/>
      <c r="F69" s="267"/>
      <c r="G69" s="2" t="s">
        <v>212</v>
      </c>
      <c r="H69" s="7">
        <v>-240888.25</v>
      </c>
      <c r="I69" s="236">
        <v>0</v>
      </c>
      <c r="J69" s="3">
        <f t="shared" si="0"/>
        <v>-240888.25</v>
      </c>
    </row>
    <row r="70" spans="1:10" hidden="1" x14ac:dyDescent="0.25">
      <c r="A70" s="2" t="s">
        <v>358</v>
      </c>
      <c r="B70" s="2" t="s">
        <v>359</v>
      </c>
      <c r="C70" s="2" t="s">
        <v>1110</v>
      </c>
      <c r="D70" s="2"/>
      <c r="E70" s="2"/>
      <c r="F70" s="267"/>
      <c r="G70" s="2" t="s">
        <v>212</v>
      </c>
      <c r="H70" s="7">
        <v>-3614400.6199999996</v>
      </c>
      <c r="I70" s="236">
        <v>-2808710.0639910274</v>
      </c>
      <c r="J70" s="3">
        <f t="shared" ref="J70:J133" si="1">H70-I70</f>
        <v>-805690.55600897223</v>
      </c>
    </row>
    <row r="71" spans="1:10" hidden="1" x14ac:dyDescent="0.25">
      <c r="A71" s="2" t="s">
        <v>360</v>
      </c>
      <c r="B71" s="2" t="s">
        <v>361</v>
      </c>
      <c r="C71" s="2" t="s">
        <v>1110</v>
      </c>
      <c r="D71" s="2"/>
      <c r="E71" s="2"/>
      <c r="F71" s="267"/>
      <c r="G71" s="2" t="s">
        <v>212</v>
      </c>
      <c r="H71" s="7">
        <v>-43.319999999999993</v>
      </c>
      <c r="I71" s="236">
        <v>0</v>
      </c>
      <c r="J71" s="3">
        <f t="shared" si="1"/>
        <v>-43.319999999999993</v>
      </c>
    </row>
    <row r="72" spans="1:10" hidden="1" x14ac:dyDescent="0.25">
      <c r="A72" s="2" t="s">
        <v>362</v>
      </c>
      <c r="B72" s="2" t="s">
        <v>363</v>
      </c>
      <c r="C72" s="2" t="s">
        <v>1110</v>
      </c>
      <c r="D72" s="2"/>
      <c r="E72" s="2"/>
      <c r="F72" s="267"/>
      <c r="G72" s="2" t="s">
        <v>212</v>
      </c>
      <c r="H72" s="7">
        <v>-102980.74</v>
      </c>
      <c r="I72" s="236">
        <v>0</v>
      </c>
      <c r="J72" s="3">
        <f t="shared" si="1"/>
        <v>-102980.74</v>
      </c>
    </row>
    <row r="73" spans="1:10" hidden="1" x14ac:dyDescent="0.25">
      <c r="A73" s="2" t="s">
        <v>364</v>
      </c>
      <c r="B73" s="2" t="s">
        <v>365</v>
      </c>
      <c r="C73" s="2" t="s">
        <v>1110</v>
      </c>
      <c r="D73" s="2"/>
      <c r="E73" s="2"/>
      <c r="F73" s="267"/>
      <c r="G73" s="2" t="s">
        <v>212</v>
      </c>
      <c r="H73" s="7">
        <v>-52869.98</v>
      </c>
      <c r="I73" s="236">
        <v>0</v>
      </c>
      <c r="J73" s="3">
        <f t="shared" si="1"/>
        <v>-52869.98</v>
      </c>
    </row>
    <row r="74" spans="1:10" hidden="1" x14ac:dyDescent="0.25">
      <c r="A74" s="2" t="s">
        <v>366</v>
      </c>
      <c r="B74" s="2" t="s">
        <v>367</v>
      </c>
      <c r="C74" s="2" t="s">
        <v>1110</v>
      </c>
      <c r="D74" s="2"/>
      <c r="E74" s="2"/>
      <c r="F74" s="267"/>
      <c r="G74" s="2" t="s">
        <v>212</v>
      </c>
      <c r="H74" s="7">
        <v>2887</v>
      </c>
      <c r="I74" s="236">
        <v>0</v>
      </c>
      <c r="J74" s="3">
        <f t="shared" si="1"/>
        <v>2887</v>
      </c>
    </row>
    <row r="75" spans="1:10" hidden="1" x14ac:dyDescent="0.25">
      <c r="A75" s="2" t="s">
        <v>368</v>
      </c>
      <c r="B75" s="2" t="s">
        <v>369</v>
      </c>
      <c r="C75" s="2" t="s">
        <v>1110</v>
      </c>
      <c r="D75" s="2"/>
      <c r="E75" s="2"/>
      <c r="F75" s="267"/>
      <c r="G75" s="2" t="s">
        <v>212</v>
      </c>
      <c r="H75" s="7">
        <v>-139490.20000000001</v>
      </c>
      <c r="I75" s="236">
        <v>0</v>
      </c>
      <c r="J75" s="3">
        <f t="shared" si="1"/>
        <v>-139490.20000000001</v>
      </c>
    </row>
    <row r="76" spans="1:10" hidden="1" x14ac:dyDescent="0.25">
      <c r="A76" s="2" t="s">
        <v>370</v>
      </c>
      <c r="B76" s="2" t="s">
        <v>371</v>
      </c>
      <c r="C76" s="2" t="s">
        <v>196</v>
      </c>
      <c r="D76" s="2"/>
      <c r="E76" s="2"/>
      <c r="F76" s="267"/>
      <c r="G76" s="2" t="s">
        <v>212</v>
      </c>
      <c r="H76" s="7">
        <v>-154464.01</v>
      </c>
      <c r="I76" s="236">
        <v>0</v>
      </c>
      <c r="J76" s="3">
        <f t="shared" si="1"/>
        <v>-154464.01</v>
      </c>
    </row>
    <row r="77" spans="1:10" hidden="1" x14ac:dyDescent="0.25">
      <c r="A77" s="2" t="s">
        <v>372</v>
      </c>
      <c r="B77" s="2" t="s">
        <v>373</v>
      </c>
      <c r="C77" s="2" t="s">
        <v>1110</v>
      </c>
      <c r="D77" s="2"/>
      <c r="E77" s="2"/>
      <c r="F77" s="267"/>
      <c r="G77" s="2" t="s">
        <v>212</v>
      </c>
      <c r="H77" s="7">
        <v>-63848.45</v>
      </c>
      <c r="I77" s="236">
        <v>0</v>
      </c>
      <c r="J77" s="3">
        <f t="shared" si="1"/>
        <v>-63848.45</v>
      </c>
    </row>
    <row r="78" spans="1:10" hidden="1" x14ac:dyDescent="0.25">
      <c r="A78" s="2" t="s">
        <v>374</v>
      </c>
      <c r="B78" s="2" t="s">
        <v>375</v>
      </c>
      <c r="C78" s="2" t="s">
        <v>1110</v>
      </c>
      <c r="D78" s="2"/>
      <c r="E78" s="2"/>
      <c r="F78" s="267"/>
      <c r="G78" s="2" t="s">
        <v>212</v>
      </c>
      <c r="H78" s="7">
        <v>-312301.53000000003</v>
      </c>
      <c r="I78" s="236">
        <v>0</v>
      </c>
      <c r="J78" s="3">
        <f t="shared" si="1"/>
        <v>-312301.53000000003</v>
      </c>
    </row>
    <row r="79" spans="1:10" hidden="1" x14ac:dyDescent="0.25">
      <c r="A79" s="2" t="s">
        <v>376</v>
      </c>
      <c r="B79" s="2" t="s">
        <v>377</v>
      </c>
      <c r="C79" s="2" t="s">
        <v>1110</v>
      </c>
      <c r="D79" s="2"/>
      <c r="E79" s="2"/>
      <c r="F79" s="267"/>
      <c r="G79" s="2" t="s">
        <v>212</v>
      </c>
      <c r="H79" s="7">
        <v>-305888.91000000003</v>
      </c>
      <c r="I79" s="236">
        <v>0</v>
      </c>
      <c r="J79" s="3">
        <f t="shared" si="1"/>
        <v>-305888.91000000003</v>
      </c>
    </row>
    <row r="80" spans="1:10" hidden="1" x14ac:dyDescent="0.25">
      <c r="A80" s="2" t="s">
        <v>378</v>
      </c>
      <c r="B80" s="2" t="s">
        <v>379</v>
      </c>
      <c r="C80" s="2" t="s">
        <v>1110</v>
      </c>
      <c r="D80" s="2"/>
      <c r="E80" s="2"/>
      <c r="F80" s="267"/>
      <c r="G80" s="2" t="s">
        <v>212</v>
      </c>
      <c r="H80" s="7">
        <v>-27004.170000000006</v>
      </c>
      <c r="I80" s="236">
        <v>0</v>
      </c>
      <c r="J80" s="3">
        <f t="shared" si="1"/>
        <v>-27004.170000000006</v>
      </c>
    </row>
    <row r="81" spans="1:11" hidden="1" x14ac:dyDescent="0.25">
      <c r="A81" s="2" t="s">
        <v>380</v>
      </c>
      <c r="B81" s="2" t="s">
        <v>381</v>
      </c>
      <c r="C81" s="2" t="s">
        <v>1110</v>
      </c>
      <c r="D81" s="2"/>
      <c r="E81" s="2"/>
      <c r="F81" s="267"/>
      <c r="G81" s="2" t="s">
        <v>212</v>
      </c>
      <c r="H81" s="7">
        <v>-250954.45</v>
      </c>
      <c r="I81" s="236">
        <v>0</v>
      </c>
      <c r="J81" s="3">
        <f t="shared" si="1"/>
        <v>-250954.45</v>
      </c>
    </row>
    <row r="82" spans="1:11" hidden="1" x14ac:dyDescent="0.25">
      <c r="A82" s="2" t="s">
        <v>382</v>
      </c>
      <c r="B82" s="2" t="s">
        <v>383</v>
      </c>
      <c r="C82" s="2" t="s">
        <v>1110</v>
      </c>
      <c r="D82" s="2"/>
      <c r="E82" s="2"/>
      <c r="F82" s="267"/>
      <c r="G82" s="2" t="s">
        <v>212</v>
      </c>
      <c r="H82" s="7">
        <v>-425.04999999999916</v>
      </c>
      <c r="I82" s="236">
        <v>0</v>
      </c>
      <c r="J82" s="3">
        <f t="shared" si="1"/>
        <v>-425.04999999999916</v>
      </c>
    </row>
    <row r="83" spans="1:11" hidden="1" x14ac:dyDescent="0.25">
      <c r="A83" s="2" t="s">
        <v>384</v>
      </c>
      <c r="B83" s="2" t="s">
        <v>385</v>
      </c>
      <c r="C83" s="2" t="s">
        <v>1110</v>
      </c>
      <c r="D83" s="2"/>
      <c r="E83" s="2"/>
      <c r="F83" s="267"/>
      <c r="G83" s="2" t="s">
        <v>212</v>
      </c>
      <c r="H83" s="7">
        <v>-327695.64</v>
      </c>
      <c r="I83" s="236">
        <v>0</v>
      </c>
      <c r="J83" s="3">
        <f t="shared" si="1"/>
        <v>-327695.64</v>
      </c>
    </row>
    <row r="84" spans="1:11" hidden="1" x14ac:dyDescent="0.25">
      <c r="A84" s="2" t="s">
        <v>386</v>
      </c>
      <c r="B84" s="2" t="s">
        <v>387</v>
      </c>
      <c r="C84" s="2" t="s">
        <v>1110</v>
      </c>
      <c r="D84" s="2"/>
      <c r="E84" s="2"/>
      <c r="F84" s="267"/>
      <c r="G84" s="2" t="s">
        <v>212</v>
      </c>
      <c r="H84" s="7">
        <v>-1961451.9100000001</v>
      </c>
      <c r="I84" s="236">
        <v>0</v>
      </c>
      <c r="J84" s="3">
        <f t="shared" si="1"/>
        <v>-1961451.9100000001</v>
      </c>
    </row>
    <row r="85" spans="1:11" hidden="1" x14ac:dyDescent="0.25">
      <c r="A85" s="2" t="s">
        <v>388</v>
      </c>
      <c r="B85" s="2" t="s">
        <v>389</v>
      </c>
      <c r="C85" s="2" t="s">
        <v>1110</v>
      </c>
      <c r="D85" s="2"/>
      <c r="E85" s="2"/>
      <c r="F85" s="267"/>
      <c r="G85" s="2" t="s">
        <v>212</v>
      </c>
      <c r="H85" s="7">
        <v>-19981.150000000005</v>
      </c>
      <c r="I85" s="236">
        <v>0</v>
      </c>
      <c r="J85" s="3">
        <f t="shared" si="1"/>
        <v>-19981.150000000005</v>
      </c>
    </row>
    <row r="86" spans="1:11" hidden="1" x14ac:dyDescent="0.25">
      <c r="A86" s="2" t="s">
        <v>390</v>
      </c>
      <c r="B86" s="2" t="s">
        <v>391</v>
      </c>
      <c r="C86" s="2" t="s">
        <v>1110</v>
      </c>
      <c r="D86" s="2"/>
      <c r="E86" s="2"/>
      <c r="F86" s="267"/>
      <c r="G86" s="2" t="s">
        <v>212</v>
      </c>
      <c r="H86" s="7">
        <v>-3157927.13</v>
      </c>
      <c r="I86" s="236">
        <v>0</v>
      </c>
      <c r="J86" s="3">
        <f t="shared" si="1"/>
        <v>-3157927.13</v>
      </c>
      <c r="K86" t="s">
        <v>1182</v>
      </c>
    </row>
    <row r="87" spans="1:11" hidden="1" x14ac:dyDescent="0.25">
      <c r="A87" s="2" t="s">
        <v>392</v>
      </c>
      <c r="B87" s="2" t="s">
        <v>393</v>
      </c>
      <c r="C87" s="2" t="s">
        <v>1110</v>
      </c>
      <c r="D87" s="2"/>
      <c r="E87" s="2"/>
      <c r="F87" s="267"/>
      <c r="G87" s="2" t="s">
        <v>212</v>
      </c>
      <c r="H87" s="7">
        <v>0</v>
      </c>
      <c r="I87" s="236">
        <v>-51398.742577202989</v>
      </c>
      <c r="J87" s="3">
        <f t="shared" si="1"/>
        <v>51398.742577202989</v>
      </c>
    </row>
    <row r="88" spans="1:11" hidden="1" x14ac:dyDescent="0.25">
      <c r="A88" s="2" t="s">
        <v>394</v>
      </c>
      <c r="B88" s="2" t="s">
        <v>395</v>
      </c>
      <c r="C88" s="2" t="s">
        <v>1110</v>
      </c>
      <c r="D88" s="2"/>
      <c r="E88" s="2"/>
      <c r="F88" s="267"/>
      <c r="G88" s="2" t="s">
        <v>212</v>
      </c>
      <c r="H88" s="7">
        <v>0</v>
      </c>
      <c r="I88" s="236">
        <v>-230625.28709657837</v>
      </c>
      <c r="J88" s="3">
        <f t="shared" si="1"/>
        <v>230625.28709657837</v>
      </c>
    </row>
    <row r="89" spans="1:11" hidden="1" x14ac:dyDescent="0.25">
      <c r="A89" s="2" t="s">
        <v>396</v>
      </c>
      <c r="B89" s="2" t="s">
        <v>397</v>
      </c>
      <c r="C89" s="2" t="s">
        <v>1110</v>
      </c>
      <c r="D89" s="2"/>
      <c r="E89" s="2"/>
      <c r="F89" s="267"/>
      <c r="G89" s="2" t="s">
        <v>212</v>
      </c>
      <c r="H89" s="7">
        <v>-459375.68</v>
      </c>
      <c r="I89" s="236">
        <v>0</v>
      </c>
      <c r="J89" s="3">
        <f t="shared" si="1"/>
        <v>-459375.68</v>
      </c>
    </row>
    <row r="90" spans="1:11" hidden="1" x14ac:dyDescent="0.25">
      <c r="A90" s="2" t="s">
        <v>398</v>
      </c>
      <c r="B90" s="2" t="s">
        <v>399</v>
      </c>
      <c r="C90" s="2" t="s">
        <v>1110</v>
      </c>
      <c r="D90" s="2"/>
      <c r="E90" s="2"/>
      <c r="F90" s="267"/>
      <c r="G90" s="2" t="s">
        <v>212</v>
      </c>
      <c r="H90" s="7">
        <v>-113200.85</v>
      </c>
      <c r="I90" s="236">
        <v>0</v>
      </c>
      <c r="J90" s="3">
        <f t="shared" si="1"/>
        <v>-113200.85</v>
      </c>
    </row>
    <row r="91" spans="1:11" hidden="1" x14ac:dyDescent="0.25">
      <c r="A91" s="2" t="s">
        <v>400</v>
      </c>
      <c r="B91" s="2" t="s">
        <v>401</v>
      </c>
      <c r="C91" s="2" t="s">
        <v>1110</v>
      </c>
      <c r="D91" s="2"/>
      <c r="E91" s="2"/>
      <c r="F91" s="267"/>
      <c r="G91" s="2" t="s">
        <v>212</v>
      </c>
      <c r="H91" s="7">
        <v>-299332.45</v>
      </c>
      <c r="I91" s="236">
        <v>0</v>
      </c>
      <c r="J91" s="3">
        <f t="shared" si="1"/>
        <v>-299332.45</v>
      </c>
    </row>
    <row r="92" spans="1:11" hidden="1" x14ac:dyDescent="0.25">
      <c r="A92" s="2" t="s">
        <v>402</v>
      </c>
      <c r="B92" s="2" t="s">
        <v>403</v>
      </c>
      <c r="C92" s="2" t="s">
        <v>1110</v>
      </c>
      <c r="D92" s="2"/>
      <c r="E92" s="2"/>
      <c r="F92" s="267"/>
      <c r="G92" s="2" t="s">
        <v>212</v>
      </c>
      <c r="H92" s="7">
        <v>-56351.91</v>
      </c>
      <c r="I92" s="236">
        <v>0</v>
      </c>
      <c r="J92" s="3">
        <f t="shared" si="1"/>
        <v>-56351.91</v>
      </c>
    </row>
    <row r="93" spans="1:11" hidden="1" x14ac:dyDescent="0.25">
      <c r="A93" s="2" t="s">
        <v>404</v>
      </c>
      <c r="B93" s="2" t="s">
        <v>405</v>
      </c>
      <c r="C93" s="2" t="s">
        <v>1110</v>
      </c>
      <c r="D93" s="2"/>
      <c r="E93" s="2"/>
      <c r="F93" s="267"/>
      <c r="G93" s="2" t="s">
        <v>212</v>
      </c>
      <c r="H93" s="7">
        <v>-306484.38</v>
      </c>
      <c r="I93" s="236">
        <v>0</v>
      </c>
      <c r="J93" s="3">
        <f t="shared" si="1"/>
        <v>-306484.38</v>
      </c>
    </row>
    <row r="94" spans="1:11" hidden="1" x14ac:dyDescent="0.25">
      <c r="A94" s="2" t="s">
        <v>406</v>
      </c>
      <c r="B94" s="2" t="s">
        <v>407</v>
      </c>
      <c r="C94" s="2" t="s">
        <v>145</v>
      </c>
      <c r="D94" s="2"/>
      <c r="E94" s="2"/>
      <c r="F94" s="267"/>
      <c r="G94" s="2" t="s">
        <v>212</v>
      </c>
      <c r="H94" s="7">
        <v>-73787.26999999999</v>
      </c>
      <c r="I94" s="236">
        <v>0</v>
      </c>
      <c r="J94" s="3">
        <f t="shared" si="1"/>
        <v>-73787.26999999999</v>
      </c>
    </row>
    <row r="95" spans="1:11" hidden="1" x14ac:dyDescent="0.25">
      <c r="A95" s="2" t="s">
        <v>408</v>
      </c>
      <c r="B95" s="2" t="s">
        <v>409</v>
      </c>
      <c r="C95" s="2" t="s">
        <v>145</v>
      </c>
      <c r="D95" s="2"/>
      <c r="E95" s="2"/>
      <c r="F95" s="267"/>
      <c r="G95" s="2" t="s">
        <v>212</v>
      </c>
      <c r="H95" s="7">
        <v>-3356315.0699999994</v>
      </c>
      <c r="I95" s="236">
        <v>-645020.33614717005</v>
      </c>
      <c r="J95" s="3">
        <f t="shared" si="1"/>
        <v>-2711294.7338528293</v>
      </c>
    </row>
    <row r="96" spans="1:11" hidden="1" x14ac:dyDescent="0.25">
      <c r="A96" s="2" t="s">
        <v>410</v>
      </c>
      <c r="B96" s="2" t="s">
        <v>411</v>
      </c>
      <c r="C96" s="2" t="s">
        <v>145</v>
      </c>
      <c r="D96" s="2"/>
      <c r="E96" s="2"/>
      <c r="F96" s="267"/>
      <c r="G96" s="2" t="s">
        <v>212</v>
      </c>
      <c r="H96" s="7">
        <v>-1428860.6400000001</v>
      </c>
      <c r="I96" s="236">
        <v>-18552.151941120021</v>
      </c>
      <c r="J96" s="3">
        <f t="shared" si="1"/>
        <v>-1410308.4880588802</v>
      </c>
    </row>
    <row r="97" spans="1:10" hidden="1" x14ac:dyDescent="0.25">
      <c r="A97" s="2" t="s">
        <v>412</v>
      </c>
      <c r="B97" s="2" t="s">
        <v>413</v>
      </c>
      <c r="C97" s="2" t="s">
        <v>1110</v>
      </c>
      <c r="D97" s="2"/>
      <c r="E97" s="2"/>
      <c r="F97" s="267"/>
      <c r="G97" s="2" t="s">
        <v>212</v>
      </c>
      <c r="H97" s="7">
        <v>-524957.73</v>
      </c>
      <c r="I97" s="236">
        <v>0</v>
      </c>
      <c r="J97" s="3">
        <f t="shared" si="1"/>
        <v>-524957.73</v>
      </c>
    </row>
    <row r="98" spans="1:10" hidden="1" x14ac:dyDescent="0.25">
      <c r="A98" s="2" t="s">
        <v>414</v>
      </c>
      <c r="B98" s="2" t="s">
        <v>415</v>
      </c>
      <c r="C98" s="2" t="s">
        <v>1110</v>
      </c>
      <c r="D98" s="2"/>
      <c r="E98" s="2"/>
      <c r="F98" s="267"/>
      <c r="G98" s="2" t="s">
        <v>212</v>
      </c>
      <c r="H98" s="7">
        <v>-0.59000000000000341</v>
      </c>
      <c r="I98" s="236">
        <v>0</v>
      </c>
      <c r="J98" s="3">
        <f t="shared" si="1"/>
        <v>-0.59000000000000341</v>
      </c>
    </row>
    <row r="99" spans="1:10" hidden="1" x14ac:dyDescent="0.25">
      <c r="A99" s="2" t="s">
        <v>416</v>
      </c>
      <c r="B99" s="2" t="s">
        <v>417</v>
      </c>
      <c r="C99" s="2" t="s">
        <v>1110</v>
      </c>
      <c r="D99" s="2"/>
      <c r="E99" s="2"/>
      <c r="F99" s="267"/>
      <c r="G99" s="266" t="s">
        <v>212</v>
      </c>
      <c r="H99" s="7">
        <v>-173015.98</v>
      </c>
      <c r="I99" s="236">
        <v>0</v>
      </c>
      <c r="J99" s="3">
        <f t="shared" si="1"/>
        <v>-173015.98</v>
      </c>
    </row>
    <row r="100" spans="1:10" hidden="1" x14ac:dyDescent="0.25">
      <c r="A100" s="2" t="s">
        <v>418</v>
      </c>
      <c r="B100" s="2" t="s">
        <v>419</v>
      </c>
      <c r="C100" s="2" t="s">
        <v>1110</v>
      </c>
      <c r="D100" s="2"/>
      <c r="E100" s="2"/>
      <c r="F100" s="267"/>
      <c r="G100" s="2" t="s">
        <v>213</v>
      </c>
      <c r="H100" s="7">
        <v>-247721.98</v>
      </c>
      <c r="I100" s="236">
        <v>0</v>
      </c>
      <c r="J100" s="3">
        <f t="shared" si="1"/>
        <v>-247721.98</v>
      </c>
    </row>
    <row r="101" spans="1:10" hidden="1" x14ac:dyDescent="0.25">
      <c r="A101" s="2" t="s">
        <v>421</v>
      </c>
      <c r="B101" s="2" t="s">
        <v>422</v>
      </c>
      <c r="C101" s="2" t="s">
        <v>1110</v>
      </c>
      <c r="D101" s="2"/>
      <c r="E101" s="2"/>
      <c r="F101" s="267"/>
      <c r="G101" s="2" t="s">
        <v>212</v>
      </c>
      <c r="H101" s="7">
        <v>15500</v>
      </c>
      <c r="I101" s="236">
        <v>0</v>
      </c>
      <c r="J101" s="3">
        <f t="shared" si="1"/>
        <v>15500</v>
      </c>
    </row>
    <row r="102" spans="1:10" hidden="1" x14ac:dyDescent="0.25">
      <c r="A102" s="2" t="s">
        <v>423</v>
      </c>
      <c r="B102" s="2" t="s">
        <v>424</v>
      </c>
      <c r="C102" s="2" t="s">
        <v>1110</v>
      </c>
      <c r="D102" s="2"/>
      <c r="E102" s="2"/>
      <c r="F102" s="267"/>
      <c r="G102" s="2" t="s">
        <v>210</v>
      </c>
      <c r="H102" s="7">
        <v>-2.2899999999999636</v>
      </c>
      <c r="I102" s="236">
        <v>0</v>
      </c>
      <c r="J102" s="3">
        <f t="shared" si="1"/>
        <v>-2.2899999999999636</v>
      </c>
    </row>
    <row r="103" spans="1:10" hidden="1" x14ac:dyDescent="0.25">
      <c r="A103" s="2" t="s">
        <v>425</v>
      </c>
      <c r="B103" s="2" t="s">
        <v>426</v>
      </c>
      <c r="C103" s="2" t="s">
        <v>1110</v>
      </c>
      <c r="D103" s="2"/>
      <c r="E103" s="2"/>
      <c r="F103" s="267"/>
      <c r="G103" s="2" t="s">
        <v>212</v>
      </c>
      <c r="H103" s="7">
        <v>-882038.44000000006</v>
      </c>
      <c r="I103" s="236">
        <v>0</v>
      </c>
      <c r="J103" s="3">
        <f t="shared" si="1"/>
        <v>-882038.44000000006</v>
      </c>
    </row>
    <row r="104" spans="1:10" hidden="1" x14ac:dyDescent="0.25">
      <c r="A104" s="2" t="s">
        <v>427</v>
      </c>
      <c r="B104" s="2" t="s">
        <v>428</v>
      </c>
      <c r="C104" s="2" t="s">
        <v>1110</v>
      </c>
      <c r="D104" s="2"/>
      <c r="E104" s="2"/>
      <c r="F104" s="267"/>
      <c r="G104" s="2" t="s">
        <v>212</v>
      </c>
      <c r="H104" s="7">
        <v>-470084.62</v>
      </c>
      <c r="I104" s="236">
        <v>0</v>
      </c>
      <c r="J104" s="3">
        <f t="shared" si="1"/>
        <v>-470084.62</v>
      </c>
    </row>
    <row r="105" spans="1:10" hidden="1" x14ac:dyDescent="0.25">
      <c r="A105" s="2" t="s">
        <v>429</v>
      </c>
      <c r="B105" s="2" t="s">
        <v>430</v>
      </c>
      <c r="C105" s="2" t="s">
        <v>1110</v>
      </c>
      <c r="D105" s="2"/>
      <c r="E105" s="2"/>
      <c r="F105" s="267"/>
      <c r="G105" s="2" t="s">
        <v>212</v>
      </c>
      <c r="H105" s="7">
        <v>-576124.28</v>
      </c>
      <c r="I105" s="236">
        <v>0</v>
      </c>
      <c r="J105" s="3">
        <f t="shared" si="1"/>
        <v>-576124.28</v>
      </c>
    </row>
    <row r="106" spans="1:10" hidden="1" x14ac:dyDescent="0.25">
      <c r="A106" s="2" t="s">
        <v>431</v>
      </c>
      <c r="B106" s="2" t="s">
        <v>432</v>
      </c>
      <c r="C106" s="2" t="s">
        <v>1110</v>
      </c>
      <c r="D106" s="2"/>
      <c r="E106" s="2"/>
      <c r="F106" s="267"/>
      <c r="G106" s="2" t="s">
        <v>212</v>
      </c>
      <c r="H106" s="7">
        <v>-33539.71</v>
      </c>
      <c r="I106" s="236">
        <v>0</v>
      </c>
      <c r="J106" s="3">
        <f t="shared" si="1"/>
        <v>-33539.71</v>
      </c>
    </row>
    <row r="107" spans="1:10" hidden="1" x14ac:dyDescent="0.25">
      <c r="A107" s="2" t="s">
        <v>433</v>
      </c>
      <c r="B107" s="2" t="s">
        <v>434</v>
      </c>
      <c r="C107" s="2" t="s">
        <v>1110</v>
      </c>
      <c r="D107" s="2"/>
      <c r="E107" s="2"/>
      <c r="F107" s="267"/>
      <c r="G107" s="2" t="s">
        <v>212</v>
      </c>
      <c r="H107" s="7">
        <v>-476264.60000000003</v>
      </c>
      <c r="I107" s="236">
        <v>0</v>
      </c>
      <c r="J107" s="3">
        <f t="shared" si="1"/>
        <v>-476264.60000000003</v>
      </c>
    </row>
    <row r="108" spans="1:10" hidden="1" x14ac:dyDescent="0.25">
      <c r="A108" s="2" t="s">
        <v>435</v>
      </c>
      <c r="B108" s="2" t="s">
        <v>436</v>
      </c>
      <c r="C108" s="2" t="s">
        <v>1110</v>
      </c>
      <c r="D108" s="2"/>
      <c r="E108" s="2"/>
      <c r="F108" s="267"/>
      <c r="G108" s="2" t="s">
        <v>212</v>
      </c>
      <c r="H108" s="7">
        <v>-93040.03</v>
      </c>
      <c r="I108" s="236">
        <v>0</v>
      </c>
      <c r="J108" s="3">
        <f t="shared" si="1"/>
        <v>-93040.03</v>
      </c>
    </row>
    <row r="109" spans="1:10" hidden="1" x14ac:dyDescent="0.25">
      <c r="A109" s="2" t="s">
        <v>437</v>
      </c>
      <c r="B109" s="2" t="s">
        <v>438</v>
      </c>
      <c r="C109" s="2" t="s">
        <v>145</v>
      </c>
      <c r="D109" s="2"/>
      <c r="E109" s="2"/>
      <c r="F109" s="267"/>
      <c r="G109" s="2" t="s">
        <v>212</v>
      </c>
      <c r="H109" s="7">
        <v>-148811.32999999999</v>
      </c>
      <c r="I109" s="236">
        <v>0</v>
      </c>
      <c r="J109" s="3">
        <f t="shared" si="1"/>
        <v>-148811.32999999999</v>
      </c>
    </row>
    <row r="110" spans="1:10" hidden="1" x14ac:dyDescent="0.25">
      <c r="A110" s="2" t="s">
        <v>439</v>
      </c>
      <c r="B110" s="2" t="s">
        <v>440</v>
      </c>
      <c r="C110" s="2" t="s">
        <v>145</v>
      </c>
      <c r="D110" s="2"/>
      <c r="E110" s="2"/>
      <c r="F110" s="267"/>
      <c r="G110" s="266" t="s">
        <v>212</v>
      </c>
      <c r="H110" s="7">
        <v>-57991.95</v>
      </c>
      <c r="I110" s="236">
        <v>0</v>
      </c>
      <c r="J110" s="3">
        <f t="shared" si="1"/>
        <v>-57991.95</v>
      </c>
    </row>
    <row r="111" spans="1:10" hidden="1" x14ac:dyDescent="0.25">
      <c r="A111" s="2" t="s">
        <v>441</v>
      </c>
      <c r="B111" s="2" t="s">
        <v>442</v>
      </c>
      <c r="C111" s="2" t="s">
        <v>145</v>
      </c>
      <c r="D111" s="2"/>
      <c r="E111" s="2"/>
      <c r="F111" s="267"/>
      <c r="G111" s="2" t="s">
        <v>212</v>
      </c>
      <c r="H111" s="7">
        <v>-68093.81</v>
      </c>
      <c r="I111" s="236">
        <v>0</v>
      </c>
      <c r="J111" s="3">
        <f t="shared" si="1"/>
        <v>-68093.81</v>
      </c>
    </row>
    <row r="112" spans="1:10" hidden="1" x14ac:dyDescent="0.25">
      <c r="A112" s="2" t="s">
        <v>443</v>
      </c>
      <c r="B112" s="2" t="s">
        <v>444</v>
      </c>
      <c r="C112" s="2" t="s">
        <v>1110</v>
      </c>
      <c r="D112" s="2"/>
      <c r="E112" s="2"/>
      <c r="F112" s="267"/>
      <c r="G112" s="2" t="s">
        <v>212</v>
      </c>
      <c r="H112" s="7">
        <v>-146553.16999999998</v>
      </c>
      <c r="I112" s="236">
        <v>0</v>
      </c>
      <c r="J112" s="3">
        <f t="shared" si="1"/>
        <v>-146553.16999999998</v>
      </c>
    </row>
    <row r="113" spans="1:11" hidden="1" x14ac:dyDescent="0.25">
      <c r="A113" s="2" t="s">
        <v>445</v>
      </c>
      <c r="B113" s="2" t="s">
        <v>446</v>
      </c>
      <c r="C113" s="2" t="s">
        <v>1110</v>
      </c>
      <c r="D113" s="2"/>
      <c r="E113" s="2"/>
      <c r="F113" s="267"/>
      <c r="G113" s="2" t="s">
        <v>212</v>
      </c>
      <c r="H113" s="7">
        <v>-417130.12</v>
      </c>
      <c r="I113" s="236">
        <v>0</v>
      </c>
      <c r="J113" s="3">
        <f t="shared" si="1"/>
        <v>-417130.12</v>
      </c>
    </row>
    <row r="114" spans="1:11" hidden="1" x14ac:dyDescent="0.25">
      <c r="A114" s="2" t="s">
        <v>447</v>
      </c>
      <c r="B114" s="2" t="s">
        <v>448</v>
      </c>
      <c r="C114" s="2" t="s">
        <v>1110</v>
      </c>
      <c r="D114" s="2"/>
      <c r="E114" s="2"/>
      <c r="F114" s="267"/>
      <c r="G114" s="266" t="s">
        <v>212</v>
      </c>
      <c r="H114" s="7">
        <v>-508126.07</v>
      </c>
      <c r="I114" s="236">
        <v>0</v>
      </c>
      <c r="J114" s="3">
        <f t="shared" si="1"/>
        <v>-508126.07</v>
      </c>
    </row>
    <row r="115" spans="1:11" hidden="1" x14ac:dyDescent="0.25">
      <c r="A115" s="2" t="s">
        <v>449</v>
      </c>
      <c r="B115" s="2" t="s">
        <v>450</v>
      </c>
      <c r="C115" s="2" t="s">
        <v>1110</v>
      </c>
      <c r="D115" s="2"/>
      <c r="E115" s="2"/>
      <c r="F115" s="267"/>
      <c r="G115" s="266" t="s">
        <v>212</v>
      </c>
      <c r="H115" s="7">
        <v>-75762.13</v>
      </c>
      <c r="I115" s="236">
        <v>0</v>
      </c>
      <c r="J115" s="3">
        <f t="shared" si="1"/>
        <v>-75762.13</v>
      </c>
    </row>
    <row r="116" spans="1:11" hidden="1" x14ac:dyDescent="0.25">
      <c r="A116" s="2" t="s">
        <v>451</v>
      </c>
      <c r="B116" s="2" t="s">
        <v>452</v>
      </c>
      <c r="C116" s="2" t="s">
        <v>145</v>
      </c>
      <c r="D116" s="2"/>
      <c r="E116" s="2"/>
      <c r="F116" s="267"/>
      <c r="G116" s="2" t="s">
        <v>212</v>
      </c>
      <c r="H116" s="7">
        <v>-1318800.5499999998</v>
      </c>
      <c r="I116" s="236">
        <v>0</v>
      </c>
      <c r="J116" s="3">
        <f t="shared" si="1"/>
        <v>-1318800.5499999998</v>
      </c>
    </row>
    <row r="117" spans="1:11" hidden="1" x14ac:dyDescent="0.25">
      <c r="A117" s="2" t="s">
        <v>453</v>
      </c>
      <c r="B117" s="2" t="s">
        <v>454</v>
      </c>
      <c r="C117" s="2" t="s">
        <v>145</v>
      </c>
      <c r="D117" s="2"/>
      <c r="E117" s="2"/>
      <c r="F117" s="267"/>
      <c r="G117" s="2" t="s">
        <v>212</v>
      </c>
      <c r="H117" s="7">
        <v>-321365.08000000007</v>
      </c>
      <c r="I117" s="236">
        <v>0</v>
      </c>
      <c r="J117" s="3">
        <f t="shared" si="1"/>
        <v>-321365.08000000007</v>
      </c>
    </row>
    <row r="118" spans="1:11" hidden="1" x14ac:dyDescent="0.25">
      <c r="A118" s="2" t="s">
        <v>455</v>
      </c>
      <c r="B118" s="2" t="s">
        <v>456</v>
      </c>
      <c r="C118" s="2" t="s">
        <v>1110</v>
      </c>
      <c r="D118" s="2"/>
      <c r="E118" s="2"/>
      <c r="F118" s="267"/>
      <c r="G118" s="2" t="s">
        <v>212</v>
      </c>
      <c r="H118" s="7">
        <v>-1244576.51</v>
      </c>
      <c r="I118" s="236">
        <v>-1661834.5599999996</v>
      </c>
      <c r="J118" s="3">
        <f t="shared" si="1"/>
        <v>417258.04999999958</v>
      </c>
    </row>
    <row r="119" spans="1:11" hidden="1" x14ac:dyDescent="0.25">
      <c r="A119" s="2" t="s">
        <v>457</v>
      </c>
      <c r="B119" s="2" t="s">
        <v>458</v>
      </c>
      <c r="C119" s="2" t="s">
        <v>145</v>
      </c>
      <c r="D119" s="2"/>
      <c r="E119" s="2"/>
      <c r="F119" s="267"/>
      <c r="G119" s="2" t="s">
        <v>212</v>
      </c>
      <c r="H119" s="7">
        <v>-139346.36000000002</v>
      </c>
      <c r="I119" s="236">
        <v>-421.66687436472955</v>
      </c>
      <c r="J119" s="3">
        <f t="shared" si="1"/>
        <v>-138924.6931256353</v>
      </c>
    </row>
    <row r="120" spans="1:11" hidden="1" x14ac:dyDescent="0.25">
      <c r="A120" s="2" t="s">
        <v>459</v>
      </c>
      <c r="B120" s="2" t="s">
        <v>460</v>
      </c>
      <c r="C120" s="2" t="s">
        <v>1110</v>
      </c>
      <c r="D120" s="2"/>
      <c r="E120" s="2"/>
      <c r="F120" s="267"/>
      <c r="G120" s="2" t="s">
        <v>212</v>
      </c>
      <c r="H120" s="7">
        <v>-596672.58000000007</v>
      </c>
      <c r="I120" s="236">
        <v>0</v>
      </c>
      <c r="J120" s="3">
        <f t="shared" si="1"/>
        <v>-596672.58000000007</v>
      </c>
    </row>
    <row r="121" spans="1:11" hidden="1" x14ac:dyDescent="0.25">
      <c r="A121" s="2" t="s">
        <v>461</v>
      </c>
      <c r="B121" s="2" t="s">
        <v>462</v>
      </c>
      <c r="C121" s="2" t="s">
        <v>1110</v>
      </c>
      <c r="D121" s="2"/>
      <c r="E121" s="2"/>
      <c r="F121" s="267"/>
      <c r="G121" s="2" t="s">
        <v>212</v>
      </c>
      <c r="H121" s="7">
        <v>0</v>
      </c>
      <c r="I121" s="236">
        <v>-44173.665237850924</v>
      </c>
      <c r="J121" s="3">
        <f t="shared" si="1"/>
        <v>44173.665237850924</v>
      </c>
    </row>
    <row r="122" spans="1:11" hidden="1" x14ac:dyDescent="0.25">
      <c r="A122" s="2" t="s">
        <v>463</v>
      </c>
      <c r="B122" s="2" t="s">
        <v>464</v>
      </c>
      <c r="C122" s="2" t="s">
        <v>1110</v>
      </c>
      <c r="D122" s="2"/>
      <c r="E122" s="2"/>
      <c r="F122" s="267"/>
      <c r="G122" s="2" t="s">
        <v>212</v>
      </c>
      <c r="H122" s="7">
        <v>0</v>
      </c>
      <c r="I122" s="236">
        <v>-41949.841007986557</v>
      </c>
      <c r="J122" s="3">
        <f t="shared" si="1"/>
        <v>41949.841007986557</v>
      </c>
    </row>
    <row r="123" spans="1:11" hidden="1" x14ac:dyDescent="0.25">
      <c r="A123" s="2" t="s">
        <v>465</v>
      </c>
      <c r="B123" s="2" t="s">
        <v>466</v>
      </c>
      <c r="C123" s="2" t="s">
        <v>1110</v>
      </c>
      <c r="D123" s="2"/>
      <c r="E123" s="2"/>
      <c r="F123" s="267"/>
      <c r="G123" s="2" t="s">
        <v>212</v>
      </c>
      <c r="H123" s="7">
        <v>0</v>
      </c>
      <c r="I123" s="236">
        <v>-644.54759564736275</v>
      </c>
      <c r="J123" s="3">
        <f t="shared" si="1"/>
        <v>644.54759564736275</v>
      </c>
    </row>
    <row r="124" spans="1:11" hidden="1" x14ac:dyDescent="0.25">
      <c r="A124" s="2" t="s">
        <v>467</v>
      </c>
      <c r="B124" s="2" t="s">
        <v>468</v>
      </c>
      <c r="C124" s="2" t="s">
        <v>1110</v>
      </c>
      <c r="D124" s="2"/>
      <c r="E124" s="2"/>
      <c r="F124" s="267"/>
      <c r="G124" s="2" t="s">
        <v>212</v>
      </c>
      <c r="H124" s="7">
        <v>-152444.1</v>
      </c>
      <c r="I124" s="236">
        <v>-20176.051433830791</v>
      </c>
      <c r="J124" s="3">
        <f t="shared" si="1"/>
        <v>-132268.04856616922</v>
      </c>
    </row>
    <row r="125" spans="1:11" hidden="1" x14ac:dyDescent="0.25">
      <c r="A125" s="2" t="s">
        <v>469</v>
      </c>
      <c r="B125" s="2" t="s">
        <v>470</v>
      </c>
      <c r="C125" s="2" t="s">
        <v>1110</v>
      </c>
      <c r="D125" s="2"/>
      <c r="E125" s="2"/>
      <c r="F125" s="267"/>
      <c r="G125" s="2" t="s">
        <v>212</v>
      </c>
      <c r="H125" s="7">
        <v>-4803142.9999999991</v>
      </c>
      <c r="I125" s="236">
        <v>0</v>
      </c>
      <c r="J125" s="3">
        <f t="shared" si="1"/>
        <v>-4803142.9999999991</v>
      </c>
    </row>
    <row r="126" spans="1:11" hidden="1" x14ac:dyDescent="0.25">
      <c r="A126" s="2" t="s">
        <v>471</v>
      </c>
      <c r="B126" s="2" t="s">
        <v>1181</v>
      </c>
      <c r="C126" s="2" t="s">
        <v>1110</v>
      </c>
      <c r="D126" s="2"/>
      <c r="E126" s="2"/>
      <c r="F126" s="267"/>
      <c r="G126" s="2" t="s">
        <v>212</v>
      </c>
      <c r="H126" s="7">
        <v>-13890829.82</v>
      </c>
      <c r="I126" s="236">
        <v>0</v>
      </c>
      <c r="J126" s="3">
        <f t="shared" si="1"/>
        <v>-13890829.82</v>
      </c>
      <c r="K126" t="s">
        <v>1182</v>
      </c>
    </row>
    <row r="127" spans="1:11" hidden="1" x14ac:dyDescent="0.25">
      <c r="A127" s="2" t="s">
        <v>472</v>
      </c>
      <c r="B127" s="2" t="s">
        <v>473</v>
      </c>
      <c r="C127" s="2" t="s">
        <v>1110</v>
      </c>
      <c r="D127" s="2"/>
      <c r="E127" s="2"/>
      <c r="F127" s="267"/>
      <c r="G127" s="2" t="s">
        <v>212</v>
      </c>
      <c r="H127" s="7">
        <v>-3464827.4699999997</v>
      </c>
      <c r="I127" s="236">
        <v>-1003078.9999999995</v>
      </c>
      <c r="J127" s="3">
        <f t="shared" si="1"/>
        <v>-2461748.4700000002</v>
      </c>
    </row>
    <row r="128" spans="1:11" hidden="1" x14ac:dyDescent="0.25">
      <c r="A128" s="2" t="s">
        <v>474</v>
      </c>
      <c r="B128" s="2" t="s">
        <v>475</v>
      </c>
      <c r="C128" s="2" t="s">
        <v>1110</v>
      </c>
      <c r="D128" s="2"/>
      <c r="E128" s="2"/>
      <c r="F128" s="267"/>
      <c r="G128" s="266" t="s">
        <v>212</v>
      </c>
      <c r="H128" s="7">
        <v>-92038.919999999984</v>
      </c>
      <c r="I128" s="236">
        <v>0</v>
      </c>
      <c r="J128" s="3">
        <f t="shared" si="1"/>
        <v>-92038.919999999984</v>
      </c>
    </row>
    <row r="129" spans="1:10" hidden="1" x14ac:dyDescent="0.25">
      <c r="A129" s="2" t="s">
        <v>476</v>
      </c>
      <c r="B129" s="2" t="s">
        <v>477</v>
      </c>
      <c r="C129" s="2" t="s">
        <v>1110</v>
      </c>
      <c r="D129" s="2"/>
      <c r="E129" s="2"/>
      <c r="F129" s="267"/>
      <c r="G129" s="2" t="s">
        <v>212</v>
      </c>
      <c r="H129" s="7">
        <v>-12718.160000000002</v>
      </c>
      <c r="I129" s="236">
        <v>0</v>
      </c>
      <c r="J129" s="3">
        <f t="shared" si="1"/>
        <v>-12718.160000000002</v>
      </c>
    </row>
    <row r="130" spans="1:10" hidden="1" x14ac:dyDescent="0.25">
      <c r="A130" s="2" t="s">
        <v>478</v>
      </c>
      <c r="B130" s="2" t="s">
        <v>479</v>
      </c>
      <c r="C130" s="2" t="s">
        <v>1110</v>
      </c>
      <c r="D130" s="2"/>
      <c r="E130" s="2"/>
      <c r="F130" s="267"/>
      <c r="G130" s="2" t="s">
        <v>212</v>
      </c>
      <c r="H130" s="7">
        <v>-836483.47</v>
      </c>
      <c r="I130" s="236">
        <v>0</v>
      </c>
      <c r="J130" s="3">
        <f t="shared" si="1"/>
        <v>-836483.47</v>
      </c>
    </row>
    <row r="131" spans="1:10" hidden="1" x14ac:dyDescent="0.25">
      <c r="A131" s="2" t="s">
        <v>480</v>
      </c>
      <c r="B131" s="2" t="s">
        <v>481</v>
      </c>
      <c r="C131" s="2" t="s">
        <v>1110</v>
      </c>
      <c r="D131" s="2"/>
      <c r="E131" s="2"/>
      <c r="F131" s="267"/>
      <c r="G131" s="2" t="s">
        <v>212</v>
      </c>
      <c r="H131" s="7">
        <v>-59322.22</v>
      </c>
      <c r="I131" s="236">
        <v>0</v>
      </c>
      <c r="J131" s="3">
        <f t="shared" si="1"/>
        <v>-59322.22</v>
      </c>
    </row>
    <row r="132" spans="1:10" x14ac:dyDescent="0.25">
      <c r="A132" s="2" t="s">
        <v>482</v>
      </c>
      <c r="B132" s="2" t="s">
        <v>483</v>
      </c>
      <c r="C132" s="2" t="s">
        <v>145</v>
      </c>
      <c r="D132" s="2"/>
      <c r="E132" s="2"/>
      <c r="F132" s="267"/>
      <c r="G132" s="2" t="s">
        <v>211</v>
      </c>
      <c r="H132" s="7">
        <v>-148152.47</v>
      </c>
      <c r="I132" s="236">
        <v>-204487.45520890108</v>
      </c>
      <c r="J132" s="3">
        <f t="shared" si="1"/>
        <v>56334.985208901082</v>
      </c>
    </row>
    <row r="133" spans="1:10" x14ac:dyDescent="0.25">
      <c r="A133" s="2" t="s">
        <v>484</v>
      </c>
      <c r="B133" s="2" t="s">
        <v>485</v>
      </c>
      <c r="C133" s="2" t="s">
        <v>145</v>
      </c>
      <c r="D133" s="2"/>
      <c r="E133" s="2"/>
      <c r="F133" s="267"/>
      <c r="G133" s="2" t="s">
        <v>211</v>
      </c>
      <c r="H133" s="7">
        <v>-117661.39</v>
      </c>
      <c r="I133" s="236">
        <v>-9182.5081694425899</v>
      </c>
      <c r="J133" s="3">
        <f t="shared" si="1"/>
        <v>-108478.88183055741</v>
      </c>
    </row>
    <row r="134" spans="1:10" x14ac:dyDescent="0.25">
      <c r="A134" s="2" t="s">
        <v>486</v>
      </c>
      <c r="B134" s="2" t="s">
        <v>487</v>
      </c>
      <c r="C134" s="2" t="s">
        <v>145</v>
      </c>
      <c r="D134" s="2"/>
      <c r="E134" s="2"/>
      <c r="F134" s="267"/>
      <c r="G134" s="2" t="s">
        <v>211</v>
      </c>
      <c r="H134" s="7">
        <v>-3271155.48</v>
      </c>
      <c r="I134" s="236">
        <v>-2083698.3723989616</v>
      </c>
      <c r="J134" s="3">
        <f t="shared" ref="J134:J197" si="2">H134-I134</f>
        <v>-1187457.1076010384</v>
      </c>
    </row>
    <row r="135" spans="1:10" x14ac:dyDescent="0.25">
      <c r="A135" s="2" t="s">
        <v>488</v>
      </c>
      <c r="B135" s="2" t="s">
        <v>489</v>
      </c>
      <c r="C135" s="2" t="s">
        <v>145</v>
      </c>
      <c r="D135" s="2"/>
      <c r="E135" s="2"/>
      <c r="F135" s="267"/>
      <c r="G135" s="2" t="s">
        <v>211</v>
      </c>
      <c r="H135" s="7">
        <v>-4351.8999999999996</v>
      </c>
      <c r="I135" s="236">
        <v>-8741.8672479930447</v>
      </c>
      <c r="J135" s="3">
        <f t="shared" si="2"/>
        <v>4389.967247993045</v>
      </c>
    </row>
    <row r="136" spans="1:10" x14ac:dyDescent="0.25">
      <c r="A136" s="2" t="s">
        <v>490</v>
      </c>
      <c r="B136" s="2" t="s">
        <v>491</v>
      </c>
      <c r="C136" s="2" t="s">
        <v>145</v>
      </c>
      <c r="D136" s="2"/>
      <c r="E136" s="2"/>
      <c r="F136" s="267"/>
      <c r="G136" s="2" t="s">
        <v>211</v>
      </c>
      <c r="H136" s="7">
        <v>-6855945.3500000006</v>
      </c>
      <c r="I136" s="236">
        <v>-7274662.1972517809</v>
      </c>
      <c r="J136" s="3">
        <f t="shared" si="2"/>
        <v>418716.84725178033</v>
      </c>
    </row>
    <row r="137" spans="1:10" x14ac:dyDescent="0.25">
      <c r="A137" s="2" t="s">
        <v>492</v>
      </c>
      <c r="B137" s="2" t="s">
        <v>493</v>
      </c>
      <c r="C137" s="2" t="s">
        <v>145</v>
      </c>
      <c r="D137" s="2"/>
      <c r="E137" s="2"/>
      <c r="F137" s="267"/>
      <c r="G137" s="2" t="s">
        <v>211</v>
      </c>
      <c r="H137" s="7">
        <v>-1624.43</v>
      </c>
      <c r="I137" s="236">
        <v>0</v>
      </c>
      <c r="J137" s="3">
        <f t="shared" si="2"/>
        <v>-1624.43</v>
      </c>
    </row>
    <row r="138" spans="1:10" x14ac:dyDescent="0.25">
      <c r="A138" s="2" t="s">
        <v>494</v>
      </c>
      <c r="B138" s="2" t="s">
        <v>495</v>
      </c>
      <c r="C138" s="2" t="s">
        <v>145</v>
      </c>
      <c r="D138" s="2"/>
      <c r="E138" s="2"/>
      <c r="F138" s="267"/>
      <c r="G138" s="2" t="s">
        <v>211</v>
      </c>
      <c r="H138" s="7">
        <v>-17735305.920000002</v>
      </c>
      <c r="I138" s="236">
        <v>-12334338.251034532</v>
      </c>
      <c r="J138" s="3">
        <f t="shared" si="2"/>
        <v>-5400967.66896547</v>
      </c>
    </row>
    <row r="139" spans="1:10" x14ac:dyDescent="0.25">
      <c r="A139" s="2" t="s">
        <v>496</v>
      </c>
      <c r="B139" s="2" t="s">
        <v>497</v>
      </c>
      <c r="C139" s="2" t="s">
        <v>145</v>
      </c>
      <c r="D139" s="2"/>
      <c r="E139" s="2"/>
      <c r="F139" s="267"/>
      <c r="G139" s="2" t="s">
        <v>211</v>
      </c>
      <c r="H139" s="7">
        <v>-900406.27000000014</v>
      </c>
      <c r="I139" s="236">
        <v>0</v>
      </c>
      <c r="J139" s="3">
        <f t="shared" si="2"/>
        <v>-900406.27000000014</v>
      </c>
    </row>
    <row r="140" spans="1:10" x14ac:dyDescent="0.25">
      <c r="A140" s="2" t="s">
        <v>498</v>
      </c>
      <c r="B140" s="2" t="s">
        <v>499</v>
      </c>
      <c r="C140" s="2" t="s">
        <v>145</v>
      </c>
      <c r="D140" s="2"/>
      <c r="E140" s="2"/>
      <c r="F140" s="267"/>
      <c r="G140" s="2" t="s">
        <v>211</v>
      </c>
      <c r="H140" s="7">
        <v>-73042.259999999995</v>
      </c>
      <c r="I140" s="236">
        <v>0</v>
      </c>
      <c r="J140" s="3">
        <f t="shared" si="2"/>
        <v>-73042.259999999995</v>
      </c>
    </row>
    <row r="141" spans="1:10" x14ac:dyDescent="0.25">
      <c r="A141" s="2" t="s">
        <v>500</v>
      </c>
      <c r="B141" s="2" t="s">
        <v>501</v>
      </c>
      <c r="C141" s="2" t="s">
        <v>145</v>
      </c>
      <c r="D141" s="2"/>
      <c r="E141" s="2"/>
      <c r="F141" s="267"/>
      <c r="G141" s="2" t="s">
        <v>211</v>
      </c>
      <c r="H141" s="7">
        <v>0</v>
      </c>
      <c r="I141" s="236">
        <v>-9218984.0155663453</v>
      </c>
      <c r="J141" s="3">
        <f t="shared" si="2"/>
        <v>9218984.0155663453</v>
      </c>
    </row>
    <row r="142" spans="1:10" x14ac:dyDescent="0.25">
      <c r="A142" s="2" t="s">
        <v>502</v>
      </c>
      <c r="B142" s="2" t="s">
        <v>503</v>
      </c>
      <c r="C142" s="2" t="s">
        <v>145</v>
      </c>
      <c r="D142" s="2"/>
      <c r="E142" s="2"/>
      <c r="F142" s="267"/>
      <c r="G142" s="2" t="s">
        <v>211</v>
      </c>
      <c r="H142" s="7">
        <v>-17153.780000000002</v>
      </c>
      <c r="I142" s="236">
        <v>0</v>
      </c>
      <c r="J142" s="3">
        <f t="shared" si="2"/>
        <v>-17153.780000000002</v>
      </c>
    </row>
    <row r="143" spans="1:10" hidden="1" x14ac:dyDescent="0.25">
      <c r="A143" s="2" t="s">
        <v>504</v>
      </c>
      <c r="B143" s="2" t="s">
        <v>505</v>
      </c>
      <c r="C143" s="2" t="s">
        <v>145</v>
      </c>
      <c r="D143" s="2"/>
      <c r="E143" s="2"/>
      <c r="F143" s="267"/>
      <c r="G143" s="2" t="s">
        <v>215</v>
      </c>
      <c r="H143" s="7">
        <v>-2630258.21</v>
      </c>
      <c r="I143" s="236">
        <v>-824670.06</v>
      </c>
      <c r="J143" s="3">
        <f t="shared" si="2"/>
        <v>-1805588.15</v>
      </c>
    </row>
    <row r="144" spans="1:10" x14ac:dyDescent="0.25">
      <c r="A144" s="2" t="s">
        <v>506</v>
      </c>
      <c r="B144" s="2" t="s">
        <v>507</v>
      </c>
      <c r="C144" s="2" t="s">
        <v>145</v>
      </c>
      <c r="D144" s="2"/>
      <c r="E144" s="2"/>
      <c r="F144" s="267"/>
      <c r="G144" s="2" t="s">
        <v>211</v>
      </c>
      <c r="H144" s="7">
        <v>-8759.5500000000011</v>
      </c>
      <c r="I144" s="236">
        <v>-8907.725538949464</v>
      </c>
      <c r="J144" s="3">
        <f t="shared" si="2"/>
        <v>148.17553894946286</v>
      </c>
    </row>
    <row r="145" spans="1:10" x14ac:dyDescent="0.25">
      <c r="A145" s="2" t="s">
        <v>508</v>
      </c>
      <c r="B145" s="2" t="s">
        <v>509</v>
      </c>
      <c r="C145" s="2" t="s">
        <v>145</v>
      </c>
      <c r="D145" s="2"/>
      <c r="E145" s="2"/>
      <c r="F145" s="267"/>
      <c r="G145" s="2" t="s">
        <v>211</v>
      </c>
      <c r="H145" s="7">
        <v>-1198744.01</v>
      </c>
      <c r="I145" s="236">
        <v>-744086.76464406971</v>
      </c>
      <c r="J145" s="3">
        <f t="shared" si="2"/>
        <v>-454657.2453559303</v>
      </c>
    </row>
    <row r="146" spans="1:10" x14ac:dyDescent="0.25">
      <c r="A146" s="2" t="s">
        <v>510</v>
      </c>
      <c r="B146" s="2" t="s">
        <v>511</v>
      </c>
      <c r="C146" s="2" t="s">
        <v>145</v>
      </c>
      <c r="D146" s="2"/>
      <c r="E146" s="2"/>
      <c r="F146" s="267"/>
      <c r="G146" s="2" t="s">
        <v>211</v>
      </c>
      <c r="H146" s="7">
        <v>-584026.15</v>
      </c>
      <c r="I146" s="236">
        <v>-971673.7679454037</v>
      </c>
      <c r="J146" s="3">
        <f t="shared" si="2"/>
        <v>387647.61794540368</v>
      </c>
    </row>
    <row r="147" spans="1:10" x14ac:dyDescent="0.25">
      <c r="A147" s="2" t="s">
        <v>512</v>
      </c>
      <c r="B147" s="2" t="s">
        <v>513</v>
      </c>
      <c r="C147" s="2" t="s">
        <v>145</v>
      </c>
      <c r="D147" s="2"/>
      <c r="E147" s="2"/>
      <c r="F147" s="267"/>
      <c r="G147" s="2" t="s">
        <v>211</v>
      </c>
      <c r="H147" s="7">
        <v>-137200.89000000001</v>
      </c>
      <c r="I147" s="236">
        <v>-64769.006217385446</v>
      </c>
      <c r="J147" s="3">
        <f t="shared" si="2"/>
        <v>-72431.883782614575</v>
      </c>
    </row>
    <row r="148" spans="1:10" x14ac:dyDescent="0.25">
      <c r="A148" s="2" t="s">
        <v>514</v>
      </c>
      <c r="B148" s="2" t="s">
        <v>515</v>
      </c>
      <c r="C148" s="2" t="s">
        <v>145</v>
      </c>
      <c r="D148" s="2"/>
      <c r="E148" s="2"/>
      <c r="F148" s="267"/>
      <c r="G148" s="2" t="s">
        <v>211</v>
      </c>
      <c r="H148" s="7">
        <v>-22178.059999999998</v>
      </c>
      <c r="I148" s="236">
        <v>-8750.1066301967039</v>
      </c>
      <c r="J148" s="3">
        <f t="shared" si="2"/>
        <v>-13427.953369803294</v>
      </c>
    </row>
    <row r="149" spans="1:10" x14ac:dyDescent="0.25">
      <c r="A149" s="2" t="s">
        <v>516</v>
      </c>
      <c r="B149" s="2" t="s">
        <v>517</v>
      </c>
      <c r="C149" s="2" t="s">
        <v>145</v>
      </c>
      <c r="D149" s="2"/>
      <c r="E149" s="2"/>
      <c r="F149" s="267"/>
      <c r="G149" s="2" t="s">
        <v>211</v>
      </c>
      <c r="H149" s="7">
        <v>-655845.82000000007</v>
      </c>
      <c r="I149" s="236">
        <v>-3101707.4075276647</v>
      </c>
      <c r="J149" s="3">
        <f t="shared" si="2"/>
        <v>2445861.5875276644</v>
      </c>
    </row>
    <row r="150" spans="1:10" x14ac:dyDescent="0.25">
      <c r="A150" s="2" t="s">
        <v>518</v>
      </c>
      <c r="B150" s="2" t="s">
        <v>519</v>
      </c>
      <c r="C150" s="2" t="s">
        <v>145</v>
      </c>
      <c r="D150" s="2"/>
      <c r="E150" s="2"/>
      <c r="F150" s="267"/>
      <c r="G150" s="2" t="s">
        <v>211</v>
      </c>
      <c r="H150" s="7">
        <v>-8998.5299999999988</v>
      </c>
      <c r="I150" s="236">
        <v>-9740.0318393317229</v>
      </c>
      <c r="J150" s="3">
        <f t="shared" si="2"/>
        <v>741.50183933172411</v>
      </c>
    </row>
    <row r="151" spans="1:10" x14ac:dyDescent="0.25">
      <c r="A151" s="2" t="s">
        <v>520</v>
      </c>
      <c r="B151" s="2" t="s">
        <v>521</v>
      </c>
      <c r="C151" s="2" t="s">
        <v>145</v>
      </c>
      <c r="D151" s="2"/>
      <c r="E151" s="2"/>
      <c r="F151" s="267"/>
      <c r="G151" s="2" t="s">
        <v>211</v>
      </c>
      <c r="H151" s="7">
        <v>-2139214.87</v>
      </c>
      <c r="I151" s="236">
        <v>-3561953.8520971662</v>
      </c>
      <c r="J151" s="3">
        <f t="shared" si="2"/>
        <v>1422738.9820971661</v>
      </c>
    </row>
    <row r="152" spans="1:10" hidden="1" x14ac:dyDescent="0.25">
      <c r="A152" s="2" t="s">
        <v>522</v>
      </c>
      <c r="B152" s="2" t="s">
        <v>523</v>
      </c>
      <c r="C152" s="2" t="s">
        <v>1110</v>
      </c>
      <c r="D152" s="2"/>
      <c r="E152" s="2"/>
      <c r="F152" s="267"/>
      <c r="G152" s="2" t="s">
        <v>212</v>
      </c>
      <c r="H152" s="7">
        <v>0</v>
      </c>
      <c r="I152" s="236">
        <v>-811171.05334335181</v>
      </c>
      <c r="J152" s="3">
        <f t="shared" si="2"/>
        <v>811171.05334335181</v>
      </c>
    </row>
    <row r="153" spans="1:10" hidden="1" x14ac:dyDescent="0.25">
      <c r="A153" s="2" t="s">
        <v>524</v>
      </c>
      <c r="B153" s="2" t="s">
        <v>525</v>
      </c>
      <c r="C153" s="2" t="s">
        <v>1110</v>
      </c>
      <c r="D153" s="2"/>
      <c r="E153" s="2"/>
      <c r="F153" s="267"/>
      <c r="G153" s="2" t="s">
        <v>212</v>
      </c>
      <c r="H153" s="7">
        <v>-0.5700000000000216</v>
      </c>
      <c r="I153" s="236">
        <v>0</v>
      </c>
      <c r="J153" s="3">
        <f t="shared" si="2"/>
        <v>-0.5700000000000216</v>
      </c>
    </row>
    <row r="154" spans="1:10" hidden="1" x14ac:dyDescent="0.25">
      <c r="A154" s="2" t="s">
        <v>526</v>
      </c>
      <c r="B154" s="2" t="s">
        <v>527</v>
      </c>
      <c r="C154" s="2" t="s">
        <v>1110</v>
      </c>
      <c r="D154" s="2"/>
      <c r="E154" s="2"/>
      <c r="F154" s="267"/>
      <c r="G154" s="2" t="s">
        <v>212</v>
      </c>
      <c r="H154" s="7">
        <v>-126005.21999999999</v>
      </c>
      <c r="I154" s="236">
        <v>0</v>
      </c>
      <c r="J154" s="3">
        <f t="shared" si="2"/>
        <v>-126005.21999999999</v>
      </c>
    </row>
    <row r="155" spans="1:10" hidden="1" x14ac:dyDescent="0.25">
      <c r="A155" s="2" t="s">
        <v>528</v>
      </c>
      <c r="B155" s="2" t="s">
        <v>529</v>
      </c>
      <c r="C155" s="2" t="s">
        <v>145</v>
      </c>
      <c r="D155" s="2"/>
      <c r="E155" s="2"/>
      <c r="F155" s="267"/>
      <c r="G155" s="2" t="s">
        <v>212</v>
      </c>
      <c r="H155" s="7">
        <v>100729.54</v>
      </c>
      <c r="I155" s="236">
        <v>0</v>
      </c>
      <c r="J155" s="3">
        <f t="shared" si="2"/>
        <v>100729.54</v>
      </c>
    </row>
    <row r="156" spans="1:10" x14ac:dyDescent="0.25">
      <c r="A156" s="2" t="s">
        <v>530</v>
      </c>
      <c r="B156" s="2" t="s">
        <v>531</v>
      </c>
      <c r="C156" s="2" t="s">
        <v>145</v>
      </c>
      <c r="D156" s="2"/>
      <c r="E156" s="2"/>
      <c r="F156" s="267"/>
      <c r="G156" s="2" t="s">
        <v>211</v>
      </c>
      <c r="H156" s="7">
        <v>-44521.57</v>
      </c>
      <c r="I156" s="236">
        <v>-8742.1993310007401</v>
      </c>
      <c r="J156" s="3">
        <f t="shared" si="2"/>
        <v>-35779.370668999261</v>
      </c>
    </row>
    <row r="157" spans="1:10" x14ac:dyDescent="0.25">
      <c r="A157" s="2" t="s">
        <v>532</v>
      </c>
      <c r="B157" s="2" t="s">
        <v>533</v>
      </c>
      <c r="C157" s="2" t="s">
        <v>145</v>
      </c>
      <c r="D157" s="2"/>
      <c r="E157" s="2"/>
      <c r="F157" s="267"/>
      <c r="G157" s="2" t="s">
        <v>211</v>
      </c>
      <c r="H157" s="7">
        <v>-1669853.0900000003</v>
      </c>
      <c r="I157" s="236">
        <v>-2337319.7836062713</v>
      </c>
      <c r="J157" s="3">
        <f t="shared" si="2"/>
        <v>667466.69360627094</v>
      </c>
    </row>
    <row r="158" spans="1:10" x14ac:dyDescent="0.25">
      <c r="A158" s="2" t="s">
        <v>534</v>
      </c>
      <c r="B158" s="2" t="s">
        <v>535</v>
      </c>
      <c r="C158" s="2" t="s">
        <v>145</v>
      </c>
      <c r="D158" s="2"/>
      <c r="E158" s="2"/>
      <c r="F158" s="267"/>
      <c r="G158" s="2" t="s">
        <v>211</v>
      </c>
      <c r="H158" s="7">
        <v>3595.8600000000006</v>
      </c>
      <c r="I158" s="236">
        <v>9590572.292749688</v>
      </c>
      <c r="J158" s="3">
        <f t="shared" si="2"/>
        <v>-9586976.4327496886</v>
      </c>
    </row>
    <row r="159" spans="1:10" x14ac:dyDescent="0.25">
      <c r="A159" s="2" t="s">
        <v>536</v>
      </c>
      <c r="B159" s="2" t="s">
        <v>537</v>
      </c>
      <c r="C159" s="2" t="s">
        <v>145</v>
      </c>
      <c r="D159" s="2"/>
      <c r="E159" s="2"/>
      <c r="F159" s="267"/>
      <c r="G159" s="2" t="s">
        <v>211</v>
      </c>
      <c r="H159" s="7">
        <v>-1701868.57</v>
      </c>
      <c r="I159" s="236">
        <v>-1972285.7412400157</v>
      </c>
      <c r="J159" s="3">
        <f t="shared" si="2"/>
        <v>270417.17124001565</v>
      </c>
    </row>
    <row r="160" spans="1:10" x14ac:dyDescent="0.25">
      <c r="A160" s="2" t="s">
        <v>538</v>
      </c>
      <c r="B160" s="2" t="s">
        <v>539</v>
      </c>
      <c r="C160" s="2" t="s">
        <v>145</v>
      </c>
      <c r="D160" s="2"/>
      <c r="E160" s="2"/>
      <c r="F160" s="267"/>
      <c r="G160" s="2" t="s">
        <v>211</v>
      </c>
      <c r="H160" s="7">
        <v>-5780.45</v>
      </c>
      <c r="I160" s="236">
        <v>-34133.431382262374</v>
      </c>
      <c r="J160" s="3">
        <f t="shared" si="2"/>
        <v>28352.981382262373</v>
      </c>
    </row>
    <row r="161" spans="1:10" x14ac:dyDescent="0.25">
      <c r="A161" s="2" t="s">
        <v>540</v>
      </c>
      <c r="B161" s="2" t="s">
        <v>541</v>
      </c>
      <c r="C161" s="2" t="s">
        <v>145</v>
      </c>
      <c r="D161" s="2"/>
      <c r="E161" s="2"/>
      <c r="F161" s="267"/>
      <c r="G161" s="2" t="s">
        <v>211</v>
      </c>
      <c r="H161" s="7">
        <v>-17826.53</v>
      </c>
      <c r="I161" s="236">
        <v>-8.220930000000001</v>
      </c>
      <c r="J161" s="3">
        <f t="shared" si="2"/>
        <v>-17818.309069999999</v>
      </c>
    </row>
    <row r="162" spans="1:10" x14ac:dyDescent="0.25">
      <c r="A162" s="2" t="s">
        <v>542</v>
      </c>
      <c r="B162" s="2" t="s">
        <v>543</v>
      </c>
      <c r="C162" s="2" t="s">
        <v>196</v>
      </c>
      <c r="D162" s="2"/>
      <c r="E162" s="2"/>
      <c r="F162" s="267"/>
      <c r="G162" s="2" t="s">
        <v>211</v>
      </c>
      <c r="H162" s="7">
        <v>-1972210.1</v>
      </c>
      <c r="I162" s="236">
        <v>-2645913.9873993746</v>
      </c>
      <c r="J162" s="3">
        <f t="shared" si="2"/>
        <v>673703.88739937451</v>
      </c>
    </row>
    <row r="163" spans="1:10" x14ac:dyDescent="0.25">
      <c r="A163" s="2" t="s">
        <v>544</v>
      </c>
      <c r="B163" s="2" t="s">
        <v>545</v>
      </c>
      <c r="C163" s="2" t="s">
        <v>145</v>
      </c>
      <c r="D163" s="2"/>
      <c r="E163" s="2"/>
      <c r="F163" s="267"/>
      <c r="G163" s="2" t="s">
        <v>211</v>
      </c>
      <c r="H163" s="7">
        <v>-297080.38999999996</v>
      </c>
      <c r="I163" s="236">
        <v>0</v>
      </c>
      <c r="J163" s="3">
        <f t="shared" si="2"/>
        <v>-297080.38999999996</v>
      </c>
    </row>
    <row r="164" spans="1:10" x14ac:dyDescent="0.25">
      <c r="A164" s="2" t="s">
        <v>546</v>
      </c>
      <c r="B164" s="2" t="s">
        <v>547</v>
      </c>
      <c r="C164" s="2" t="s">
        <v>145</v>
      </c>
      <c r="D164" s="2"/>
      <c r="E164" s="2"/>
      <c r="F164" s="267"/>
      <c r="G164" s="2" t="s">
        <v>211</v>
      </c>
      <c r="H164" s="7">
        <v>-3054790.9</v>
      </c>
      <c r="I164" s="236">
        <v>0</v>
      </c>
      <c r="J164" s="3">
        <f t="shared" si="2"/>
        <v>-3054790.9</v>
      </c>
    </row>
    <row r="165" spans="1:10" x14ac:dyDescent="0.25">
      <c r="A165" s="2" t="s">
        <v>548</v>
      </c>
      <c r="B165" s="2" t="s">
        <v>549</v>
      </c>
      <c r="C165" s="2" t="s">
        <v>145</v>
      </c>
      <c r="D165" s="2"/>
      <c r="E165" s="2"/>
      <c r="F165" s="267"/>
      <c r="G165" s="2" t="s">
        <v>211</v>
      </c>
      <c r="H165" s="7">
        <v>0</v>
      </c>
      <c r="I165" s="236">
        <v>-78260.519081936349</v>
      </c>
      <c r="J165" s="3">
        <f t="shared" si="2"/>
        <v>78260.519081936349</v>
      </c>
    </row>
    <row r="166" spans="1:10" x14ac:dyDescent="0.25">
      <c r="A166" s="2" t="s">
        <v>550</v>
      </c>
      <c r="B166" s="2" t="s">
        <v>551</v>
      </c>
      <c r="C166" s="2" t="s">
        <v>145</v>
      </c>
      <c r="D166" s="2"/>
      <c r="E166" s="2"/>
      <c r="F166" s="267"/>
      <c r="G166" s="2" t="s">
        <v>211</v>
      </c>
      <c r="H166" s="7">
        <v>0</v>
      </c>
      <c r="I166" s="236">
        <v>-198780.17049297309</v>
      </c>
      <c r="J166" s="3">
        <f t="shared" si="2"/>
        <v>198780.17049297309</v>
      </c>
    </row>
    <row r="167" spans="1:10" x14ac:dyDescent="0.25">
      <c r="A167" s="2" t="s">
        <v>552</v>
      </c>
      <c r="B167" s="2" t="s">
        <v>553</v>
      </c>
      <c r="C167" s="2" t="s">
        <v>145</v>
      </c>
      <c r="D167" s="2"/>
      <c r="E167" s="2"/>
      <c r="F167" s="267"/>
      <c r="G167" s="2" t="s">
        <v>211</v>
      </c>
      <c r="H167" s="7">
        <v>0</v>
      </c>
      <c r="I167" s="236">
        <v>-279178.78352535918</v>
      </c>
      <c r="J167" s="3">
        <f t="shared" si="2"/>
        <v>279178.78352535918</v>
      </c>
    </row>
    <row r="168" spans="1:10" x14ac:dyDescent="0.25">
      <c r="A168" s="2" t="s">
        <v>554</v>
      </c>
      <c r="B168" s="2" t="s">
        <v>555</v>
      </c>
      <c r="C168" s="2" t="s">
        <v>145</v>
      </c>
      <c r="D168" s="2"/>
      <c r="E168" s="2"/>
      <c r="F168" s="267"/>
      <c r="G168" s="2" t="s">
        <v>211</v>
      </c>
      <c r="H168" s="7">
        <v>-2366622.3299999996</v>
      </c>
      <c r="I168" s="236">
        <v>-4070011.5449392949</v>
      </c>
      <c r="J168" s="3">
        <f t="shared" si="2"/>
        <v>1703389.2149392953</v>
      </c>
    </row>
    <row r="169" spans="1:10" x14ac:dyDescent="0.25">
      <c r="A169" s="2" t="s">
        <v>556</v>
      </c>
      <c r="B169" s="2" t="s">
        <v>557</v>
      </c>
      <c r="C169" s="2" t="s">
        <v>145</v>
      </c>
      <c r="D169" s="2"/>
      <c r="E169" s="2"/>
      <c r="F169" s="267"/>
      <c r="G169" s="2" t="s">
        <v>211</v>
      </c>
      <c r="H169" s="7">
        <v>-8794.6999999999989</v>
      </c>
      <c r="I169" s="236">
        <v>-34558.622921534588</v>
      </c>
      <c r="J169" s="3">
        <f t="shared" si="2"/>
        <v>25763.922921534591</v>
      </c>
    </row>
    <row r="170" spans="1:10" x14ac:dyDescent="0.25">
      <c r="A170" s="2" t="s">
        <v>558</v>
      </c>
      <c r="B170" s="2" t="s">
        <v>559</v>
      </c>
      <c r="C170" s="2" t="s">
        <v>145</v>
      </c>
      <c r="D170" s="2"/>
      <c r="E170" s="2"/>
      <c r="F170" s="267"/>
      <c r="G170" s="2" t="s">
        <v>211</v>
      </c>
      <c r="H170" s="7">
        <v>0</v>
      </c>
      <c r="I170" s="236">
        <v>-9079.2784517848868</v>
      </c>
      <c r="J170" s="3">
        <f t="shared" si="2"/>
        <v>9079.2784517848868</v>
      </c>
    </row>
    <row r="171" spans="1:10" x14ac:dyDescent="0.25">
      <c r="A171" s="2" t="s">
        <v>560</v>
      </c>
      <c r="B171" s="2" t="s">
        <v>561</v>
      </c>
      <c r="C171" s="2" t="s">
        <v>145</v>
      </c>
      <c r="D171" s="2"/>
      <c r="E171" s="2"/>
      <c r="F171" s="267"/>
      <c r="G171" s="2" t="s">
        <v>211</v>
      </c>
      <c r="H171" s="7">
        <v>-1658913.7800000003</v>
      </c>
      <c r="I171" s="236">
        <v>-1104403.2635514846</v>
      </c>
      <c r="J171" s="3">
        <f t="shared" si="2"/>
        <v>-554510.5164485157</v>
      </c>
    </row>
    <row r="172" spans="1:10" x14ac:dyDescent="0.25">
      <c r="A172" s="2" t="s">
        <v>562</v>
      </c>
      <c r="B172" s="2" t="s">
        <v>563</v>
      </c>
      <c r="C172" s="2" t="s">
        <v>145</v>
      </c>
      <c r="D172" s="2"/>
      <c r="E172" s="2"/>
      <c r="F172" s="267"/>
      <c r="G172" s="2" t="s">
        <v>211</v>
      </c>
      <c r="H172" s="7">
        <v>-14435849.020000001</v>
      </c>
      <c r="I172" s="236">
        <v>-14828422.517420096</v>
      </c>
      <c r="J172" s="3">
        <f t="shared" si="2"/>
        <v>392573.49742009491</v>
      </c>
    </row>
    <row r="173" spans="1:10" x14ac:dyDescent="0.25">
      <c r="A173" s="2" t="s">
        <v>564</v>
      </c>
      <c r="B173" s="2" t="s">
        <v>565</v>
      </c>
      <c r="C173" s="2" t="s">
        <v>145</v>
      </c>
      <c r="D173" s="2"/>
      <c r="E173" s="2"/>
      <c r="F173" s="267"/>
      <c r="G173" s="2" t="s">
        <v>211</v>
      </c>
      <c r="H173" s="7">
        <v>-86166.02</v>
      </c>
      <c r="I173" s="236">
        <v>-391203.93052065192</v>
      </c>
      <c r="J173" s="3">
        <f t="shared" si="2"/>
        <v>305037.9105206519</v>
      </c>
    </row>
    <row r="174" spans="1:10" x14ac:dyDescent="0.25">
      <c r="A174" s="2" t="s">
        <v>566</v>
      </c>
      <c r="B174" s="2" t="s">
        <v>567</v>
      </c>
      <c r="C174" s="2" t="s">
        <v>145</v>
      </c>
      <c r="D174" s="2"/>
      <c r="E174" s="2"/>
      <c r="F174" s="267"/>
      <c r="G174" s="2" t="s">
        <v>211</v>
      </c>
      <c r="H174" s="7">
        <v>-1338.08</v>
      </c>
      <c r="I174" s="236">
        <v>-8680.9960424976271</v>
      </c>
      <c r="J174" s="3">
        <f t="shared" si="2"/>
        <v>7342.9160424976271</v>
      </c>
    </row>
    <row r="175" spans="1:10" x14ac:dyDescent="0.25">
      <c r="A175" s="2" t="s">
        <v>568</v>
      </c>
      <c r="B175" s="2" t="s">
        <v>569</v>
      </c>
      <c r="C175" s="2" t="s">
        <v>145</v>
      </c>
      <c r="D175" s="2"/>
      <c r="E175" s="2"/>
      <c r="F175" s="267"/>
      <c r="G175" s="2" t="s">
        <v>211</v>
      </c>
      <c r="H175" s="7">
        <v>-1796843.84</v>
      </c>
      <c r="I175" s="236">
        <v>-2257824.8150250069</v>
      </c>
      <c r="J175" s="3">
        <f t="shared" si="2"/>
        <v>460980.9750250068</v>
      </c>
    </row>
    <row r="176" spans="1:10" x14ac:dyDescent="0.25">
      <c r="A176" s="2" t="s">
        <v>570</v>
      </c>
      <c r="B176" s="2" t="s">
        <v>571</v>
      </c>
      <c r="C176" s="2" t="s">
        <v>145</v>
      </c>
      <c r="D176" s="2"/>
      <c r="E176" s="2"/>
      <c r="F176" s="267"/>
      <c r="G176" s="2" t="s">
        <v>211</v>
      </c>
      <c r="H176" s="7">
        <v>-4469.619999999999</v>
      </c>
      <c r="I176" s="236">
        <v>-9799.756248834683</v>
      </c>
      <c r="J176" s="3">
        <f t="shared" si="2"/>
        <v>5330.136248834684</v>
      </c>
    </row>
    <row r="177" spans="1:14" x14ac:dyDescent="0.25">
      <c r="A177" s="2" t="s">
        <v>572</v>
      </c>
      <c r="B177" s="2" t="s">
        <v>573</v>
      </c>
      <c r="C177" s="2" t="s">
        <v>145</v>
      </c>
      <c r="D177" s="2"/>
      <c r="E177" s="2"/>
      <c r="F177" s="267"/>
      <c r="G177" s="2" t="s">
        <v>211</v>
      </c>
      <c r="H177" s="7">
        <v>-3891601.1999999997</v>
      </c>
      <c r="I177" s="236">
        <v>0</v>
      </c>
      <c r="J177" s="3">
        <f t="shared" si="2"/>
        <v>-3891601.1999999997</v>
      </c>
    </row>
    <row r="178" spans="1:14" x14ac:dyDescent="0.25">
      <c r="A178" s="2" t="s">
        <v>574</v>
      </c>
      <c r="B178" s="2" t="s">
        <v>575</v>
      </c>
      <c r="C178" s="2" t="s">
        <v>196</v>
      </c>
      <c r="D178" s="2"/>
      <c r="E178" s="2"/>
      <c r="F178" s="267"/>
      <c r="G178" s="2" t="s">
        <v>211</v>
      </c>
      <c r="H178" s="7">
        <v>-37404.859999999993</v>
      </c>
      <c r="I178" s="236">
        <v>-35882.374722248729</v>
      </c>
      <c r="J178" s="3">
        <f t="shared" si="2"/>
        <v>-1522.4852777512642</v>
      </c>
    </row>
    <row r="179" spans="1:14" x14ac:dyDescent="0.25">
      <c r="A179" s="2" t="s">
        <v>576</v>
      </c>
      <c r="B179" s="2" t="s">
        <v>577</v>
      </c>
      <c r="C179" s="2" t="s">
        <v>196</v>
      </c>
      <c r="D179" s="2"/>
      <c r="E179" s="2"/>
      <c r="F179" s="267"/>
      <c r="G179" s="2" t="s">
        <v>211</v>
      </c>
      <c r="H179" s="7">
        <v>-13591.179999999998</v>
      </c>
      <c r="I179" s="236">
        <v>-12728.323466785405</v>
      </c>
      <c r="J179" s="3">
        <f t="shared" si="2"/>
        <v>-862.85653321459358</v>
      </c>
    </row>
    <row r="180" spans="1:14" x14ac:dyDescent="0.25">
      <c r="A180" s="2" t="s">
        <v>578</v>
      </c>
      <c r="B180" s="2" t="s">
        <v>579</v>
      </c>
      <c r="C180" s="2" t="s">
        <v>196</v>
      </c>
      <c r="D180" s="2"/>
      <c r="E180" s="2"/>
      <c r="F180" s="267"/>
      <c r="G180" s="2" t="s">
        <v>211</v>
      </c>
      <c r="H180" s="7">
        <v>0</v>
      </c>
      <c r="I180" s="236">
        <v>-36089.35429507088</v>
      </c>
      <c r="J180" s="3">
        <f t="shared" si="2"/>
        <v>36089.35429507088</v>
      </c>
    </row>
    <row r="181" spans="1:14" x14ac:dyDescent="0.25">
      <c r="A181" s="2" t="s">
        <v>580</v>
      </c>
      <c r="B181" s="2" t="s">
        <v>581</v>
      </c>
      <c r="C181" s="2" t="s">
        <v>196</v>
      </c>
      <c r="D181" s="2"/>
      <c r="E181" s="2"/>
      <c r="F181" s="267"/>
      <c r="G181" s="2" t="s">
        <v>211</v>
      </c>
      <c r="H181" s="7">
        <v>-684.16000000000008</v>
      </c>
      <c r="I181" s="236">
        <v>0</v>
      </c>
      <c r="J181" s="3">
        <f t="shared" si="2"/>
        <v>-684.16000000000008</v>
      </c>
    </row>
    <row r="182" spans="1:14" hidden="1" x14ac:dyDescent="0.25">
      <c r="A182" s="259" t="s">
        <v>582</v>
      </c>
      <c r="B182" s="259" t="s">
        <v>583</v>
      </c>
      <c r="C182" s="259" t="s">
        <v>196</v>
      </c>
      <c r="D182" s="259"/>
      <c r="E182" s="259"/>
      <c r="F182" s="298"/>
      <c r="G182" s="259" t="s">
        <v>212</v>
      </c>
      <c r="H182" s="260"/>
      <c r="I182" s="261"/>
      <c r="J182" s="260">
        <f t="shared" si="2"/>
        <v>0</v>
      </c>
      <c r="K182" s="262"/>
      <c r="L182" s="7"/>
      <c r="M182" s="236"/>
      <c r="N182" s="3"/>
    </row>
    <row r="183" spans="1:14" x14ac:dyDescent="0.25">
      <c r="A183" s="2" t="s">
        <v>584</v>
      </c>
      <c r="B183" s="2" t="s">
        <v>585</v>
      </c>
      <c r="C183" s="2" t="s">
        <v>145</v>
      </c>
      <c r="D183" s="2"/>
      <c r="E183" s="2"/>
      <c r="F183" s="267"/>
      <c r="G183" s="2" t="s">
        <v>211</v>
      </c>
      <c r="H183" s="7">
        <v>0</v>
      </c>
      <c r="I183" s="236">
        <v>-8969.9882808904422</v>
      </c>
      <c r="J183" s="3">
        <f t="shared" si="2"/>
        <v>8969.9882808904422</v>
      </c>
    </row>
    <row r="184" spans="1:14" x14ac:dyDescent="0.25">
      <c r="A184" s="2" t="s">
        <v>586</v>
      </c>
      <c r="B184" s="2" t="s">
        <v>587</v>
      </c>
      <c r="C184" s="2" t="s">
        <v>145</v>
      </c>
      <c r="D184" s="2"/>
      <c r="E184" s="2"/>
      <c r="F184" s="267"/>
      <c r="G184" s="2" t="s">
        <v>211</v>
      </c>
      <c r="H184" s="7">
        <v>-1432511.2600000002</v>
      </c>
      <c r="I184" s="236">
        <v>-39120.151874345203</v>
      </c>
      <c r="J184" s="3">
        <f t="shared" si="2"/>
        <v>-1393391.108125655</v>
      </c>
    </row>
    <row r="185" spans="1:14" x14ac:dyDescent="0.25">
      <c r="A185" s="2" t="s">
        <v>588</v>
      </c>
      <c r="B185" s="2" t="s">
        <v>589</v>
      </c>
      <c r="C185" s="2" t="s">
        <v>145</v>
      </c>
      <c r="D185" s="2"/>
      <c r="E185" s="2"/>
      <c r="F185" s="267"/>
      <c r="G185" s="2" t="s">
        <v>211</v>
      </c>
      <c r="H185" s="7">
        <v>0</v>
      </c>
      <c r="I185" s="236">
        <v>-12690.482133681084</v>
      </c>
      <c r="J185" s="3">
        <f t="shared" si="2"/>
        <v>12690.482133681084</v>
      </c>
    </row>
    <row r="186" spans="1:14" x14ac:dyDescent="0.25">
      <c r="A186" s="2" t="s">
        <v>590</v>
      </c>
      <c r="B186" s="2" t="s">
        <v>591</v>
      </c>
      <c r="C186" s="2" t="s">
        <v>145</v>
      </c>
      <c r="D186" s="2"/>
      <c r="E186" s="2"/>
      <c r="F186" s="267"/>
      <c r="G186" s="2" t="s">
        <v>211</v>
      </c>
      <c r="H186" s="7">
        <v>-21598.040000000005</v>
      </c>
      <c r="I186" s="236">
        <v>0</v>
      </c>
      <c r="J186" s="3">
        <f t="shared" si="2"/>
        <v>-21598.040000000005</v>
      </c>
    </row>
    <row r="187" spans="1:14" x14ac:dyDescent="0.25">
      <c r="A187" s="2" t="s">
        <v>592</v>
      </c>
      <c r="B187" s="2" t="s">
        <v>593</v>
      </c>
      <c r="C187" s="2" t="s">
        <v>145</v>
      </c>
      <c r="D187" s="2"/>
      <c r="E187" s="2"/>
      <c r="F187" s="267"/>
      <c r="G187" s="2" t="s">
        <v>211</v>
      </c>
      <c r="H187" s="7">
        <v>-2341537.3700000006</v>
      </c>
      <c r="I187" s="236">
        <v>-4359030.2563500023</v>
      </c>
      <c r="J187" s="3">
        <f t="shared" si="2"/>
        <v>2017492.8863500017</v>
      </c>
    </row>
    <row r="188" spans="1:14" hidden="1" x14ac:dyDescent="0.25">
      <c r="A188" s="2" t="s">
        <v>594</v>
      </c>
      <c r="B188" s="2" t="s">
        <v>595</v>
      </c>
      <c r="C188" s="2" t="s">
        <v>145</v>
      </c>
      <c r="D188" s="2"/>
      <c r="E188" s="2"/>
      <c r="F188" s="267"/>
      <c r="G188" s="2" t="s">
        <v>215</v>
      </c>
      <c r="H188" s="7">
        <v>-20478.250000000015</v>
      </c>
      <c r="I188" s="236">
        <v>-1128673.2549599998</v>
      </c>
      <c r="J188" s="3">
        <f t="shared" si="2"/>
        <v>1108195.0049599998</v>
      </c>
    </row>
    <row r="189" spans="1:14" hidden="1" x14ac:dyDescent="0.25">
      <c r="A189" s="2" t="s">
        <v>596</v>
      </c>
      <c r="B189" s="2" t="s">
        <v>597</v>
      </c>
      <c r="C189" s="2" t="s">
        <v>1110</v>
      </c>
      <c r="D189" s="2" t="s">
        <v>29</v>
      </c>
      <c r="E189" s="2" t="s">
        <v>29</v>
      </c>
      <c r="F189" s="267" t="s">
        <v>1161</v>
      </c>
      <c r="G189" s="2" t="s">
        <v>214</v>
      </c>
      <c r="H189" s="7">
        <v>0</v>
      </c>
      <c r="I189" s="236">
        <v>-146624.00000000041</v>
      </c>
      <c r="J189" s="3">
        <f t="shared" si="2"/>
        <v>146624.00000000041</v>
      </c>
    </row>
    <row r="190" spans="1:14" hidden="1" x14ac:dyDescent="0.25">
      <c r="A190" s="2" t="s">
        <v>598</v>
      </c>
      <c r="B190" s="2" t="s">
        <v>599</v>
      </c>
      <c r="C190" s="2" t="s">
        <v>145</v>
      </c>
      <c r="D190" s="2" t="s">
        <v>15</v>
      </c>
      <c r="E190" s="2" t="s">
        <v>1121</v>
      </c>
      <c r="F190" s="267"/>
      <c r="G190" s="2" t="s">
        <v>214</v>
      </c>
      <c r="H190" s="7">
        <v>-79903.810000000012</v>
      </c>
      <c r="I190" s="236">
        <v>0</v>
      </c>
      <c r="J190" s="3">
        <f t="shared" si="2"/>
        <v>-79903.810000000012</v>
      </c>
    </row>
    <row r="191" spans="1:14" hidden="1" x14ac:dyDescent="0.25">
      <c r="A191" s="2" t="s">
        <v>600</v>
      </c>
      <c r="B191" s="2" t="s">
        <v>601</v>
      </c>
      <c r="C191" s="2" t="s">
        <v>145</v>
      </c>
      <c r="D191" s="2" t="s">
        <v>29</v>
      </c>
      <c r="E191" s="2" t="s">
        <v>29</v>
      </c>
      <c r="F191" s="267" t="s">
        <v>1161</v>
      </c>
      <c r="G191" s="2" t="s">
        <v>214</v>
      </c>
      <c r="H191" s="7">
        <v>-1952.77</v>
      </c>
      <c r="I191" s="236">
        <v>0</v>
      </c>
      <c r="J191" s="3">
        <f t="shared" si="2"/>
        <v>-1952.77</v>
      </c>
    </row>
    <row r="192" spans="1:14" hidden="1" x14ac:dyDescent="0.25">
      <c r="A192" s="2" t="s">
        <v>602</v>
      </c>
      <c r="B192" s="2" t="s">
        <v>603</v>
      </c>
      <c r="C192" s="2" t="s">
        <v>145</v>
      </c>
      <c r="D192" s="2" t="s">
        <v>29</v>
      </c>
      <c r="E192" s="2" t="s">
        <v>29</v>
      </c>
      <c r="F192" s="267" t="s">
        <v>1161</v>
      </c>
      <c r="G192" s="2" t="s">
        <v>214</v>
      </c>
      <c r="H192" s="7">
        <v>0</v>
      </c>
      <c r="I192" s="236">
        <v>-762596.6138704659</v>
      </c>
      <c r="J192" s="3">
        <f t="shared" si="2"/>
        <v>762596.6138704659</v>
      </c>
    </row>
    <row r="193" spans="1:10" hidden="1" x14ac:dyDescent="0.25">
      <c r="A193" s="2" t="s">
        <v>604</v>
      </c>
      <c r="B193" s="2" t="s">
        <v>605</v>
      </c>
      <c r="C193" s="2" t="s">
        <v>145</v>
      </c>
      <c r="D193" s="2" t="s">
        <v>15</v>
      </c>
      <c r="E193" s="2" t="s">
        <v>1121</v>
      </c>
      <c r="F193" s="267"/>
      <c r="G193" s="2" t="s">
        <v>214</v>
      </c>
      <c r="H193" s="7">
        <v>-277762.83999999997</v>
      </c>
      <c r="I193" s="236">
        <v>0</v>
      </c>
      <c r="J193" s="3">
        <f t="shared" si="2"/>
        <v>-277762.83999999997</v>
      </c>
    </row>
    <row r="194" spans="1:10" hidden="1" x14ac:dyDescent="0.25">
      <c r="A194" s="2" t="s">
        <v>606</v>
      </c>
      <c r="B194" s="2" t="s">
        <v>607</v>
      </c>
      <c r="C194" s="2" t="s">
        <v>145</v>
      </c>
      <c r="D194" s="2" t="s">
        <v>29</v>
      </c>
      <c r="E194" s="2" t="s">
        <v>29</v>
      </c>
      <c r="F194" s="267" t="s">
        <v>1161</v>
      </c>
      <c r="G194" s="2" t="s">
        <v>214</v>
      </c>
      <c r="H194" s="7">
        <v>-61310.669999999991</v>
      </c>
      <c r="I194" s="236">
        <v>-133587.2624153888</v>
      </c>
      <c r="J194" s="3">
        <f t="shared" si="2"/>
        <v>72276.592415388819</v>
      </c>
    </row>
    <row r="195" spans="1:10" hidden="1" x14ac:dyDescent="0.25">
      <c r="A195" s="2" t="s">
        <v>608</v>
      </c>
      <c r="B195" s="2" t="s">
        <v>609</v>
      </c>
      <c r="C195" s="2" t="s">
        <v>145</v>
      </c>
      <c r="D195" s="2" t="s">
        <v>18</v>
      </c>
      <c r="E195" s="2" t="s">
        <v>1122</v>
      </c>
      <c r="F195" s="267" t="s">
        <v>1164</v>
      </c>
      <c r="G195" s="2" t="s">
        <v>214</v>
      </c>
      <c r="H195" s="7">
        <v>-6421975.79</v>
      </c>
      <c r="I195" s="236">
        <v>-4270934.1688662115</v>
      </c>
      <c r="J195" s="3">
        <f t="shared" si="2"/>
        <v>-2151041.6211337885</v>
      </c>
    </row>
    <row r="196" spans="1:10" hidden="1" x14ac:dyDescent="0.25">
      <c r="A196" s="2" t="s">
        <v>610</v>
      </c>
      <c r="B196" s="2" t="s">
        <v>611</v>
      </c>
      <c r="C196" s="2" t="s">
        <v>145</v>
      </c>
      <c r="D196" s="2" t="s">
        <v>18</v>
      </c>
      <c r="E196" s="2" t="s">
        <v>1122</v>
      </c>
      <c r="F196" s="267" t="s">
        <v>1164</v>
      </c>
      <c r="G196" s="2" t="s">
        <v>214</v>
      </c>
      <c r="H196" s="7">
        <v>-1544834.15</v>
      </c>
      <c r="I196" s="236">
        <v>-1014566.9518661882</v>
      </c>
      <c r="J196" s="3">
        <f t="shared" si="2"/>
        <v>-530267.1981338117</v>
      </c>
    </row>
    <row r="197" spans="1:10" hidden="1" x14ac:dyDescent="0.25">
      <c r="A197" s="2" t="s">
        <v>612</v>
      </c>
      <c r="B197" s="2" t="s">
        <v>613</v>
      </c>
      <c r="C197" s="2" t="s">
        <v>145</v>
      </c>
      <c r="D197" s="2" t="s">
        <v>18</v>
      </c>
      <c r="E197" s="2" t="s">
        <v>1122</v>
      </c>
      <c r="F197" s="267" t="s">
        <v>1164</v>
      </c>
      <c r="G197" s="2" t="s">
        <v>214</v>
      </c>
      <c r="H197" s="7">
        <v>-475541.9</v>
      </c>
      <c r="I197" s="236">
        <v>-350939.75078643515</v>
      </c>
      <c r="J197" s="3">
        <f t="shared" si="2"/>
        <v>-124602.14921356487</v>
      </c>
    </row>
    <row r="198" spans="1:10" hidden="1" x14ac:dyDescent="0.25">
      <c r="A198" s="2" t="s">
        <v>614</v>
      </c>
      <c r="B198" s="2" t="s">
        <v>615</v>
      </c>
      <c r="C198" s="2" t="s">
        <v>145</v>
      </c>
      <c r="D198" s="2" t="s">
        <v>29</v>
      </c>
      <c r="E198" s="2" t="s">
        <v>29</v>
      </c>
      <c r="F198" s="267" t="s">
        <v>1161</v>
      </c>
      <c r="G198" s="2" t="s">
        <v>214</v>
      </c>
      <c r="H198" s="7">
        <v>-174.46</v>
      </c>
      <c r="I198" s="236">
        <v>0</v>
      </c>
      <c r="J198" s="3">
        <f t="shared" ref="J198:J261" si="3">H198-I198</f>
        <v>-174.46</v>
      </c>
    </row>
    <row r="199" spans="1:10" hidden="1" x14ac:dyDescent="0.25">
      <c r="A199" s="2" t="s">
        <v>616</v>
      </c>
      <c r="B199" s="2" t="s">
        <v>617</v>
      </c>
      <c r="C199" s="2" t="s">
        <v>145</v>
      </c>
      <c r="D199" s="2" t="s">
        <v>7</v>
      </c>
      <c r="E199" s="2" t="s">
        <v>1123</v>
      </c>
      <c r="F199" s="267" t="s">
        <v>1163</v>
      </c>
      <c r="G199" s="2" t="s">
        <v>214</v>
      </c>
      <c r="H199" s="7">
        <v>8593299.5</v>
      </c>
      <c r="I199" s="236">
        <v>17388699.999999959</v>
      </c>
      <c r="J199" s="3">
        <f t="shared" si="3"/>
        <v>-8795400.499999959</v>
      </c>
    </row>
    <row r="200" spans="1:10" hidden="1" x14ac:dyDescent="0.25">
      <c r="A200" s="2" t="s">
        <v>618</v>
      </c>
      <c r="B200" s="2" t="s">
        <v>619</v>
      </c>
      <c r="C200" s="2" t="s">
        <v>145</v>
      </c>
      <c r="D200" s="2" t="s">
        <v>1124</v>
      </c>
      <c r="E200" s="2" t="s">
        <v>1123</v>
      </c>
      <c r="F200" s="267" t="s">
        <v>1163</v>
      </c>
      <c r="G200" s="2" t="s">
        <v>214</v>
      </c>
      <c r="H200" s="7">
        <v>86939.409999999945</v>
      </c>
      <c r="I200" s="236">
        <v>-1142819.4691762801</v>
      </c>
      <c r="J200" s="3">
        <f t="shared" si="3"/>
        <v>1229758.87917628</v>
      </c>
    </row>
    <row r="201" spans="1:10" hidden="1" x14ac:dyDescent="0.25">
      <c r="A201" s="2" t="s">
        <v>620</v>
      </c>
      <c r="B201" s="2" t="s">
        <v>621</v>
      </c>
      <c r="C201" s="2" t="s">
        <v>145</v>
      </c>
      <c r="D201" s="2" t="s">
        <v>1124</v>
      </c>
      <c r="E201" s="2" t="s">
        <v>1123</v>
      </c>
      <c r="F201" s="267" t="s">
        <v>1163</v>
      </c>
      <c r="G201" s="2" t="s">
        <v>214</v>
      </c>
      <c r="H201" s="7">
        <v>-4362726.3500000015</v>
      </c>
      <c r="I201" s="236">
        <v>-3452.753015949349</v>
      </c>
      <c r="J201" s="3">
        <f t="shared" si="3"/>
        <v>-4359273.5969840521</v>
      </c>
    </row>
    <row r="202" spans="1:10" hidden="1" x14ac:dyDescent="0.25">
      <c r="A202" s="2" t="s">
        <v>622</v>
      </c>
      <c r="B202" s="2" t="s">
        <v>623</v>
      </c>
      <c r="C202" s="2" t="s">
        <v>145</v>
      </c>
      <c r="D202" s="2" t="s">
        <v>1124</v>
      </c>
      <c r="E202" s="2" t="s">
        <v>1123</v>
      </c>
      <c r="F202" s="267" t="s">
        <v>1163</v>
      </c>
      <c r="G202" s="2" t="s">
        <v>214</v>
      </c>
      <c r="H202" s="7">
        <v>-6377886.2200000016</v>
      </c>
      <c r="I202" s="236">
        <v>-17543.818873808475</v>
      </c>
      <c r="J202" s="3">
        <f t="shared" si="3"/>
        <v>-6360342.4011261929</v>
      </c>
    </row>
    <row r="203" spans="1:10" hidden="1" x14ac:dyDescent="0.25">
      <c r="A203" s="2" t="s">
        <v>624</v>
      </c>
      <c r="B203" s="2" t="s">
        <v>625</v>
      </c>
      <c r="C203" s="2" t="s">
        <v>196</v>
      </c>
      <c r="D203" s="2" t="s">
        <v>1124</v>
      </c>
      <c r="E203" s="2" t="s">
        <v>1123</v>
      </c>
      <c r="F203" s="267" t="s">
        <v>1162</v>
      </c>
      <c r="G203" s="2" t="s">
        <v>214</v>
      </c>
      <c r="H203" s="7">
        <v>-602052.64000000013</v>
      </c>
      <c r="I203" s="236">
        <v>0</v>
      </c>
      <c r="J203" s="3">
        <f t="shared" si="3"/>
        <v>-602052.64000000013</v>
      </c>
    </row>
    <row r="204" spans="1:10" hidden="1" x14ac:dyDescent="0.25">
      <c r="A204" s="2" t="s">
        <v>626</v>
      </c>
      <c r="B204" s="2" t="s">
        <v>627</v>
      </c>
      <c r="C204" s="2" t="s">
        <v>145</v>
      </c>
      <c r="D204" s="2" t="s">
        <v>1124</v>
      </c>
      <c r="E204" s="2" t="s">
        <v>1123</v>
      </c>
      <c r="F204" s="267" t="s">
        <v>1163</v>
      </c>
      <c r="G204" s="2" t="s">
        <v>214</v>
      </c>
      <c r="H204" s="7">
        <v>-14731545.119999997</v>
      </c>
      <c r="I204" s="236">
        <v>-328048.10019989865</v>
      </c>
      <c r="J204" s="3">
        <f t="shared" si="3"/>
        <v>-14403497.019800099</v>
      </c>
    </row>
    <row r="205" spans="1:10" hidden="1" x14ac:dyDescent="0.25">
      <c r="A205" s="2" t="s">
        <v>628</v>
      </c>
      <c r="B205" s="2" t="s">
        <v>629</v>
      </c>
      <c r="C205" s="2" t="s">
        <v>145</v>
      </c>
      <c r="D205" s="2" t="s">
        <v>1124</v>
      </c>
      <c r="E205" s="2" t="s">
        <v>1123</v>
      </c>
      <c r="F205" s="267" t="s">
        <v>1163</v>
      </c>
      <c r="G205" s="2" t="s">
        <v>214</v>
      </c>
      <c r="H205" s="7">
        <v>-4681542.5399999991</v>
      </c>
      <c r="I205" s="236">
        <v>-1602482.7392020761</v>
      </c>
      <c r="J205" s="3">
        <f t="shared" si="3"/>
        <v>-3079059.800797923</v>
      </c>
    </row>
    <row r="206" spans="1:10" hidden="1" x14ac:dyDescent="0.25">
      <c r="A206" s="2" t="s">
        <v>630</v>
      </c>
      <c r="B206" s="2" t="s">
        <v>631</v>
      </c>
      <c r="C206" s="2" t="s">
        <v>145</v>
      </c>
      <c r="D206" s="2" t="s">
        <v>1124</v>
      </c>
      <c r="E206" s="2" t="s">
        <v>1123</v>
      </c>
      <c r="F206" s="267" t="s">
        <v>1163</v>
      </c>
      <c r="G206" s="2" t="s">
        <v>214</v>
      </c>
      <c r="H206" s="7">
        <v>-18716986.229999997</v>
      </c>
      <c r="I206" s="236">
        <v>-4737374.8751579449</v>
      </c>
      <c r="J206" s="3">
        <f t="shared" si="3"/>
        <v>-13979611.354842052</v>
      </c>
    </row>
    <row r="207" spans="1:10" hidden="1" x14ac:dyDescent="0.25">
      <c r="A207" s="2" t="s">
        <v>632</v>
      </c>
      <c r="B207" s="2" t="s">
        <v>633</v>
      </c>
      <c r="C207" s="2" t="s">
        <v>145</v>
      </c>
      <c r="D207" s="2" t="s">
        <v>1124</v>
      </c>
      <c r="E207" s="2" t="s">
        <v>1123</v>
      </c>
      <c r="F207" s="267" t="s">
        <v>1163</v>
      </c>
      <c r="G207" s="2" t="s">
        <v>214</v>
      </c>
      <c r="H207" s="7">
        <v>-13841399.749999994</v>
      </c>
      <c r="I207" s="236">
        <v>-194567.04748128986</v>
      </c>
      <c r="J207" s="3">
        <f t="shared" si="3"/>
        <v>-13646832.702518705</v>
      </c>
    </row>
    <row r="208" spans="1:10" hidden="1" x14ac:dyDescent="0.25">
      <c r="A208" s="2" t="s">
        <v>634</v>
      </c>
      <c r="B208" s="2" t="s">
        <v>635</v>
      </c>
      <c r="C208" s="2" t="s">
        <v>145</v>
      </c>
      <c r="D208" s="2" t="s">
        <v>29</v>
      </c>
      <c r="E208" s="2" t="s">
        <v>29</v>
      </c>
      <c r="F208" s="267" t="s">
        <v>1161</v>
      </c>
      <c r="G208" s="2" t="s">
        <v>214</v>
      </c>
      <c r="H208" s="7">
        <v>-6582109.7000000002</v>
      </c>
      <c r="I208" s="236">
        <v>0</v>
      </c>
      <c r="J208" s="3">
        <f t="shared" si="3"/>
        <v>-6582109.7000000002</v>
      </c>
    </row>
    <row r="209" spans="1:10" hidden="1" x14ac:dyDescent="0.25">
      <c r="A209" s="2" t="s">
        <v>636</v>
      </c>
      <c r="B209" s="2" t="s">
        <v>637</v>
      </c>
      <c r="C209" s="2" t="s">
        <v>145</v>
      </c>
      <c r="D209" s="2" t="s">
        <v>22</v>
      </c>
      <c r="E209" s="2" t="s">
        <v>1122</v>
      </c>
      <c r="F209" s="267" t="s">
        <v>1166</v>
      </c>
      <c r="G209" s="2" t="s">
        <v>214</v>
      </c>
      <c r="H209" s="7">
        <v>-724138.4</v>
      </c>
      <c r="I209" s="236">
        <v>402539.19530159194</v>
      </c>
      <c r="J209" s="3">
        <f t="shared" si="3"/>
        <v>-1126677.595301592</v>
      </c>
    </row>
    <row r="210" spans="1:10" hidden="1" x14ac:dyDescent="0.25">
      <c r="A210" s="2" t="s">
        <v>638</v>
      </c>
      <c r="B210" s="2" t="s">
        <v>639</v>
      </c>
      <c r="C210" s="2" t="s">
        <v>145</v>
      </c>
      <c r="D210" s="2" t="s">
        <v>1125</v>
      </c>
      <c r="E210" s="2" t="s">
        <v>1123</v>
      </c>
      <c r="F210" s="267" t="s">
        <v>1163</v>
      </c>
      <c r="G210" s="2" t="s">
        <v>214</v>
      </c>
      <c r="H210" s="7">
        <v>37260.210000012798</v>
      </c>
      <c r="I210" s="236">
        <v>-586460.13722090423</v>
      </c>
      <c r="J210" s="3">
        <f t="shared" si="3"/>
        <v>623720.347220917</v>
      </c>
    </row>
    <row r="211" spans="1:10" hidden="1" x14ac:dyDescent="0.25">
      <c r="A211" s="2" t="s">
        <v>640</v>
      </c>
      <c r="B211" s="2" t="s">
        <v>641</v>
      </c>
      <c r="C211" s="2" t="s">
        <v>145</v>
      </c>
      <c r="D211" s="2" t="s">
        <v>1125</v>
      </c>
      <c r="E211" s="2" t="s">
        <v>1123</v>
      </c>
      <c r="F211" s="267" t="s">
        <v>1163</v>
      </c>
      <c r="G211" s="2" t="s">
        <v>214</v>
      </c>
      <c r="H211" s="7">
        <v>-1686581.2599999995</v>
      </c>
      <c r="I211" s="236">
        <v>-302625.25514570269</v>
      </c>
      <c r="J211" s="3">
        <f t="shared" si="3"/>
        <v>-1383956.0048542968</v>
      </c>
    </row>
    <row r="212" spans="1:10" hidden="1" x14ac:dyDescent="0.25">
      <c r="A212" s="2" t="s">
        <v>642</v>
      </c>
      <c r="B212" s="2" t="s">
        <v>643</v>
      </c>
      <c r="C212" s="2" t="s">
        <v>145</v>
      </c>
      <c r="D212" s="2" t="s">
        <v>29</v>
      </c>
      <c r="E212" s="2" t="s">
        <v>29</v>
      </c>
      <c r="F212" s="267" t="s">
        <v>1161</v>
      </c>
      <c r="G212" s="2" t="s">
        <v>214</v>
      </c>
      <c r="H212" s="7">
        <v>-17500.509999999998</v>
      </c>
      <c r="I212" s="236">
        <v>-256323.99999999965</v>
      </c>
      <c r="J212" s="3">
        <f t="shared" si="3"/>
        <v>238823.48999999964</v>
      </c>
    </row>
    <row r="213" spans="1:10" hidden="1" x14ac:dyDescent="0.25">
      <c r="A213" s="2" t="s">
        <v>644</v>
      </c>
      <c r="B213" s="2" t="s">
        <v>645</v>
      </c>
      <c r="C213" s="2" t="s">
        <v>145</v>
      </c>
      <c r="D213" s="2" t="s">
        <v>1125</v>
      </c>
      <c r="E213" s="2" t="s">
        <v>1123</v>
      </c>
      <c r="F213" s="267" t="s">
        <v>1163</v>
      </c>
      <c r="G213" s="2" t="s">
        <v>214</v>
      </c>
      <c r="H213" s="7">
        <v>-2739220.27</v>
      </c>
      <c r="I213" s="236">
        <v>-861814.15282373549</v>
      </c>
      <c r="J213" s="3">
        <f t="shared" si="3"/>
        <v>-1877406.1171762645</v>
      </c>
    </row>
    <row r="214" spans="1:10" hidden="1" x14ac:dyDescent="0.25">
      <c r="A214" s="2" t="s">
        <v>646</v>
      </c>
      <c r="B214" s="2" t="s">
        <v>647</v>
      </c>
      <c r="C214" s="2" t="s">
        <v>145</v>
      </c>
      <c r="D214" s="2" t="s">
        <v>1125</v>
      </c>
      <c r="E214" s="2" t="s">
        <v>1123</v>
      </c>
      <c r="F214" s="267" t="s">
        <v>1163</v>
      </c>
      <c r="G214" s="2" t="s">
        <v>214</v>
      </c>
      <c r="H214" s="7">
        <v>-15343313.549999997</v>
      </c>
      <c r="I214" s="236">
        <v>-6305398.0468544792</v>
      </c>
      <c r="J214" s="3">
        <f t="shared" si="3"/>
        <v>-9037915.5031455178</v>
      </c>
    </row>
    <row r="215" spans="1:10" hidden="1" x14ac:dyDescent="0.25">
      <c r="A215" s="2" t="s">
        <v>648</v>
      </c>
      <c r="B215" s="2" t="s">
        <v>649</v>
      </c>
      <c r="C215" s="2" t="s">
        <v>145</v>
      </c>
      <c r="D215" s="2" t="s">
        <v>1125</v>
      </c>
      <c r="E215" s="2" t="s">
        <v>1123</v>
      </c>
      <c r="F215" s="267" t="s">
        <v>1163</v>
      </c>
      <c r="G215" s="2" t="s">
        <v>214</v>
      </c>
      <c r="H215" s="7">
        <v>-4668066.9499999983</v>
      </c>
      <c r="I215" s="236">
        <v>-3782262.3531804639</v>
      </c>
      <c r="J215" s="3">
        <f t="shared" si="3"/>
        <v>-885804.59681953443</v>
      </c>
    </row>
    <row r="216" spans="1:10" hidden="1" x14ac:dyDescent="0.25">
      <c r="A216" s="2" t="s">
        <v>650</v>
      </c>
      <c r="B216" s="2" t="s">
        <v>651</v>
      </c>
      <c r="C216" s="2" t="s">
        <v>145</v>
      </c>
      <c r="D216" s="2" t="s">
        <v>1125</v>
      </c>
      <c r="E216" s="2" t="s">
        <v>1123</v>
      </c>
      <c r="F216" s="267" t="s">
        <v>1163</v>
      </c>
      <c r="G216" s="2" t="s">
        <v>214</v>
      </c>
      <c r="H216" s="7">
        <v>-423517.23000000004</v>
      </c>
      <c r="I216" s="236">
        <v>-42777.416438186134</v>
      </c>
      <c r="J216" s="3">
        <f t="shared" si="3"/>
        <v>-380739.81356181391</v>
      </c>
    </row>
    <row r="217" spans="1:10" hidden="1" x14ac:dyDescent="0.25">
      <c r="A217" s="2" t="s">
        <v>652</v>
      </c>
      <c r="B217" s="2" t="s">
        <v>653</v>
      </c>
      <c r="C217" s="2" t="s">
        <v>145</v>
      </c>
      <c r="D217" s="2" t="s">
        <v>29</v>
      </c>
      <c r="E217" s="2" t="s">
        <v>29</v>
      </c>
      <c r="F217" s="267" t="s">
        <v>1161</v>
      </c>
      <c r="G217" s="2" t="s">
        <v>214</v>
      </c>
      <c r="H217" s="7">
        <v>156956.6</v>
      </c>
      <c r="I217" s="236">
        <v>45751.767883173794</v>
      </c>
      <c r="J217" s="3">
        <f t="shared" si="3"/>
        <v>111204.8321168262</v>
      </c>
    </row>
    <row r="218" spans="1:10" hidden="1" x14ac:dyDescent="0.25">
      <c r="A218" s="2" t="s">
        <v>654</v>
      </c>
      <c r="B218" s="2" t="s">
        <v>655</v>
      </c>
      <c r="C218" s="2" t="s">
        <v>145</v>
      </c>
      <c r="D218" s="2" t="s">
        <v>29</v>
      </c>
      <c r="E218" s="2" t="s">
        <v>29</v>
      </c>
      <c r="F218" s="267" t="s">
        <v>1161</v>
      </c>
      <c r="G218" s="2" t="s">
        <v>214</v>
      </c>
      <c r="H218" s="7">
        <v>80515.219999999899</v>
      </c>
      <c r="I218" s="236">
        <v>-174864.31364979941</v>
      </c>
      <c r="J218" s="3">
        <f t="shared" si="3"/>
        <v>255379.5336497993</v>
      </c>
    </row>
    <row r="219" spans="1:10" hidden="1" x14ac:dyDescent="0.25">
      <c r="A219" s="2" t="s">
        <v>656</v>
      </c>
      <c r="B219" s="2" t="s">
        <v>657</v>
      </c>
      <c r="C219" s="2" t="s">
        <v>145</v>
      </c>
      <c r="D219" s="2" t="s">
        <v>29</v>
      </c>
      <c r="E219" s="2" t="s">
        <v>29</v>
      </c>
      <c r="F219" s="267" t="s">
        <v>1161</v>
      </c>
      <c r="G219" s="2" t="s">
        <v>214</v>
      </c>
      <c r="H219" s="7">
        <v>1336589.9300000002</v>
      </c>
      <c r="I219" s="236">
        <v>0</v>
      </c>
      <c r="J219" s="3">
        <f t="shared" si="3"/>
        <v>1336589.9300000002</v>
      </c>
    </row>
    <row r="220" spans="1:10" hidden="1" x14ac:dyDescent="0.25">
      <c r="A220" s="2" t="s">
        <v>658</v>
      </c>
      <c r="B220" s="2" t="s">
        <v>659</v>
      </c>
      <c r="C220" s="2" t="s">
        <v>145</v>
      </c>
      <c r="D220" s="2" t="s">
        <v>29</v>
      </c>
      <c r="E220" s="2" t="s">
        <v>29</v>
      </c>
      <c r="F220" s="267" t="s">
        <v>1161</v>
      </c>
      <c r="G220" s="2" t="s">
        <v>214</v>
      </c>
      <c r="H220" s="7">
        <v>-1989317.7800000003</v>
      </c>
      <c r="I220" s="236">
        <v>0</v>
      </c>
      <c r="J220" s="3">
        <f t="shared" si="3"/>
        <v>-1989317.7800000003</v>
      </c>
    </row>
    <row r="221" spans="1:10" hidden="1" x14ac:dyDescent="0.25">
      <c r="A221" s="2" t="s">
        <v>660</v>
      </c>
      <c r="B221" s="2" t="s">
        <v>661</v>
      </c>
      <c r="C221" s="2" t="s">
        <v>145</v>
      </c>
      <c r="D221" s="2" t="s">
        <v>1125</v>
      </c>
      <c r="E221" s="2" t="s">
        <v>1123</v>
      </c>
      <c r="F221" s="267" t="s">
        <v>1163</v>
      </c>
      <c r="G221" s="2" t="s">
        <v>214</v>
      </c>
      <c r="H221" s="7">
        <v>-208574.06</v>
      </c>
      <c r="I221" s="236">
        <v>-579868.1633594709</v>
      </c>
      <c r="J221" s="3">
        <f t="shared" si="3"/>
        <v>371294.1033594709</v>
      </c>
    </row>
    <row r="222" spans="1:10" hidden="1" x14ac:dyDescent="0.25">
      <c r="A222" s="2" t="s">
        <v>662</v>
      </c>
      <c r="B222" s="2" t="s">
        <v>663</v>
      </c>
      <c r="C222" s="2" t="s">
        <v>145</v>
      </c>
      <c r="D222" s="2" t="s">
        <v>1125</v>
      </c>
      <c r="E222" s="2" t="s">
        <v>1123</v>
      </c>
      <c r="F222" s="267" t="s">
        <v>1163</v>
      </c>
      <c r="G222" s="2" t="s">
        <v>214</v>
      </c>
      <c r="H222" s="7">
        <v>0</v>
      </c>
      <c r="I222" s="236">
        <v>-942562.69200210588</v>
      </c>
      <c r="J222" s="3">
        <f t="shared" si="3"/>
        <v>942562.69200210588</v>
      </c>
    </row>
    <row r="223" spans="1:10" hidden="1" x14ac:dyDescent="0.25">
      <c r="A223" s="2" t="s">
        <v>664</v>
      </c>
      <c r="B223" s="2" t="s">
        <v>665</v>
      </c>
      <c r="C223" s="2" t="s">
        <v>145</v>
      </c>
      <c r="D223" s="2" t="s">
        <v>29</v>
      </c>
      <c r="E223" s="2" t="s">
        <v>29</v>
      </c>
      <c r="F223" s="267" t="s">
        <v>1161</v>
      </c>
      <c r="G223" s="2" t="s">
        <v>214</v>
      </c>
      <c r="H223" s="7">
        <v>-327481.64</v>
      </c>
      <c r="I223" s="236">
        <v>-526997.4616409021</v>
      </c>
      <c r="J223" s="3">
        <f t="shared" si="3"/>
        <v>199515.82164090208</v>
      </c>
    </row>
    <row r="224" spans="1:10" hidden="1" x14ac:dyDescent="0.25">
      <c r="A224" s="2" t="s">
        <v>666</v>
      </c>
      <c r="B224" s="2" t="s">
        <v>667</v>
      </c>
      <c r="C224" s="2" t="s">
        <v>145</v>
      </c>
      <c r="D224" s="2" t="s">
        <v>29</v>
      </c>
      <c r="E224" s="2" t="s">
        <v>29</v>
      </c>
      <c r="F224" s="267" t="s">
        <v>1161</v>
      </c>
      <c r="G224" s="2" t="s">
        <v>214</v>
      </c>
      <c r="H224" s="7">
        <v>-92371.970000000016</v>
      </c>
      <c r="I224" s="236">
        <v>0</v>
      </c>
      <c r="J224" s="3">
        <f t="shared" si="3"/>
        <v>-92371.970000000016</v>
      </c>
    </row>
    <row r="225" spans="1:10" hidden="1" x14ac:dyDescent="0.25">
      <c r="A225" s="2" t="s">
        <v>668</v>
      </c>
      <c r="B225" s="2" t="s">
        <v>669</v>
      </c>
      <c r="C225" s="2" t="s">
        <v>145</v>
      </c>
      <c r="D225" s="2" t="s">
        <v>18</v>
      </c>
      <c r="E225" s="2" t="s">
        <v>1122</v>
      </c>
      <c r="F225" s="267" t="s">
        <v>1164</v>
      </c>
      <c r="G225" s="2" t="s">
        <v>214</v>
      </c>
      <c r="H225" s="7">
        <v>-541599.29999999993</v>
      </c>
      <c r="I225" s="236">
        <v>-612257.04912493099</v>
      </c>
      <c r="J225" s="3">
        <f t="shared" si="3"/>
        <v>70657.749124931055</v>
      </c>
    </row>
    <row r="226" spans="1:10" hidden="1" x14ac:dyDescent="0.25">
      <c r="A226" s="2" t="s">
        <v>670</v>
      </c>
      <c r="B226" s="2" t="s">
        <v>671</v>
      </c>
      <c r="C226" s="2" t="s">
        <v>145</v>
      </c>
      <c r="D226" s="2"/>
      <c r="E226" s="2"/>
      <c r="F226" s="267"/>
      <c r="G226" s="2" t="s">
        <v>215</v>
      </c>
      <c r="H226" s="7">
        <v>-1922547.6499999994</v>
      </c>
      <c r="I226" s="236">
        <v>0</v>
      </c>
      <c r="J226" s="3">
        <f t="shared" si="3"/>
        <v>-1922547.6499999994</v>
      </c>
    </row>
    <row r="227" spans="1:10" hidden="1" x14ac:dyDescent="0.25">
      <c r="A227" s="2" t="s">
        <v>672</v>
      </c>
      <c r="B227" s="2" t="s">
        <v>673</v>
      </c>
      <c r="C227" s="2" t="s">
        <v>145</v>
      </c>
      <c r="D227" s="2" t="s">
        <v>13</v>
      </c>
      <c r="E227" s="2" t="s">
        <v>1122</v>
      </c>
      <c r="F227" s="267" t="s">
        <v>1159</v>
      </c>
      <c r="G227" s="2" t="s">
        <v>214</v>
      </c>
      <c r="H227" s="7">
        <v>-2276971.46</v>
      </c>
      <c r="I227" s="236">
        <v>-3537856.0686793714</v>
      </c>
      <c r="J227" s="3">
        <f t="shared" si="3"/>
        <v>1260884.6086793714</v>
      </c>
    </row>
    <row r="228" spans="1:10" hidden="1" x14ac:dyDescent="0.25">
      <c r="A228" s="2" t="s">
        <v>674</v>
      </c>
      <c r="B228" s="2" t="s">
        <v>675</v>
      </c>
      <c r="C228" s="2" t="s">
        <v>145</v>
      </c>
      <c r="D228" s="2" t="s">
        <v>13</v>
      </c>
      <c r="E228" s="2" t="s">
        <v>1122</v>
      </c>
      <c r="F228" s="267" t="s">
        <v>1159</v>
      </c>
      <c r="G228" s="2" t="s">
        <v>214</v>
      </c>
      <c r="H228" s="7">
        <v>-2289164.5</v>
      </c>
      <c r="I228" s="236">
        <v>-1706503.2013557961</v>
      </c>
      <c r="J228" s="3">
        <f t="shared" si="3"/>
        <v>-582661.29864420393</v>
      </c>
    </row>
    <row r="229" spans="1:10" hidden="1" x14ac:dyDescent="0.25">
      <c r="A229" s="2" t="s">
        <v>676</v>
      </c>
      <c r="B229" s="2" t="s">
        <v>677</v>
      </c>
      <c r="C229" s="2" t="s">
        <v>145</v>
      </c>
      <c r="D229" s="2" t="s">
        <v>13</v>
      </c>
      <c r="E229" s="2" t="s">
        <v>1122</v>
      </c>
      <c r="F229" s="267" t="s">
        <v>1159</v>
      </c>
      <c r="G229" s="2" t="s">
        <v>214</v>
      </c>
      <c r="H229" s="7">
        <v>-1392005.6</v>
      </c>
      <c r="I229" s="236">
        <v>-1561540.4883292869</v>
      </c>
      <c r="J229" s="3">
        <f t="shared" si="3"/>
        <v>169534.88832928683</v>
      </c>
    </row>
    <row r="230" spans="1:10" hidden="1" x14ac:dyDescent="0.25">
      <c r="A230" s="2" t="s">
        <v>678</v>
      </c>
      <c r="B230" s="2" t="s">
        <v>679</v>
      </c>
      <c r="C230" s="2" t="s">
        <v>145</v>
      </c>
      <c r="D230" s="2" t="s">
        <v>13</v>
      </c>
      <c r="E230" s="2" t="s">
        <v>1122</v>
      </c>
      <c r="F230" s="267" t="s">
        <v>1159</v>
      </c>
      <c r="G230" s="2" t="s">
        <v>214</v>
      </c>
      <c r="H230" s="7">
        <v>-2592100.8000000003</v>
      </c>
      <c r="I230" s="236">
        <v>-1155135.265726232</v>
      </c>
      <c r="J230" s="3">
        <f t="shared" si="3"/>
        <v>-1436965.5342737683</v>
      </c>
    </row>
    <row r="231" spans="1:10" hidden="1" x14ac:dyDescent="0.25">
      <c r="A231" s="2" t="s">
        <v>680</v>
      </c>
      <c r="B231" s="2" t="s">
        <v>681</v>
      </c>
      <c r="C231" s="2" t="s">
        <v>145</v>
      </c>
      <c r="D231" s="2" t="s">
        <v>13</v>
      </c>
      <c r="E231" s="2" t="s">
        <v>1122</v>
      </c>
      <c r="F231" s="267" t="s">
        <v>1159</v>
      </c>
      <c r="G231" s="2" t="s">
        <v>214</v>
      </c>
      <c r="H231" s="7">
        <v>-23566111.069999997</v>
      </c>
      <c r="I231" s="236">
        <v>-16384171.11281178</v>
      </c>
      <c r="J231" s="3">
        <f t="shared" si="3"/>
        <v>-7181939.957188217</v>
      </c>
    </row>
    <row r="232" spans="1:10" hidden="1" x14ac:dyDescent="0.25">
      <c r="A232" s="2" t="s">
        <v>682</v>
      </c>
      <c r="B232" s="2" t="s">
        <v>683</v>
      </c>
      <c r="C232" s="2" t="s">
        <v>145</v>
      </c>
      <c r="D232" s="2" t="s">
        <v>13</v>
      </c>
      <c r="E232" s="2" t="s">
        <v>1122</v>
      </c>
      <c r="F232" s="267" t="s">
        <v>1159</v>
      </c>
      <c r="G232" s="2" t="s">
        <v>214</v>
      </c>
      <c r="H232" s="7">
        <v>-25665121.789999995</v>
      </c>
      <c r="I232" s="236">
        <v>-17735483.544329397</v>
      </c>
      <c r="J232" s="3">
        <f t="shared" si="3"/>
        <v>-7929638.245670598</v>
      </c>
    </row>
    <row r="233" spans="1:10" hidden="1" x14ac:dyDescent="0.25">
      <c r="A233" s="2" t="s">
        <v>684</v>
      </c>
      <c r="B233" s="2" t="s">
        <v>685</v>
      </c>
      <c r="C233" s="2" t="s">
        <v>145</v>
      </c>
      <c r="D233" s="2" t="s">
        <v>13</v>
      </c>
      <c r="E233" s="2" t="s">
        <v>1122</v>
      </c>
      <c r="F233" s="267" t="s">
        <v>1159</v>
      </c>
      <c r="G233" s="2" t="s">
        <v>214</v>
      </c>
      <c r="H233" s="7">
        <v>-2885404.93</v>
      </c>
      <c r="I233" s="236">
        <v>-4767615.2291070791</v>
      </c>
      <c r="J233" s="3">
        <f t="shared" si="3"/>
        <v>1882210.2991070789</v>
      </c>
    </row>
    <row r="234" spans="1:10" hidden="1" x14ac:dyDescent="0.25">
      <c r="A234" s="2" t="s">
        <v>686</v>
      </c>
      <c r="B234" s="2" t="s">
        <v>687</v>
      </c>
      <c r="C234" s="2" t="s">
        <v>145</v>
      </c>
      <c r="D234" s="2" t="s">
        <v>13</v>
      </c>
      <c r="E234" s="2" t="s">
        <v>1122</v>
      </c>
      <c r="F234" s="267" t="s">
        <v>1159</v>
      </c>
      <c r="G234" s="2" t="s">
        <v>214</v>
      </c>
      <c r="H234" s="7">
        <v>-5809975.9299999997</v>
      </c>
      <c r="I234" s="236">
        <v>-77270.408691708741</v>
      </c>
      <c r="J234" s="3">
        <f t="shared" si="3"/>
        <v>-5732705.5213082908</v>
      </c>
    </row>
    <row r="235" spans="1:10" hidden="1" x14ac:dyDescent="0.25">
      <c r="A235" s="2" t="s">
        <v>688</v>
      </c>
      <c r="B235" s="2" t="s">
        <v>689</v>
      </c>
      <c r="C235" s="2" t="s">
        <v>145</v>
      </c>
      <c r="D235" s="2" t="s">
        <v>1126</v>
      </c>
      <c r="E235" s="2" t="s">
        <v>1122</v>
      </c>
      <c r="F235" s="267"/>
      <c r="G235" s="2" t="s">
        <v>214</v>
      </c>
      <c r="H235" s="7">
        <v>20729.98</v>
      </c>
      <c r="I235" s="236">
        <v>-2101770.1830291268</v>
      </c>
      <c r="J235" s="3">
        <f t="shared" si="3"/>
        <v>2122500.1630291268</v>
      </c>
    </row>
    <row r="236" spans="1:10" hidden="1" x14ac:dyDescent="0.25">
      <c r="A236" s="2" t="s">
        <v>690</v>
      </c>
      <c r="B236" s="2" t="s">
        <v>691</v>
      </c>
      <c r="C236" s="2" t="s">
        <v>145</v>
      </c>
      <c r="D236" s="2" t="s">
        <v>1126</v>
      </c>
      <c r="E236" s="2" t="s">
        <v>1122</v>
      </c>
      <c r="F236" s="267"/>
      <c r="G236" s="2" t="s">
        <v>214</v>
      </c>
      <c r="H236" s="7">
        <v>-3966627.5300000007</v>
      </c>
      <c r="I236" s="236">
        <v>-970471.10265976202</v>
      </c>
      <c r="J236" s="3">
        <f t="shared" si="3"/>
        <v>-2996156.4273402388</v>
      </c>
    </row>
    <row r="237" spans="1:10" hidden="1" x14ac:dyDescent="0.25">
      <c r="A237" s="2" t="s">
        <v>692</v>
      </c>
      <c r="B237" s="2" t="s">
        <v>693</v>
      </c>
      <c r="C237" s="2" t="s">
        <v>145</v>
      </c>
      <c r="D237" s="2" t="s">
        <v>1125</v>
      </c>
      <c r="E237" s="2" t="s">
        <v>1123</v>
      </c>
      <c r="F237" s="267" t="s">
        <v>1163</v>
      </c>
      <c r="G237" s="2" t="s">
        <v>214</v>
      </c>
      <c r="H237" s="7">
        <v>-433258.59</v>
      </c>
      <c r="I237" s="236">
        <v>-23122.496188339908</v>
      </c>
      <c r="J237" s="3">
        <f t="shared" si="3"/>
        <v>-410136.09381166013</v>
      </c>
    </row>
    <row r="238" spans="1:10" hidden="1" x14ac:dyDescent="0.25">
      <c r="A238" s="2" t="s">
        <v>694</v>
      </c>
      <c r="B238" s="2" t="s">
        <v>695</v>
      </c>
      <c r="C238" s="2" t="s">
        <v>145</v>
      </c>
      <c r="D238" s="2" t="s">
        <v>18</v>
      </c>
      <c r="E238" s="2" t="s">
        <v>1122</v>
      </c>
      <c r="F238" s="267" t="s">
        <v>1164</v>
      </c>
      <c r="G238" s="2" t="s">
        <v>214</v>
      </c>
      <c r="H238" s="7">
        <v>-22055101.060000002</v>
      </c>
      <c r="I238" s="236">
        <v>-19066599.134576462</v>
      </c>
      <c r="J238" s="3">
        <f t="shared" si="3"/>
        <v>-2988501.9254235402</v>
      </c>
    </row>
    <row r="239" spans="1:10" hidden="1" x14ac:dyDescent="0.25">
      <c r="A239" s="2" t="s">
        <v>696</v>
      </c>
      <c r="B239" s="2" t="s">
        <v>697</v>
      </c>
      <c r="C239" s="2" t="s">
        <v>145</v>
      </c>
      <c r="D239" s="2" t="s">
        <v>18</v>
      </c>
      <c r="E239" s="2" t="s">
        <v>1122</v>
      </c>
      <c r="F239" s="267" t="s">
        <v>1164</v>
      </c>
      <c r="G239" s="2" t="s">
        <v>214</v>
      </c>
      <c r="H239" s="7">
        <v>-5481367.3600000003</v>
      </c>
      <c r="I239" s="236">
        <v>-1225889.1263919855</v>
      </c>
      <c r="J239" s="3">
        <f t="shared" si="3"/>
        <v>-4255478.2336080149</v>
      </c>
    </row>
    <row r="240" spans="1:10" hidden="1" x14ac:dyDescent="0.25">
      <c r="A240" s="2" t="s">
        <v>698</v>
      </c>
      <c r="B240" s="2" t="s">
        <v>699</v>
      </c>
      <c r="C240" s="2" t="s">
        <v>145</v>
      </c>
      <c r="D240" s="2" t="s">
        <v>29</v>
      </c>
      <c r="E240" s="2" t="s">
        <v>29</v>
      </c>
      <c r="F240" s="267" t="s">
        <v>1161</v>
      </c>
      <c r="G240" s="2" t="s">
        <v>214</v>
      </c>
      <c r="H240" s="7">
        <v>-57.85</v>
      </c>
      <c r="I240" s="236">
        <v>0</v>
      </c>
      <c r="J240" s="3">
        <f t="shared" si="3"/>
        <v>-57.85</v>
      </c>
    </row>
    <row r="241" spans="1:10" hidden="1" x14ac:dyDescent="0.25">
      <c r="A241" s="2" t="s">
        <v>700</v>
      </c>
      <c r="B241" s="2" t="s">
        <v>701</v>
      </c>
      <c r="C241" s="2" t="s">
        <v>145</v>
      </c>
      <c r="D241" s="2" t="s">
        <v>22</v>
      </c>
      <c r="E241" s="2" t="s">
        <v>1122</v>
      </c>
      <c r="F241" s="267" t="s">
        <v>1166</v>
      </c>
      <c r="G241" s="2" t="s">
        <v>214</v>
      </c>
      <c r="H241" s="7">
        <v>0</v>
      </c>
      <c r="I241" s="236">
        <v>-815876.02999999968</v>
      </c>
      <c r="J241" s="3">
        <f t="shared" si="3"/>
        <v>815876.02999999968</v>
      </c>
    </row>
    <row r="242" spans="1:10" hidden="1" x14ac:dyDescent="0.25">
      <c r="A242" s="2" t="s">
        <v>702</v>
      </c>
      <c r="B242" s="2" t="s">
        <v>703</v>
      </c>
      <c r="C242" s="2" t="s">
        <v>145</v>
      </c>
      <c r="D242" s="2" t="s">
        <v>18</v>
      </c>
      <c r="E242" s="2" t="s">
        <v>1122</v>
      </c>
      <c r="F242" s="267" t="s">
        <v>1164</v>
      </c>
      <c r="G242" s="2" t="s">
        <v>214</v>
      </c>
      <c r="H242" s="7">
        <v>0</v>
      </c>
      <c r="I242" s="236">
        <v>-35921973.44277709</v>
      </c>
      <c r="J242" s="3">
        <f t="shared" si="3"/>
        <v>35921973.44277709</v>
      </c>
    </row>
    <row r="243" spans="1:10" hidden="1" x14ac:dyDescent="0.25">
      <c r="A243" s="2" t="s">
        <v>704</v>
      </c>
      <c r="B243" s="2" t="s">
        <v>705</v>
      </c>
      <c r="C243" s="2" t="s">
        <v>145</v>
      </c>
      <c r="D243" s="2" t="s">
        <v>18</v>
      </c>
      <c r="E243" s="2" t="s">
        <v>1122</v>
      </c>
      <c r="F243" s="267" t="s">
        <v>1164</v>
      </c>
      <c r="G243" s="2" t="s">
        <v>214</v>
      </c>
      <c r="H243" s="7">
        <v>-6316085.5699999994</v>
      </c>
      <c r="I243" s="236">
        <v>-5647053.9177504089</v>
      </c>
      <c r="J243" s="3">
        <f t="shared" si="3"/>
        <v>-669031.65224959049</v>
      </c>
    </row>
    <row r="244" spans="1:10" hidden="1" x14ac:dyDescent="0.25">
      <c r="A244" s="2" t="s">
        <v>706</v>
      </c>
      <c r="B244" s="2" t="s">
        <v>707</v>
      </c>
      <c r="C244" s="2" t="s">
        <v>145</v>
      </c>
      <c r="D244" s="2" t="s">
        <v>18</v>
      </c>
      <c r="E244" s="2" t="s">
        <v>1122</v>
      </c>
      <c r="F244" s="267" t="s">
        <v>1164</v>
      </c>
      <c r="G244" s="2" t="s">
        <v>214</v>
      </c>
      <c r="H244" s="7">
        <v>-10585242.869999999</v>
      </c>
      <c r="I244" s="236">
        <v>-5346024.8646613471</v>
      </c>
      <c r="J244" s="3">
        <f t="shared" si="3"/>
        <v>-5239218.0053386521</v>
      </c>
    </row>
    <row r="245" spans="1:10" hidden="1" x14ac:dyDescent="0.25">
      <c r="A245" s="2" t="s">
        <v>708</v>
      </c>
      <c r="B245" s="2" t="s">
        <v>709</v>
      </c>
      <c r="C245" s="2" t="s">
        <v>145</v>
      </c>
      <c r="D245" s="2" t="s">
        <v>18</v>
      </c>
      <c r="E245" s="2" t="s">
        <v>1122</v>
      </c>
      <c r="F245" s="267" t="s">
        <v>1164</v>
      </c>
      <c r="G245" s="2" t="s">
        <v>214</v>
      </c>
      <c r="H245" s="7">
        <v>-8530130.6899999995</v>
      </c>
      <c r="I245" s="236">
        <v>-7796775.9340889389</v>
      </c>
      <c r="J245" s="3">
        <f t="shared" si="3"/>
        <v>-733354.75591106061</v>
      </c>
    </row>
    <row r="246" spans="1:10" hidden="1" x14ac:dyDescent="0.25">
      <c r="A246" s="2" t="s">
        <v>710</v>
      </c>
      <c r="B246" s="2" t="s">
        <v>711</v>
      </c>
      <c r="C246" s="2" t="s">
        <v>145</v>
      </c>
      <c r="D246" s="2" t="s">
        <v>29</v>
      </c>
      <c r="E246" s="2" t="s">
        <v>29</v>
      </c>
      <c r="F246" s="267" t="s">
        <v>1161</v>
      </c>
      <c r="G246" s="2" t="s">
        <v>214</v>
      </c>
      <c r="H246" s="7">
        <v>-2856208.79</v>
      </c>
      <c r="I246" s="236">
        <v>-1941116.1751145546</v>
      </c>
      <c r="J246" s="3">
        <f t="shared" si="3"/>
        <v>-915092.61488544545</v>
      </c>
    </row>
    <row r="247" spans="1:10" hidden="1" x14ac:dyDescent="0.25">
      <c r="A247" s="2" t="s">
        <v>712</v>
      </c>
      <c r="B247" s="2" t="s">
        <v>713</v>
      </c>
      <c r="C247" s="2" t="s">
        <v>145</v>
      </c>
      <c r="D247" s="2" t="s">
        <v>29</v>
      </c>
      <c r="E247" s="2" t="s">
        <v>29</v>
      </c>
      <c r="F247" s="267" t="s">
        <v>1161</v>
      </c>
      <c r="G247" s="2" t="s">
        <v>214</v>
      </c>
      <c r="H247" s="7">
        <v>-155988.55999999997</v>
      </c>
      <c r="I247" s="236">
        <v>0</v>
      </c>
      <c r="J247" s="3">
        <f t="shared" si="3"/>
        <v>-155988.55999999997</v>
      </c>
    </row>
    <row r="248" spans="1:10" hidden="1" x14ac:dyDescent="0.25">
      <c r="A248" s="2" t="s">
        <v>714</v>
      </c>
      <c r="B248" s="2" t="s">
        <v>715</v>
      </c>
      <c r="C248" s="2" t="s">
        <v>145</v>
      </c>
      <c r="D248" s="2" t="s">
        <v>18</v>
      </c>
      <c r="E248" s="2" t="s">
        <v>1122</v>
      </c>
      <c r="F248" s="267" t="s">
        <v>1164</v>
      </c>
      <c r="G248" s="2" t="s">
        <v>214</v>
      </c>
      <c r="H248" s="7">
        <v>-12131135.530000001</v>
      </c>
      <c r="I248" s="236">
        <v>-5943259.5284354677</v>
      </c>
      <c r="J248" s="3">
        <f t="shared" si="3"/>
        <v>-6187876.0015645334</v>
      </c>
    </row>
    <row r="249" spans="1:10" hidden="1" x14ac:dyDescent="0.25">
      <c r="A249" s="2" t="s">
        <v>716</v>
      </c>
      <c r="B249" s="2" t="s">
        <v>717</v>
      </c>
      <c r="C249" s="2" t="s">
        <v>145</v>
      </c>
      <c r="D249" s="2" t="s">
        <v>18</v>
      </c>
      <c r="E249" s="2" t="s">
        <v>1122</v>
      </c>
      <c r="F249" s="267" t="s">
        <v>1164</v>
      </c>
      <c r="G249" s="2" t="s">
        <v>214</v>
      </c>
      <c r="H249" s="7">
        <v>-1452907.89</v>
      </c>
      <c r="I249" s="236">
        <v>-957837.8105865703</v>
      </c>
      <c r="J249" s="3">
        <f t="shared" si="3"/>
        <v>-495070.0794134296</v>
      </c>
    </row>
    <row r="250" spans="1:10" hidden="1" x14ac:dyDescent="0.25">
      <c r="A250" s="2" t="s">
        <v>718</v>
      </c>
      <c r="B250" s="2" t="s">
        <v>719</v>
      </c>
      <c r="C250" s="2" t="s">
        <v>145</v>
      </c>
      <c r="D250" s="2" t="s">
        <v>18</v>
      </c>
      <c r="E250" s="2" t="s">
        <v>1122</v>
      </c>
      <c r="F250" s="267" t="s">
        <v>1164</v>
      </c>
      <c r="G250" s="2" t="s">
        <v>214</v>
      </c>
      <c r="H250" s="7">
        <v>-1707611.7999999998</v>
      </c>
      <c r="I250" s="236">
        <v>-1061291.1559889046</v>
      </c>
      <c r="J250" s="3">
        <f t="shared" si="3"/>
        <v>-646320.64401109517</v>
      </c>
    </row>
    <row r="251" spans="1:10" hidden="1" x14ac:dyDescent="0.25">
      <c r="A251" s="2" t="s">
        <v>720</v>
      </c>
      <c r="B251" s="2" t="s">
        <v>721</v>
      </c>
      <c r="C251" s="2" t="s">
        <v>145</v>
      </c>
      <c r="D251" s="2" t="s">
        <v>29</v>
      </c>
      <c r="E251" s="2" t="s">
        <v>29</v>
      </c>
      <c r="F251" s="267" t="s">
        <v>1161</v>
      </c>
      <c r="G251" s="2" t="s">
        <v>214</v>
      </c>
      <c r="H251" s="7">
        <v>-892.18</v>
      </c>
      <c r="I251" s="236">
        <v>-809.57372929571864</v>
      </c>
      <c r="J251" s="3">
        <f t="shared" si="3"/>
        <v>-82.606270704281314</v>
      </c>
    </row>
    <row r="252" spans="1:10" hidden="1" x14ac:dyDescent="0.25">
      <c r="A252" s="2" t="s">
        <v>722</v>
      </c>
      <c r="B252" s="2" t="s">
        <v>723</v>
      </c>
      <c r="C252" s="2" t="s">
        <v>145</v>
      </c>
      <c r="D252" s="2" t="s">
        <v>29</v>
      </c>
      <c r="E252" s="2" t="s">
        <v>29</v>
      </c>
      <c r="F252" s="267" t="s">
        <v>1161</v>
      </c>
      <c r="G252" s="2" t="s">
        <v>214</v>
      </c>
      <c r="H252" s="7">
        <v>-28219.920000000002</v>
      </c>
      <c r="I252" s="236">
        <v>-343.58994116342234</v>
      </c>
      <c r="J252" s="3">
        <f t="shared" si="3"/>
        <v>-27876.330058836578</v>
      </c>
    </row>
    <row r="253" spans="1:10" hidden="1" x14ac:dyDescent="0.25">
      <c r="A253" s="2" t="s">
        <v>724</v>
      </c>
      <c r="B253" s="2" t="s">
        <v>725</v>
      </c>
      <c r="C253" s="2" t="s">
        <v>145</v>
      </c>
      <c r="D253" s="2" t="s">
        <v>29</v>
      </c>
      <c r="E253" s="2" t="s">
        <v>29</v>
      </c>
      <c r="F253" s="267" t="s">
        <v>1161</v>
      </c>
      <c r="G253" s="2" t="s">
        <v>214</v>
      </c>
      <c r="H253" s="7">
        <v>0</v>
      </c>
      <c r="I253" s="236">
        <v>-3019.2287270564416</v>
      </c>
      <c r="J253" s="3">
        <f t="shared" si="3"/>
        <v>3019.2287270564416</v>
      </c>
    </row>
    <row r="254" spans="1:10" hidden="1" x14ac:dyDescent="0.25">
      <c r="A254" s="2" t="s">
        <v>726</v>
      </c>
      <c r="B254" s="2" t="s">
        <v>727</v>
      </c>
      <c r="C254" s="2" t="s">
        <v>145</v>
      </c>
      <c r="D254" s="2" t="s">
        <v>18</v>
      </c>
      <c r="E254" s="2" t="s">
        <v>1122</v>
      </c>
      <c r="F254" s="267" t="s">
        <v>1164</v>
      </c>
      <c r="G254" s="2" t="s">
        <v>214</v>
      </c>
      <c r="H254" s="7">
        <v>-524.0100000000001</v>
      </c>
      <c r="I254" s="236">
        <v>-1493605.781765586</v>
      </c>
      <c r="J254" s="3">
        <f t="shared" si="3"/>
        <v>1493081.771765586</v>
      </c>
    </row>
    <row r="255" spans="1:10" hidden="1" x14ac:dyDescent="0.25">
      <c r="A255" s="2" t="s">
        <v>728</v>
      </c>
      <c r="B255" s="2" t="s">
        <v>729</v>
      </c>
      <c r="C255" s="2" t="s">
        <v>145</v>
      </c>
      <c r="D255" s="2" t="s">
        <v>1126</v>
      </c>
      <c r="E255" s="2" t="s">
        <v>1122</v>
      </c>
      <c r="F255" s="267"/>
      <c r="G255" s="2" t="s">
        <v>214</v>
      </c>
      <c r="H255" s="7">
        <v>0</v>
      </c>
      <c r="I255" s="236">
        <v>-278.03114841678655</v>
      </c>
      <c r="J255" s="3">
        <f t="shared" si="3"/>
        <v>278.03114841678655</v>
      </c>
    </row>
    <row r="256" spans="1:10" hidden="1" x14ac:dyDescent="0.25">
      <c r="A256" s="2" t="s">
        <v>730</v>
      </c>
      <c r="B256" s="2" t="s">
        <v>731</v>
      </c>
      <c r="C256" s="2" t="s">
        <v>145</v>
      </c>
      <c r="D256" s="2" t="s">
        <v>29</v>
      </c>
      <c r="E256" s="2" t="s">
        <v>29</v>
      </c>
      <c r="F256" s="267" t="s">
        <v>1161</v>
      </c>
      <c r="G256" s="2" t="s">
        <v>214</v>
      </c>
      <c r="H256" s="7">
        <v>-1347501.5900000003</v>
      </c>
      <c r="I256" s="236">
        <v>-1413267.7423115743</v>
      </c>
      <c r="J256" s="3">
        <f t="shared" si="3"/>
        <v>65766.152311573969</v>
      </c>
    </row>
    <row r="257" spans="1:10" hidden="1" x14ac:dyDescent="0.25">
      <c r="A257" s="2" t="s">
        <v>732</v>
      </c>
      <c r="B257" s="2" t="s">
        <v>733</v>
      </c>
      <c r="C257" s="2" t="s">
        <v>145</v>
      </c>
      <c r="D257" s="2" t="s">
        <v>18</v>
      </c>
      <c r="E257" s="2" t="s">
        <v>1122</v>
      </c>
      <c r="F257" s="267" t="s">
        <v>1164</v>
      </c>
      <c r="G257" s="2" t="s">
        <v>214</v>
      </c>
      <c r="H257" s="7">
        <v>-2604439.79</v>
      </c>
      <c r="I257" s="236">
        <v>-161747.64343363733</v>
      </c>
      <c r="J257" s="3">
        <f t="shared" si="3"/>
        <v>-2442692.1465663626</v>
      </c>
    </row>
    <row r="258" spans="1:10" hidden="1" x14ac:dyDescent="0.25">
      <c r="A258" s="2" t="s">
        <v>734</v>
      </c>
      <c r="B258" s="2" t="s">
        <v>735</v>
      </c>
      <c r="C258" s="2" t="s">
        <v>145</v>
      </c>
      <c r="D258" s="2" t="s">
        <v>29</v>
      </c>
      <c r="E258" s="2" t="s">
        <v>29</v>
      </c>
      <c r="F258" s="267" t="s">
        <v>1161</v>
      </c>
      <c r="G258" s="2" t="s">
        <v>214</v>
      </c>
      <c r="H258" s="7">
        <v>-213059.72</v>
      </c>
      <c r="I258" s="236">
        <v>-2439.4244755307986</v>
      </c>
      <c r="J258" s="3">
        <f t="shared" si="3"/>
        <v>-210620.2955244692</v>
      </c>
    </row>
    <row r="259" spans="1:10" hidden="1" x14ac:dyDescent="0.25">
      <c r="A259" s="2" t="s">
        <v>736</v>
      </c>
      <c r="B259" s="2" t="s">
        <v>737</v>
      </c>
      <c r="C259" s="2" t="s">
        <v>145</v>
      </c>
      <c r="D259" s="2"/>
      <c r="E259" s="2"/>
      <c r="F259" s="267"/>
      <c r="G259" s="2" t="s">
        <v>215</v>
      </c>
      <c r="H259" s="7">
        <v>-646477.94999999995</v>
      </c>
      <c r="I259" s="236">
        <v>0</v>
      </c>
      <c r="J259" s="3">
        <f t="shared" si="3"/>
        <v>-646477.94999999995</v>
      </c>
    </row>
    <row r="260" spans="1:10" hidden="1" x14ac:dyDescent="0.25">
      <c r="A260" s="2" t="s">
        <v>738</v>
      </c>
      <c r="B260" s="2" t="s">
        <v>739</v>
      </c>
      <c r="C260" s="2" t="s">
        <v>145</v>
      </c>
      <c r="D260" s="2" t="s">
        <v>13</v>
      </c>
      <c r="E260" s="2" t="s">
        <v>1122</v>
      </c>
      <c r="F260" s="267" t="s">
        <v>1159</v>
      </c>
      <c r="G260" s="2" t="s">
        <v>214</v>
      </c>
      <c r="H260" s="7">
        <v>-4091229.6399999997</v>
      </c>
      <c r="I260" s="236">
        <v>-1174487.6535068189</v>
      </c>
      <c r="J260" s="3">
        <f t="shared" si="3"/>
        <v>-2916741.9864931805</v>
      </c>
    </row>
    <row r="261" spans="1:10" hidden="1" x14ac:dyDescent="0.25">
      <c r="A261" s="2" t="s">
        <v>740</v>
      </c>
      <c r="B261" s="2" t="s">
        <v>741</v>
      </c>
      <c r="C261" s="2" t="s">
        <v>145</v>
      </c>
      <c r="D261" s="2" t="s">
        <v>13</v>
      </c>
      <c r="E261" s="2" t="s">
        <v>1122</v>
      </c>
      <c r="F261" s="267" t="s">
        <v>1159</v>
      </c>
      <c r="G261" s="2" t="s">
        <v>214</v>
      </c>
      <c r="H261" s="7">
        <v>-6439.6200000000008</v>
      </c>
      <c r="I261" s="236">
        <v>-370670.03978016641</v>
      </c>
      <c r="J261" s="3">
        <f t="shared" si="3"/>
        <v>364230.41978016641</v>
      </c>
    </row>
    <row r="262" spans="1:10" hidden="1" x14ac:dyDescent="0.25">
      <c r="A262" s="2" t="s">
        <v>742</v>
      </c>
      <c r="B262" s="2" t="s">
        <v>743</v>
      </c>
      <c r="C262" s="2" t="s">
        <v>145</v>
      </c>
      <c r="D262" s="2"/>
      <c r="E262" s="2"/>
      <c r="F262" s="267"/>
      <c r="G262" s="2" t="s">
        <v>213</v>
      </c>
      <c r="H262" s="7">
        <v>-10254.730000000001</v>
      </c>
      <c r="I262" s="236">
        <v>-1202422.340939404</v>
      </c>
      <c r="J262" s="3">
        <f t="shared" ref="J262:J325" si="4">H262-I262</f>
        <v>1192167.610939404</v>
      </c>
    </row>
    <row r="263" spans="1:10" hidden="1" x14ac:dyDescent="0.25">
      <c r="A263" s="2" t="s">
        <v>744</v>
      </c>
      <c r="B263" s="2" t="s">
        <v>745</v>
      </c>
      <c r="C263" s="2" t="s">
        <v>145</v>
      </c>
      <c r="D263" s="2" t="s">
        <v>18</v>
      </c>
      <c r="E263" s="2" t="s">
        <v>1122</v>
      </c>
      <c r="F263" s="267" t="s">
        <v>1164</v>
      </c>
      <c r="G263" s="2" t="s">
        <v>214</v>
      </c>
      <c r="H263" s="7">
        <v>-4625877</v>
      </c>
      <c r="I263" s="236">
        <v>-19882787.855425242</v>
      </c>
      <c r="J263" s="3">
        <f t="shared" si="4"/>
        <v>15256910.855425242</v>
      </c>
    </row>
    <row r="264" spans="1:10" hidden="1" x14ac:dyDescent="0.25">
      <c r="A264" s="2" t="s">
        <v>746</v>
      </c>
      <c r="B264" s="2" t="s">
        <v>747</v>
      </c>
      <c r="C264" s="2" t="s">
        <v>145</v>
      </c>
      <c r="D264" s="2" t="s">
        <v>18</v>
      </c>
      <c r="E264" s="2" t="s">
        <v>1122</v>
      </c>
      <c r="F264" s="267" t="s">
        <v>1164</v>
      </c>
      <c r="G264" s="2" t="s">
        <v>214</v>
      </c>
      <c r="H264" s="7">
        <v>-5907743.4300000006</v>
      </c>
      <c r="I264" s="236">
        <v>-5882135.6730823377</v>
      </c>
      <c r="J264" s="3">
        <f t="shared" si="4"/>
        <v>-25607.756917662919</v>
      </c>
    </row>
    <row r="265" spans="1:10" hidden="1" x14ac:dyDescent="0.25">
      <c r="A265" s="2" t="s">
        <v>748</v>
      </c>
      <c r="B265" s="2" t="s">
        <v>749</v>
      </c>
      <c r="C265" s="2" t="s">
        <v>145</v>
      </c>
      <c r="D265" s="2" t="s">
        <v>18</v>
      </c>
      <c r="E265" s="2" t="s">
        <v>1122</v>
      </c>
      <c r="F265" s="267" t="s">
        <v>1164</v>
      </c>
      <c r="G265" s="2" t="s">
        <v>214</v>
      </c>
      <c r="H265" s="7">
        <v>-6160077.0700000003</v>
      </c>
      <c r="I265" s="236">
        <v>-132602.58469901333</v>
      </c>
      <c r="J265" s="3">
        <f t="shared" si="4"/>
        <v>-6027474.485300987</v>
      </c>
    </row>
    <row r="266" spans="1:10" hidden="1" x14ac:dyDescent="0.25">
      <c r="A266" s="2" t="s">
        <v>750</v>
      </c>
      <c r="B266" s="2" t="s">
        <v>751</v>
      </c>
      <c r="C266" s="2" t="s">
        <v>145</v>
      </c>
      <c r="D266" s="2" t="s">
        <v>18</v>
      </c>
      <c r="E266" s="2" t="s">
        <v>1122</v>
      </c>
      <c r="F266" s="267" t="s">
        <v>1164</v>
      </c>
      <c r="G266" s="2" t="s">
        <v>214</v>
      </c>
      <c r="H266" s="7">
        <v>-46436.770000000004</v>
      </c>
      <c r="I266" s="236">
        <v>-8484.2528510976499</v>
      </c>
      <c r="J266" s="3">
        <f t="shared" si="4"/>
        <v>-37952.517148902356</v>
      </c>
    </row>
    <row r="267" spans="1:10" hidden="1" x14ac:dyDescent="0.25">
      <c r="A267" s="2" t="s">
        <v>752</v>
      </c>
      <c r="B267" s="2" t="s">
        <v>753</v>
      </c>
      <c r="C267" s="2" t="s">
        <v>145</v>
      </c>
      <c r="D267" s="2" t="s">
        <v>22</v>
      </c>
      <c r="E267" s="2" t="s">
        <v>1122</v>
      </c>
      <c r="F267" s="267" t="s">
        <v>1166</v>
      </c>
      <c r="G267" s="2" t="s">
        <v>214</v>
      </c>
      <c r="H267" s="7">
        <v>0</v>
      </c>
      <c r="I267" s="236">
        <v>-471432.51441521733</v>
      </c>
      <c r="J267" s="3">
        <f t="shared" si="4"/>
        <v>471432.51441521733</v>
      </c>
    </row>
    <row r="268" spans="1:10" hidden="1" x14ac:dyDescent="0.25">
      <c r="A268" s="2" t="s">
        <v>754</v>
      </c>
      <c r="B268" s="2" t="s">
        <v>755</v>
      </c>
      <c r="C268" s="2" t="s">
        <v>145</v>
      </c>
      <c r="D268" s="2" t="s">
        <v>29</v>
      </c>
      <c r="E268" s="2" t="s">
        <v>29</v>
      </c>
      <c r="F268" s="267" t="s">
        <v>1161</v>
      </c>
      <c r="G268" s="2" t="s">
        <v>214</v>
      </c>
      <c r="H268" s="7">
        <v>0</v>
      </c>
      <c r="I268" s="236">
        <v>-1168.2136096328079</v>
      </c>
      <c r="J268" s="3">
        <f t="shared" si="4"/>
        <v>1168.2136096328079</v>
      </c>
    </row>
    <row r="269" spans="1:10" hidden="1" x14ac:dyDescent="0.25">
      <c r="A269" s="2" t="s">
        <v>756</v>
      </c>
      <c r="B269" s="2" t="s">
        <v>757</v>
      </c>
      <c r="C269" s="2" t="s">
        <v>1110</v>
      </c>
      <c r="D269" s="2" t="s">
        <v>1127</v>
      </c>
      <c r="E269" s="2" t="s">
        <v>1122</v>
      </c>
      <c r="F269" s="267" t="s">
        <v>1157</v>
      </c>
      <c r="G269" s="2" t="s">
        <v>209</v>
      </c>
      <c r="H269" s="7">
        <v>-3826724.8500000006</v>
      </c>
      <c r="I269" s="236">
        <v>-42532246.445002936</v>
      </c>
      <c r="J269" s="3">
        <f t="shared" si="4"/>
        <v>38705521.595002934</v>
      </c>
    </row>
    <row r="270" spans="1:10" hidden="1" x14ac:dyDescent="0.25">
      <c r="A270" s="2" t="s">
        <v>758</v>
      </c>
      <c r="B270" s="2" t="s">
        <v>759</v>
      </c>
      <c r="C270" s="2" t="s">
        <v>145</v>
      </c>
      <c r="D270" s="2" t="s">
        <v>1128</v>
      </c>
      <c r="E270" s="2" t="s">
        <v>1122</v>
      </c>
      <c r="F270" s="267" t="s">
        <v>1157</v>
      </c>
      <c r="G270" s="2" t="s">
        <v>209</v>
      </c>
      <c r="H270" s="7">
        <v>-125899.80000000002</v>
      </c>
      <c r="I270" s="236">
        <v>-1283134.1956212255</v>
      </c>
      <c r="J270" s="3">
        <f t="shared" si="4"/>
        <v>1157234.3956212255</v>
      </c>
    </row>
    <row r="271" spans="1:10" hidden="1" x14ac:dyDescent="0.25">
      <c r="A271" s="2" t="s">
        <v>760</v>
      </c>
      <c r="B271" s="2" t="s">
        <v>761</v>
      </c>
      <c r="C271" s="2" t="s">
        <v>145</v>
      </c>
      <c r="D271" s="2" t="s">
        <v>1128</v>
      </c>
      <c r="E271" s="2" t="s">
        <v>1122</v>
      </c>
      <c r="F271" s="267" t="s">
        <v>1157</v>
      </c>
      <c r="G271" s="2" t="s">
        <v>209</v>
      </c>
      <c r="H271" s="7">
        <v>-40350087.849999994</v>
      </c>
      <c r="I271" s="236">
        <v>0</v>
      </c>
      <c r="J271" s="3">
        <f t="shared" si="4"/>
        <v>-40350087.849999994</v>
      </c>
    </row>
    <row r="272" spans="1:10" hidden="1" x14ac:dyDescent="0.25">
      <c r="A272" s="2" t="s">
        <v>762</v>
      </c>
      <c r="B272" s="2" t="s">
        <v>763</v>
      </c>
      <c r="C272" s="2" t="s">
        <v>196</v>
      </c>
      <c r="D272" s="2" t="s">
        <v>1129</v>
      </c>
      <c r="E272" s="2" t="s">
        <v>1122</v>
      </c>
      <c r="F272" s="267" t="s">
        <v>1157</v>
      </c>
      <c r="G272" s="2" t="s">
        <v>209</v>
      </c>
      <c r="H272" s="7">
        <v>-25815026.250000007</v>
      </c>
      <c r="I272" s="236">
        <v>0</v>
      </c>
      <c r="J272" s="3">
        <f t="shared" si="4"/>
        <v>-25815026.250000007</v>
      </c>
    </row>
    <row r="273" spans="1:10" hidden="1" x14ac:dyDescent="0.25">
      <c r="A273" s="2" t="s">
        <v>764</v>
      </c>
      <c r="B273" s="2" t="s">
        <v>765</v>
      </c>
      <c r="C273" s="2" t="s">
        <v>196</v>
      </c>
      <c r="D273" s="2" t="s">
        <v>29</v>
      </c>
      <c r="E273" s="2" t="s">
        <v>29</v>
      </c>
      <c r="F273" s="267" t="s">
        <v>1161</v>
      </c>
      <c r="G273" s="2" t="s">
        <v>214</v>
      </c>
      <c r="H273" s="7">
        <v>-4.7704895589362195E-18</v>
      </c>
      <c r="I273" s="236">
        <v>-2399.9999999999973</v>
      </c>
      <c r="J273" s="3">
        <f t="shared" si="4"/>
        <v>2399.9999999999973</v>
      </c>
    </row>
    <row r="274" spans="1:10" hidden="1" x14ac:dyDescent="0.25">
      <c r="A274" s="2" t="s">
        <v>766</v>
      </c>
      <c r="B274" s="2" t="s">
        <v>767</v>
      </c>
      <c r="C274" s="2" t="s">
        <v>145</v>
      </c>
      <c r="D274" s="2" t="s">
        <v>18</v>
      </c>
      <c r="E274" s="2" t="s">
        <v>1122</v>
      </c>
      <c r="F274" s="267" t="s">
        <v>1164</v>
      </c>
      <c r="G274" s="2" t="s">
        <v>214</v>
      </c>
      <c r="H274" s="7">
        <v>-28.810000000000006</v>
      </c>
      <c r="I274" s="236">
        <v>-19235.042903999998</v>
      </c>
      <c r="J274" s="3">
        <f t="shared" si="4"/>
        <v>19206.232903999997</v>
      </c>
    </row>
    <row r="275" spans="1:10" hidden="1" x14ac:dyDescent="0.25">
      <c r="A275" s="2" t="s">
        <v>768</v>
      </c>
      <c r="B275" s="2" t="s">
        <v>769</v>
      </c>
      <c r="C275" s="2" t="s">
        <v>145</v>
      </c>
      <c r="D275" s="2" t="s">
        <v>18</v>
      </c>
      <c r="E275" s="2" t="s">
        <v>1122</v>
      </c>
      <c r="F275" s="267" t="s">
        <v>1164</v>
      </c>
      <c r="G275" s="2" t="s">
        <v>214</v>
      </c>
      <c r="H275" s="7">
        <v>-7114204.5099999998</v>
      </c>
      <c r="I275" s="236">
        <v>-8217819.5401985403</v>
      </c>
      <c r="J275" s="3">
        <f t="shared" si="4"/>
        <v>1103615.0301985405</v>
      </c>
    </row>
    <row r="276" spans="1:10" hidden="1" x14ac:dyDescent="0.25">
      <c r="A276" s="2" t="s">
        <v>770</v>
      </c>
      <c r="B276" s="2" t="s">
        <v>771</v>
      </c>
      <c r="C276" s="2" t="s">
        <v>145</v>
      </c>
      <c r="D276" s="2" t="s">
        <v>18</v>
      </c>
      <c r="E276" s="2" t="s">
        <v>1122</v>
      </c>
      <c r="F276" s="267" t="s">
        <v>1164</v>
      </c>
      <c r="G276" s="2" t="s">
        <v>214</v>
      </c>
      <c r="H276" s="7">
        <v>392</v>
      </c>
      <c r="I276" s="236">
        <v>0</v>
      </c>
      <c r="J276" s="3">
        <f t="shared" si="4"/>
        <v>392</v>
      </c>
    </row>
    <row r="277" spans="1:10" hidden="1" x14ac:dyDescent="0.25">
      <c r="A277" s="2" t="s">
        <v>772</v>
      </c>
      <c r="B277" s="2" t="s">
        <v>773</v>
      </c>
      <c r="C277" s="2" t="s">
        <v>145</v>
      </c>
      <c r="D277" s="2" t="s">
        <v>18</v>
      </c>
      <c r="E277" s="2" t="s">
        <v>1122</v>
      </c>
      <c r="F277" s="267" t="s">
        <v>1164</v>
      </c>
      <c r="G277" s="2" t="s">
        <v>214</v>
      </c>
      <c r="H277" s="7">
        <v>-326569.98</v>
      </c>
      <c r="I277" s="236">
        <v>0</v>
      </c>
      <c r="J277" s="3">
        <f t="shared" si="4"/>
        <v>-326569.98</v>
      </c>
    </row>
    <row r="278" spans="1:10" hidden="1" x14ac:dyDescent="0.25">
      <c r="A278" s="2" t="s">
        <v>774</v>
      </c>
      <c r="B278" s="2" t="s">
        <v>775</v>
      </c>
      <c r="C278" s="2" t="s">
        <v>145</v>
      </c>
      <c r="D278" s="2" t="s">
        <v>18</v>
      </c>
      <c r="E278" s="2" t="s">
        <v>1122</v>
      </c>
      <c r="F278" s="267" t="s">
        <v>1164</v>
      </c>
      <c r="G278" s="2" t="s">
        <v>214</v>
      </c>
      <c r="H278" s="7">
        <v>-105356.34</v>
      </c>
      <c r="I278" s="236">
        <v>0</v>
      </c>
      <c r="J278" s="3">
        <f t="shared" si="4"/>
        <v>-105356.34</v>
      </c>
    </row>
    <row r="279" spans="1:10" hidden="1" x14ac:dyDescent="0.25">
      <c r="A279" s="2" t="s">
        <v>776</v>
      </c>
      <c r="B279" s="2" t="s">
        <v>777</v>
      </c>
      <c r="C279" s="2" t="s">
        <v>145</v>
      </c>
      <c r="D279" s="2" t="s">
        <v>18</v>
      </c>
      <c r="E279" s="2" t="s">
        <v>1122</v>
      </c>
      <c r="F279" s="267" t="s">
        <v>1164</v>
      </c>
      <c r="G279" s="2" t="s">
        <v>214</v>
      </c>
      <c r="H279" s="7">
        <v>-895899.95000000007</v>
      </c>
      <c r="I279" s="236">
        <v>0</v>
      </c>
      <c r="J279" s="3">
        <f t="shared" si="4"/>
        <v>-895899.95000000007</v>
      </c>
    </row>
    <row r="280" spans="1:10" hidden="1" x14ac:dyDescent="0.25">
      <c r="A280" s="2" t="s">
        <v>778</v>
      </c>
      <c r="B280" s="2" t="s">
        <v>779</v>
      </c>
      <c r="C280" s="2" t="s">
        <v>145</v>
      </c>
      <c r="D280" s="2"/>
      <c r="E280" s="2"/>
      <c r="F280" s="267"/>
      <c r="G280" s="2" t="s">
        <v>212</v>
      </c>
      <c r="H280" s="7">
        <v>-117021.46</v>
      </c>
      <c r="I280" s="236">
        <v>0</v>
      </c>
      <c r="J280" s="3">
        <f t="shared" si="4"/>
        <v>-117021.46</v>
      </c>
    </row>
    <row r="281" spans="1:10" hidden="1" x14ac:dyDescent="0.25">
      <c r="A281" s="2" t="s">
        <v>780</v>
      </c>
      <c r="B281" s="2" t="s">
        <v>781</v>
      </c>
      <c r="C281" s="2" t="s">
        <v>145</v>
      </c>
      <c r="D281" s="2" t="s">
        <v>18</v>
      </c>
      <c r="E281" s="2" t="s">
        <v>1122</v>
      </c>
      <c r="F281" s="267" t="s">
        <v>1164</v>
      </c>
      <c r="G281" s="2" t="s">
        <v>214</v>
      </c>
      <c r="H281" s="7">
        <v>-961066.92</v>
      </c>
      <c r="I281" s="236">
        <v>0</v>
      </c>
      <c r="J281" s="3">
        <f t="shared" si="4"/>
        <v>-961066.92</v>
      </c>
    </row>
    <row r="282" spans="1:10" hidden="1" x14ac:dyDescent="0.25">
      <c r="A282" s="2" t="s">
        <v>782</v>
      </c>
      <c r="B282" s="2" t="s">
        <v>783</v>
      </c>
      <c r="C282" s="2" t="s">
        <v>145</v>
      </c>
      <c r="D282" s="2" t="s">
        <v>13</v>
      </c>
      <c r="E282" s="2" t="s">
        <v>1122</v>
      </c>
      <c r="F282" s="267" t="s">
        <v>1159</v>
      </c>
      <c r="G282" s="2" t="s">
        <v>214</v>
      </c>
      <c r="H282" s="7">
        <v>-751434.29</v>
      </c>
      <c r="I282" s="236">
        <v>-6159355.1381790107</v>
      </c>
      <c r="J282" s="3">
        <f t="shared" si="4"/>
        <v>5407920.8481790107</v>
      </c>
    </row>
    <row r="283" spans="1:10" hidden="1" x14ac:dyDescent="0.25">
      <c r="A283" s="2" t="s">
        <v>784</v>
      </c>
      <c r="B283" s="2" t="s">
        <v>785</v>
      </c>
      <c r="C283" s="2" t="s">
        <v>145</v>
      </c>
      <c r="D283" s="2" t="s">
        <v>13</v>
      </c>
      <c r="E283" s="2" t="s">
        <v>1122</v>
      </c>
      <c r="F283" s="267" t="s">
        <v>1159</v>
      </c>
      <c r="G283" s="2" t="s">
        <v>214</v>
      </c>
      <c r="H283" s="7">
        <v>-1316969.5200000005</v>
      </c>
      <c r="I283" s="236">
        <v>-2994517.3169782683</v>
      </c>
      <c r="J283" s="3">
        <f t="shared" si="4"/>
        <v>1677547.7969782678</v>
      </c>
    </row>
    <row r="284" spans="1:10" hidden="1" x14ac:dyDescent="0.25">
      <c r="A284" s="2" t="s">
        <v>786</v>
      </c>
      <c r="B284" s="2" t="s">
        <v>787</v>
      </c>
      <c r="C284" s="2" t="s">
        <v>145</v>
      </c>
      <c r="D284" s="2" t="s">
        <v>18</v>
      </c>
      <c r="E284" s="2" t="s">
        <v>1122</v>
      </c>
      <c r="F284" s="267" t="s">
        <v>1164</v>
      </c>
      <c r="G284" s="2" t="s">
        <v>214</v>
      </c>
      <c r="H284" s="7">
        <v>-1626350.5599999998</v>
      </c>
      <c r="I284" s="236">
        <v>-11481.873981504688</v>
      </c>
      <c r="J284" s="3">
        <f t="shared" si="4"/>
        <v>-1614868.6860184951</v>
      </c>
    </row>
    <row r="285" spans="1:10" hidden="1" x14ac:dyDescent="0.25">
      <c r="A285" s="2" t="s">
        <v>788</v>
      </c>
      <c r="B285" s="2" t="s">
        <v>789</v>
      </c>
      <c r="C285" s="2" t="s">
        <v>145</v>
      </c>
      <c r="D285" s="2" t="s">
        <v>18</v>
      </c>
      <c r="E285" s="2" t="s">
        <v>1122</v>
      </c>
      <c r="F285" s="267" t="s">
        <v>1164</v>
      </c>
      <c r="G285" s="2" t="s">
        <v>214</v>
      </c>
      <c r="H285" s="7">
        <v>0</v>
      </c>
      <c r="I285" s="236">
        <v>-8486169.6373281572</v>
      </c>
      <c r="J285" s="3">
        <f t="shared" si="4"/>
        <v>8486169.6373281572</v>
      </c>
    </row>
    <row r="286" spans="1:10" hidden="1" x14ac:dyDescent="0.25">
      <c r="A286" s="2" t="s">
        <v>790</v>
      </c>
      <c r="B286" s="2" t="s">
        <v>791</v>
      </c>
      <c r="C286" s="2" t="s">
        <v>145</v>
      </c>
      <c r="D286" s="2" t="s">
        <v>18</v>
      </c>
      <c r="E286" s="2" t="s">
        <v>1122</v>
      </c>
      <c r="F286" s="267" t="s">
        <v>1164</v>
      </c>
      <c r="G286" s="2" t="s">
        <v>214</v>
      </c>
      <c r="H286" s="7">
        <v>-1026076.33</v>
      </c>
      <c r="I286" s="236">
        <v>-12557.455440509662</v>
      </c>
      <c r="J286" s="3">
        <f t="shared" si="4"/>
        <v>-1013518.8745594902</v>
      </c>
    </row>
    <row r="287" spans="1:10" hidden="1" x14ac:dyDescent="0.25">
      <c r="A287" s="2" t="s">
        <v>792</v>
      </c>
      <c r="B287" s="2" t="s">
        <v>793</v>
      </c>
      <c r="C287" s="2" t="s">
        <v>145</v>
      </c>
      <c r="D287" s="2" t="s">
        <v>18</v>
      </c>
      <c r="E287" s="2" t="s">
        <v>1122</v>
      </c>
      <c r="F287" s="267" t="s">
        <v>1164</v>
      </c>
      <c r="G287" s="2" t="s">
        <v>214</v>
      </c>
      <c r="H287" s="7">
        <v>-11883.58</v>
      </c>
      <c r="I287" s="236">
        <v>-131113.20130301209</v>
      </c>
      <c r="J287" s="3">
        <f t="shared" si="4"/>
        <v>119229.62130301209</v>
      </c>
    </row>
    <row r="288" spans="1:10" hidden="1" x14ac:dyDescent="0.25">
      <c r="A288" s="2" t="s">
        <v>794</v>
      </c>
      <c r="B288" s="2" t="s">
        <v>795</v>
      </c>
      <c r="C288" s="2" t="s">
        <v>145</v>
      </c>
      <c r="D288" s="2" t="s">
        <v>29</v>
      </c>
      <c r="E288" s="2" t="s">
        <v>29</v>
      </c>
      <c r="F288" s="267" t="s">
        <v>1161</v>
      </c>
      <c r="G288" s="2" t="s">
        <v>214</v>
      </c>
      <c r="H288" s="7">
        <v>0</v>
      </c>
      <c r="I288" s="236">
        <v>-407526.27271763206</v>
      </c>
      <c r="J288" s="3">
        <f t="shared" si="4"/>
        <v>407526.27271763206</v>
      </c>
    </row>
    <row r="289" spans="1:10" hidden="1" x14ac:dyDescent="0.25">
      <c r="A289" s="2" t="s">
        <v>796</v>
      </c>
      <c r="B289" s="2" t="s">
        <v>797</v>
      </c>
      <c r="C289" s="2" t="s">
        <v>145</v>
      </c>
      <c r="D289" s="2" t="s">
        <v>29</v>
      </c>
      <c r="E289" s="2" t="s">
        <v>29</v>
      </c>
      <c r="F289" s="267" t="s">
        <v>1161</v>
      </c>
      <c r="G289" s="2" t="s">
        <v>214</v>
      </c>
      <c r="H289" s="7">
        <v>0</v>
      </c>
      <c r="I289" s="236">
        <v>-25174.333847740021</v>
      </c>
      <c r="J289" s="3">
        <f t="shared" si="4"/>
        <v>25174.333847740021</v>
      </c>
    </row>
    <row r="290" spans="1:10" hidden="1" x14ac:dyDescent="0.25">
      <c r="A290" s="2" t="s">
        <v>798</v>
      </c>
      <c r="B290" s="2" t="s">
        <v>799</v>
      </c>
      <c r="C290" s="2" t="s">
        <v>145</v>
      </c>
      <c r="D290" s="2" t="s">
        <v>18</v>
      </c>
      <c r="E290" s="2" t="s">
        <v>1122</v>
      </c>
      <c r="F290" s="267" t="s">
        <v>1164</v>
      </c>
      <c r="G290" s="2" t="s">
        <v>214</v>
      </c>
      <c r="H290" s="7">
        <v>-1104653.19</v>
      </c>
      <c r="I290" s="236">
        <v>-27477.059530902341</v>
      </c>
      <c r="J290" s="3">
        <f t="shared" si="4"/>
        <v>-1077176.1304690975</v>
      </c>
    </row>
    <row r="291" spans="1:10" hidden="1" x14ac:dyDescent="0.25">
      <c r="A291" s="2" t="s">
        <v>800</v>
      </c>
      <c r="B291" s="2" t="s">
        <v>801</v>
      </c>
      <c r="C291" s="2" t="s">
        <v>145</v>
      </c>
      <c r="D291" s="2" t="s">
        <v>18</v>
      </c>
      <c r="E291" s="2" t="s">
        <v>1122</v>
      </c>
      <c r="F291" s="267" t="s">
        <v>1164</v>
      </c>
      <c r="G291" s="2" t="s">
        <v>214</v>
      </c>
      <c r="H291" s="7">
        <v>-4881801.9299999988</v>
      </c>
      <c r="I291" s="236">
        <v>-1233096.8502165272</v>
      </c>
      <c r="J291" s="3">
        <f t="shared" si="4"/>
        <v>-3648705.0797834713</v>
      </c>
    </row>
    <row r="292" spans="1:10" hidden="1" x14ac:dyDescent="0.25">
      <c r="A292" s="2" t="s">
        <v>802</v>
      </c>
      <c r="B292" s="2" t="s">
        <v>803</v>
      </c>
      <c r="C292" s="2" t="s">
        <v>145</v>
      </c>
      <c r="D292" s="2" t="s">
        <v>29</v>
      </c>
      <c r="E292" s="2" t="s">
        <v>29</v>
      </c>
      <c r="F292" s="267" t="s">
        <v>1161</v>
      </c>
      <c r="G292" s="2" t="s">
        <v>214</v>
      </c>
      <c r="H292" s="7">
        <v>-106054.75000000001</v>
      </c>
      <c r="I292" s="236">
        <v>-849999.99999999942</v>
      </c>
      <c r="J292" s="3">
        <f t="shared" si="4"/>
        <v>743945.24999999942</v>
      </c>
    </row>
    <row r="293" spans="1:10" hidden="1" x14ac:dyDescent="0.25">
      <c r="A293" s="2" t="s">
        <v>804</v>
      </c>
      <c r="B293" s="2" t="s">
        <v>805</v>
      </c>
      <c r="C293" s="2" t="s">
        <v>196</v>
      </c>
      <c r="D293" s="2" t="s">
        <v>29</v>
      </c>
      <c r="E293" s="2" t="s">
        <v>29</v>
      </c>
      <c r="F293" s="267" t="s">
        <v>1161</v>
      </c>
      <c r="G293" s="2" t="s">
        <v>214</v>
      </c>
      <c r="H293" s="7">
        <v>-19052.23</v>
      </c>
      <c r="I293" s="236">
        <v>-12533.172614040554</v>
      </c>
      <c r="J293" s="3">
        <f t="shared" si="4"/>
        <v>-6519.057385959446</v>
      </c>
    </row>
    <row r="294" spans="1:10" hidden="1" x14ac:dyDescent="0.25">
      <c r="A294" s="2" t="s">
        <v>806</v>
      </c>
      <c r="B294" s="2" t="s">
        <v>807</v>
      </c>
      <c r="C294" s="2" t="s">
        <v>196</v>
      </c>
      <c r="D294" s="2" t="s">
        <v>16</v>
      </c>
      <c r="E294" s="2" t="s">
        <v>1122</v>
      </c>
      <c r="F294" s="267" t="s">
        <v>1165</v>
      </c>
      <c r="G294" s="2" t="s">
        <v>214</v>
      </c>
      <c r="H294" s="7">
        <v>-379628.87000000005</v>
      </c>
      <c r="I294" s="236">
        <v>-544318.60363704024</v>
      </c>
      <c r="J294" s="3">
        <f t="shared" si="4"/>
        <v>164689.73363704019</v>
      </c>
    </row>
    <row r="295" spans="1:10" hidden="1" x14ac:dyDescent="0.25">
      <c r="A295" s="2" t="s">
        <v>808</v>
      </c>
      <c r="B295" s="2" t="s">
        <v>809</v>
      </c>
      <c r="C295" s="2" t="s">
        <v>196</v>
      </c>
      <c r="D295" s="2" t="s">
        <v>16</v>
      </c>
      <c r="E295" s="2" t="s">
        <v>1122</v>
      </c>
      <c r="F295" s="267" t="s">
        <v>1165</v>
      </c>
      <c r="G295" s="2" t="s">
        <v>214</v>
      </c>
      <c r="H295" s="7">
        <v>-31367.53</v>
      </c>
      <c r="I295" s="236">
        <v>-183214.26975386785</v>
      </c>
      <c r="J295" s="3">
        <f t="shared" si="4"/>
        <v>151846.73975386785</v>
      </c>
    </row>
    <row r="296" spans="1:10" hidden="1" x14ac:dyDescent="0.25">
      <c r="A296" s="2" t="s">
        <v>810</v>
      </c>
      <c r="B296" s="2" t="s">
        <v>811</v>
      </c>
      <c r="C296" s="2" t="s">
        <v>196</v>
      </c>
      <c r="D296" s="2" t="s">
        <v>23</v>
      </c>
      <c r="E296" s="2" t="s">
        <v>1122</v>
      </c>
      <c r="F296" s="267" t="s">
        <v>1167</v>
      </c>
      <c r="G296" s="2" t="s">
        <v>214</v>
      </c>
      <c r="H296" s="7">
        <v>0</v>
      </c>
      <c r="I296" s="236">
        <v>-585638.18040723435</v>
      </c>
      <c r="J296" s="3">
        <f t="shared" si="4"/>
        <v>585638.18040723435</v>
      </c>
    </row>
    <row r="297" spans="1:10" hidden="1" x14ac:dyDescent="0.25">
      <c r="A297" s="2" t="s">
        <v>812</v>
      </c>
      <c r="B297" s="2" t="s">
        <v>813</v>
      </c>
      <c r="C297" s="2" t="s">
        <v>196</v>
      </c>
      <c r="D297" s="2" t="s">
        <v>29</v>
      </c>
      <c r="E297" s="2" t="s">
        <v>29</v>
      </c>
      <c r="F297" s="267" t="s">
        <v>1161</v>
      </c>
      <c r="G297" s="2" t="s">
        <v>214</v>
      </c>
      <c r="H297" s="7">
        <v>-2920.4199999999996</v>
      </c>
      <c r="I297" s="236">
        <v>-59.562392879999997</v>
      </c>
      <c r="J297" s="3">
        <f t="shared" si="4"/>
        <v>-2860.8576071199996</v>
      </c>
    </row>
    <row r="298" spans="1:10" hidden="1" x14ac:dyDescent="0.25">
      <c r="A298" s="2" t="s">
        <v>814</v>
      </c>
      <c r="B298" s="2" t="s">
        <v>815</v>
      </c>
      <c r="C298" s="2" t="s">
        <v>196</v>
      </c>
      <c r="D298" s="2" t="s">
        <v>1130</v>
      </c>
      <c r="E298" s="2" t="s">
        <v>1123</v>
      </c>
      <c r="F298" s="267" t="s">
        <v>1162</v>
      </c>
      <c r="G298" s="2" t="s">
        <v>214</v>
      </c>
      <c r="H298" s="7">
        <v>-1421152.24</v>
      </c>
      <c r="I298" s="236">
        <v>-90721963.827774242</v>
      </c>
      <c r="J298" s="3">
        <f t="shared" si="4"/>
        <v>89300811.587774247</v>
      </c>
    </row>
    <row r="299" spans="1:10" hidden="1" x14ac:dyDescent="0.25">
      <c r="A299" s="2" t="s">
        <v>816</v>
      </c>
      <c r="B299" s="2" t="s">
        <v>817</v>
      </c>
      <c r="C299" s="2" t="s">
        <v>196</v>
      </c>
      <c r="D299" s="2" t="s">
        <v>1130</v>
      </c>
      <c r="E299" s="2" t="s">
        <v>1123</v>
      </c>
      <c r="F299" s="267" t="s">
        <v>1162</v>
      </c>
      <c r="G299" s="2" t="s">
        <v>214</v>
      </c>
      <c r="H299" s="7">
        <v>-2518327.7499999995</v>
      </c>
      <c r="I299" s="236">
        <v>-19817.837709763291</v>
      </c>
      <c r="J299" s="3">
        <f t="shared" si="4"/>
        <v>-2498509.9122902364</v>
      </c>
    </row>
    <row r="300" spans="1:10" hidden="1" x14ac:dyDescent="0.25">
      <c r="A300" s="2" t="s">
        <v>818</v>
      </c>
      <c r="B300" s="2" t="s">
        <v>819</v>
      </c>
      <c r="C300" s="2" t="s">
        <v>196</v>
      </c>
      <c r="D300" s="2" t="s">
        <v>1130</v>
      </c>
      <c r="E300" s="2" t="s">
        <v>1123</v>
      </c>
      <c r="F300" s="267" t="s">
        <v>1162</v>
      </c>
      <c r="G300" s="2" t="s">
        <v>214</v>
      </c>
      <c r="H300" s="7">
        <v>-1019567.7200000002</v>
      </c>
      <c r="I300" s="236">
        <v>-34389.036907058799</v>
      </c>
      <c r="J300" s="3">
        <f t="shared" si="4"/>
        <v>-985178.68309294141</v>
      </c>
    </row>
    <row r="301" spans="1:10" hidden="1" x14ac:dyDescent="0.25">
      <c r="A301" s="2" t="s">
        <v>820</v>
      </c>
      <c r="B301" s="2" t="s">
        <v>821</v>
      </c>
      <c r="C301" s="2" t="s">
        <v>196</v>
      </c>
      <c r="D301" s="2" t="s">
        <v>1130</v>
      </c>
      <c r="E301" s="2" t="s">
        <v>1123</v>
      </c>
      <c r="F301" s="267" t="s">
        <v>1162</v>
      </c>
      <c r="G301" s="2" t="s">
        <v>214</v>
      </c>
      <c r="H301" s="7">
        <v>-9019755.6000000015</v>
      </c>
      <c r="I301" s="236">
        <v>-17159.511265195943</v>
      </c>
      <c r="J301" s="3">
        <f t="shared" si="4"/>
        <v>-9002596.0887348056</v>
      </c>
    </row>
    <row r="302" spans="1:10" hidden="1" x14ac:dyDescent="0.25">
      <c r="A302" s="2" t="s">
        <v>822</v>
      </c>
      <c r="B302" s="2" t="s">
        <v>823</v>
      </c>
      <c r="C302" s="2" t="s">
        <v>196</v>
      </c>
      <c r="D302" s="2" t="s">
        <v>8</v>
      </c>
      <c r="E302" s="2" t="s">
        <v>1123</v>
      </c>
      <c r="F302" s="267" t="s">
        <v>1162</v>
      </c>
      <c r="G302" s="2" t="s">
        <v>214</v>
      </c>
      <c r="H302" s="7">
        <v>1411391.3399999999</v>
      </c>
      <c r="I302" s="236">
        <v>1548399.999999996</v>
      </c>
      <c r="J302" s="3">
        <f t="shared" si="4"/>
        <v>-137008.65999999619</v>
      </c>
    </row>
    <row r="303" spans="1:10" hidden="1" x14ac:dyDescent="0.25">
      <c r="A303" s="2" t="s">
        <v>824</v>
      </c>
      <c r="B303" s="2" t="s">
        <v>825</v>
      </c>
      <c r="C303" s="2" t="s">
        <v>196</v>
      </c>
      <c r="D303" s="2" t="s">
        <v>1130</v>
      </c>
      <c r="E303" s="2" t="s">
        <v>1123</v>
      </c>
      <c r="F303" s="267" t="s">
        <v>1162</v>
      </c>
      <c r="G303" s="2" t="s">
        <v>214</v>
      </c>
      <c r="H303" s="7">
        <v>-5356578.4300000006</v>
      </c>
      <c r="I303" s="236">
        <v>-2907116.8388002338</v>
      </c>
      <c r="J303" s="3">
        <f t="shared" si="4"/>
        <v>-2449461.5911997668</v>
      </c>
    </row>
    <row r="304" spans="1:10" hidden="1" x14ac:dyDescent="0.25">
      <c r="A304" s="2" t="s">
        <v>826</v>
      </c>
      <c r="B304" s="2" t="s">
        <v>827</v>
      </c>
      <c r="C304" s="2" t="s">
        <v>196</v>
      </c>
      <c r="D304" s="2" t="s">
        <v>1130</v>
      </c>
      <c r="E304" s="2" t="s">
        <v>1123</v>
      </c>
      <c r="F304" s="267" t="s">
        <v>1162</v>
      </c>
      <c r="G304" s="2" t="s">
        <v>214</v>
      </c>
      <c r="H304" s="7">
        <v>-2511457.7399999993</v>
      </c>
      <c r="I304" s="236">
        <v>-35940.955616185987</v>
      </c>
      <c r="J304" s="3">
        <f t="shared" si="4"/>
        <v>-2475516.7843838134</v>
      </c>
    </row>
    <row r="305" spans="1:10" hidden="1" x14ac:dyDescent="0.25">
      <c r="A305" s="2" t="s">
        <v>828</v>
      </c>
      <c r="B305" s="2" t="s">
        <v>829</v>
      </c>
      <c r="C305" s="2" t="s">
        <v>196</v>
      </c>
      <c r="D305" s="2" t="s">
        <v>1130</v>
      </c>
      <c r="E305" s="2" t="s">
        <v>1123</v>
      </c>
      <c r="F305" s="267" t="s">
        <v>1162</v>
      </c>
      <c r="G305" s="2" t="s">
        <v>214</v>
      </c>
      <c r="H305" s="7">
        <v>-6131634.3800000008</v>
      </c>
      <c r="I305" s="236">
        <v>-337792.25247504498</v>
      </c>
      <c r="J305" s="3">
        <f t="shared" si="4"/>
        <v>-5793842.1275249561</v>
      </c>
    </row>
    <row r="306" spans="1:10" hidden="1" x14ac:dyDescent="0.25">
      <c r="A306" s="2" t="s">
        <v>830</v>
      </c>
      <c r="B306" s="2" t="s">
        <v>831</v>
      </c>
      <c r="C306" s="2" t="s">
        <v>196</v>
      </c>
      <c r="D306" s="2" t="s">
        <v>1130</v>
      </c>
      <c r="E306" s="2" t="s">
        <v>1123</v>
      </c>
      <c r="F306" s="267" t="s">
        <v>1162</v>
      </c>
      <c r="G306" s="2" t="s">
        <v>214</v>
      </c>
      <c r="H306" s="7">
        <v>-3092890.18</v>
      </c>
      <c r="I306" s="236">
        <v>-26571.915949503546</v>
      </c>
      <c r="J306" s="3">
        <f t="shared" si="4"/>
        <v>-3066318.2640504967</v>
      </c>
    </row>
    <row r="307" spans="1:10" hidden="1" x14ac:dyDescent="0.25">
      <c r="A307" s="2" t="s">
        <v>832</v>
      </c>
      <c r="B307" s="2" t="s">
        <v>833</v>
      </c>
      <c r="C307" s="2" t="s">
        <v>196</v>
      </c>
      <c r="D307" s="2" t="s">
        <v>1130</v>
      </c>
      <c r="E307" s="2" t="s">
        <v>1123</v>
      </c>
      <c r="F307" s="267" t="s">
        <v>1162</v>
      </c>
      <c r="G307" s="2" t="s">
        <v>214</v>
      </c>
      <c r="H307" s="7">
        <v>-8793413.0299999993</v>
      </c>
      <c r="I307" s="236">
        <v>-7135.7059427120903</v>
      </c>
      <c r="J307" s="3">
        <f t="shared" si="4"/>
        <v>-8786277.3240572866</v>
      </c>
    </row>
    <row r="308" spans="1:10" hidden="1" x14ac:dyDescent="0.25">
      <c r="A308" s="2" t="s">
        <v>834</v>
      </c>
      <c r="B308" s="2" t="s">
        <v>835</v>
      </c>
      <c r="C308" s="2" t="s">
        <v>196</v>
      </c>
      <c r="D308" s="2" t="s">
        <v>1130</v>
      </c>
      <c r="E308" s="2" t="s">
        <v>1123</v>
      </c>
      <c r="F308" s="267" t="s">
        <v>1162</v>
      </c>
      <c r="G308" s="2" t="s">
        <v>214</v>
      </c>
      <c r="H308" s="7">
        <v>-4288590.67</v>
      </c>
      <c r="I308" s="236">
        <v>-497.08362264671564</v>
      </c>
      <c r="J308" s="3">
        <f t="shared" si="4"/>
        <v>-4288093.5863773534</v>
      </c>
    </row>
    <row r="309" spans="1:10" hidden="1" x14ac:dyDescent="0.25">
      <c r="A309" s="2" t="s">
        <v>836</v>
      </c>
      <c r="B309" s="2" t="s">
        <v>837</v>
      </c>
      <c r="C309" s="2" t="s">
        <v>196</v>
      </c>
      <c r="D309" s="2" t="s">
        <v>1130</v>
      </c>
      <c r="E309" s="2" t="s">
        <v>1123</v>
      </c>
      <c r="F309" s="267" t="s">
        <v>1162</v>
      </c>
      <c r="G309" s="2" t="s">
        <v>214</v>
      </c>
      <c r="H309" s="7">
        <v>-27454805.229999989</v>
      </c>
      <c r="I309" s="236">
        <v>-335.97149033117768</v>
      </c>
      <c r="J309" s="3">
        <f t="shared" si="4"/>
        <v>-27454469.258509658</v>
      </c>
    </row>
    <row r="310" spans="1:10" hidden="1" x14ac:dyDescent="0.25">
      <c r="A310" s="2" t="s">
        <v>838</v>
      </c>
      <c r="B310" s="2" t="s">
        <v>839</v>
      </c>
      <c r="C310" s="2" t="s">
        <v>196</v>
      </c>
      <c r="D310" s="2" t="s">
        <v>1130</v>
      </c>
      <c r="E310" s="2" t="s">
        <v>1123</v>
      </c>
      <c r="F310" s="267" t="s">
        <v>1162</v>
      </c>
      <c r="G310" s="2" t="s">
        <v>214</v>
      </c>
      <c r="H310" s="7">
        <v>-9268134.8900000639</v>
      </c>
      <c r="I310" s="236">
        <v>0</v>
      </c>
      <c r="J310" s="3">
        <f t="shared" si="4"/>
        <v>-9268134.8900000639</v>
      </c>
    </row>
    <row r="311" spans="1:10" hidden="1" x14ac:dyDescent="0.25">
      <c r="A311" s="2" t="s">
        <v>840</v>
      </c>
      <c r="B311" s="2" t="s">
        <v>841</v>
      </c>
      <c r="C311" s="2" t="s">
        <v>196</v>
      </c>
      <c r="D311" s="2" t="s">
        <v>1130</v>
      </c>
      <c r="E311" s="2" t="s">
        <v>1123</v>
      </c>
      <c r="F311" s="267" t="s">
        <v>1162</v>
      </c>
      <c r="G311" s="2" t="s">
        <v>214</v>
      </c>
      <c r="H311" s="7">
        <v>-7292.1</v>
      </c>
      <c r="I311" s="236">
        <v>0</v>
      </c>
      <c r="J311" s="3">
        <f t="shared" si="4"/>
        <v>-7292.1</v>
      </c>
    </row>
    <row r="312" spans="1:10" hidden="1" x14ac:dyDescent="0.25">
      <c r="A312" s="2" t="s">
        <v>842</v>
      </c>
      <c r="B312" s="2" t="s">
        <v>843</v>
      </c>
      <c r="C312" s="2" t="s">
        <v>196</v>
      </c>
      <c r="D312" s="2" t="s">
        <v>1130</v>
      </c>
      <c r="E312" s="2" t="s">
        <v>1123</v>
      </c>
      <c r="F312" s="267" t="s">
        <v>1162</v>
      </c>
      <c r="G312" s="2" t="s">
        <v>214</v>
      </c>
      <c r="H312" s="7">
        <v>-97687.62</v>
      </c>
      <c r="I312" s="236">
        <v>-17967502.97506113</v>
      </c>
      <c r="J312" s="3">
        <f t="shared" si="4"/>
        <v>17869815.355061129</v>
      </c>
    </row>
    <row r="313" spans="1:10" hidden="1" x14ac:dyDescent="0.25">
      <c r="A313" s="2" t="s">
        <v>844</v>
      </c>
      <c r="B313" s="2" t="s">
        <v>845</v>
      </c>
      <c r="C313" s="2" t="s">
        <v>196</v>
      </c>
      <c r="D313" s="2" t="s">
        <v>29</v>
      </c>
      <c r="E313" s="2" t="s">
        <v>29</v>
      </c>
      <c r="F313" s="267" t="s">
        <v>1161</v>
      </c>
      <c r="G313" s="2" t="s">
        <v>214</v>
      </c>
      <c r="H313" s="7">
        <v>0</v>
      </c>
      <c r="I313" s="236">
        <v>-410156.00000000029</v>
      </c>
      <c r="J313" s="3">
        <f t="shared" si="4"/>
        <v>410156.00000000029</v>
      </c>
    </row>
    <row r="314" spans="1:10" hidden="1" x14ac:dyDescent="0.25">
      <c r="A314" s="2" t="s">
        <v>846</v>
      </c>
      <c r="B314" s="2" t="s">
        <v>847</v>
      </c>
      <c r="C314" s="2" t="s">
        <v>196</v>
      </c>
      <c r="D314" s="2" t="s">
        <v>29</v>
      </c>
      <c r="E314" s="2" t="s">
        <v>29</v>
      </c>
      <c r="F314" s="267" t="s">
        <v>1161</v>
      </c>
      <c r="G314" s="2" t="s">
        <v>214</v>
      </c>
      <c r="H314" s="7">
        <v>-2642.54</v>
      </c>
      <c r="I314" s="236">
        <v>0</v>
      </c>
      <c r="J314" s="3">
        <f t="shared" si="4"/>
        <v>-2642.54</v>
      </c>
    </row>
    <row r="315" spans="1:10" hidden="1" x14ac:dyDescent="0.25">
      <c r="A315" s="2" t="s">
        <v>848</v>
      </c>
      <c r="B315" s="2" t="s">
        <v>849</v>
      </c>
      <c r="C315" s="2" t="s">
        <v>196</v>
      </c>
      <c r="D315" s="2" t="s">
        <v>1131</v>
      </c>
      <c r="E315" s="2" t="s">
        <v>1123</v>
      </c>
      <c r="F315" s="267" t="s">
        <v>1162</v>
      </c>
      <c r="G315" s="2" t="s">
        <v>214</v>
      </c>
      <c r="H315" s="7">
        <v>-19394596.650000006</v>
      </c>
      <c r="I315" s="236">
        <v>-3035414.8927939767</v>
      </c>
      <c r="J315" s="3">
        <f t="shared" si="4"/>
        <v>-16359181.75720603</v>
      </c>
    </row>
    <row r="316" spans="1:10" hidden="1" x14ac:dyDescent="0.25">
      <c r="A316" s="2" t="s">
        <v>850</v>
      </c>
      <c r="B316" s="2" t="s">
        <v>851</v>
      </c>
      <c r="C316" s="2" t="s">
        <v>196</v>
      </c>
      <c r="D316" s="2" t="s">
        <v>1131</v>
      </c>
      <c r="E316" s="2" t="s">
        <v>1123</v>
      </c>
      <c r="F316" s="267" t="s">
        <v>1162</v>
      </c>
      <c r="G316" s="2" t="s">
        <v>214</v>
      </c>
      <c r="H316" s="7">
        <v>-622494.14999999991</v>
      </c>
      <c r="I316" s="236">
        <v>-88913.182825184544</v>
      </c>
      <c r="J316" s="3">
        <f t="shared" si="4"/>
        <v>-533580.96717481536</v>
      </c>
    </row>
    <row r="317" spans="1:10" hidden="1" x14ac:dyDescent="0.25">
      <c r="A317" s="2" t="s">
        <v>852</v>
      </c>
      <c r="B317" s="2" t="s">
        <v>853</v>
      </c>
      <c r="C317" s="2" t="s">
        <v>196</v>
      </c>
      <c r="D317" s="2" t="s">
        <v>29</v>
      </c>
      <c r="E317" s="2" t="s">
        <v>29</v>
      </c>
      <c r="F317" s="267" t="s">
        <v>1161</v>
      </c>
      <c r="G317" s="2" t="s">
        <v>214</v>
      </c>
      <c r="H317" s="7">
        <v>-1482069.7399999998</v>
      </c>
      <c r="I317" s="236">
        <v>-487080.27335586469</v>
      </c>
      <c r="J317" s="3">
        <f t="shared" si="4"/>
        <v>-994989.46664413507</v>
      </c>
    </row>
    <row r="318" spans="1:10" hidden="1" x14ac:dyDescent="0.25">
      <c r="A318" s="2" t="s">
        <v>854</v>
      </c>
      <c r="B318" s="2" t="s">
        <v>855</v>
      </c>
      <c r="C318" s="2" t="s">
        <v>196</v>
      </c>
      <c r="D318" s="2" t="s">
        <v>1131</v>
      </c>
      <c r="E318" s="2" t="s">
        <v>1123</v>
      </c>
      <c r="F318" s="267" t="s">
        <v>1162</v>
      </c>
      <c r="G318" s="2" t="s">
        <v>214</v>
      </c>
      <c r="H318" s="7">
        <v>-5310891.51</v>
      </c>
      <c r="I318" s="236">
        <v>-6571905.156990381</v>
      </c>
      <c r="J318" s="3">
        <f t="shared" si="4"/>
        <v>1261013.6469903812</v>
      </c>
    </row>
    <row r="319" spans="1:10" hidden="1" x14ac:dyDescent="0.25">
      <c r="A319" s="2" t="s">
        <v>856</v>
      </c>
      <c r="B319" s="2" t="s">
        <v>857</v>
      </c>
      <c r="C319" s="2" t="s">
        <v>196</v>
      </c>
      <c r="D319" s="2" t="s">
        <v>29</v>
      </c>
      <c r="E319" s="2" t="s">
        <v>29</v>
      </c>
      <c r="F319" s="267" t="s">
        <v>1161</v>
      </c>
      <c r="G319" s="2" t="s">
        <v>214</v>
      </c>
      <c r="H319" s="7">
        <v>-1090.33</v>
      </c>
      <c r="I319" s="236">
        <v>0</v>
      </c>
      <c r="J319" s="3">
        <f t="shared" si="4"/>
        <v>-1090.33</v>
      </c>
    </row>
    <row r="320" spans="1:10" hidden="1" x14ac:dyDescent="0.25">
      <c r="A320" s="2" t="s">
        <v>858</v>
      </c>
      <c r="B320" s="2" t="s">
        <v>859</v>
      </c>
      <c r="C320" s="2" t="s">
        <v>196</v>
      </c>
      <c r="D320" s="2"/>
      <c r="E320" s="2"/>
      <c r="F320" s="267"/>
      <c r="G320" s="2" t="s">
        <v>210</v>
      </c>
      <c r="H320" s="7">
        <v>-156.16000000000003</v>
      </c>
      <c r="I320" s="236">
        <v>0</v>
      </c>
      <c r="J320" s="3">
        <f t="shared" si="4"/>
        <v>-156.16000000000003</v>
      </c>
    </row>
    <row r="321" spans="1:10" hidden="1" x14ac:dyDescent="0.25">
      <c r="A321" s="2" t="s">
        <v>860</v>
      </c>
      <c r="B321" s="2" t="s">
        <v>861</v>
      </c>
      <c r="C321" s="2" t="s">
        <v>196</v>
      </c>
      <c r="D321" s="2"/>
      <c r="E321" s="2"/>
      <c r="F321" s="267"/>
      <c r="G321" s="2" t="s">
        <v>212</v>
      </c>
      <c r="H321" s="7">
        <v>-326.96000000000004</v>
      </c>
      <c r="I321" s="236">
        <v>0</v>
      </c>
      <c r="J321" s="3">
        <f t="shared" si="4"/>
        <v>-326.96000000000004</v>
      </c>
    </row>
    <row r="322" spans="1:10" hidden="1" x14ac:dyDescent="0.25">
      <c r="A322" s="2" t="s">
        <v>862</v>
      </c>
      <c r="B322" s="2" t="s">
        <v>863</v>
      </c>
      <c r="C322" s="2" t="s">
        <v>196</v>
      </c>
      <c r="D322" s="2" t="s">
        <v>29</v>
      </c>
      <c r="E322" s="2" t="s">
        <v>29</v>
      </c>
      <c r="F322" s="267" t="s">
        <v>1161</v>
      </c>
      <c r="G322" s="2" t="s">
        <v>214</v>
      </c>
      <c r="H322" s="7">
        <v>-44298.32</v>
      </c>
      <c r="I322" s="236">
        <v>-51211.455382381268</v>
      </c>
      <c r="J322" s="3">
        <f t="shared" si="4"/>
        <v>6913.1353823812678</v>
      </c>
    </row>
    <row r="323" spans="1:10" hidden="1" x14ac:dyDescent="0.25">
      <c r="A323" s="2" t="s">
        <v>864</v>
      </c>
      <c r="B323" s="2" t="s">
        <v>865</v>
      </c>
      <c r="C323" s="2" t="s">
        <v>196</v>
      </c>
      <c r="D323" s="2" t="s">
        <v>1131</v>
      </c>
      <c r="E323" s="2" t="s">
        <v>1123</v>
      </c>
      <c r="F323" s="267" t="s">
        <v>1162</v>
      </c>
      <c r="G323" s="2" t="s">
        <v>214</v>
      </c>
      <c r="H323" s="7">
        <v>-6025.5099999999966</v>
      </c>
      <c r="I323" s="236">
        <v>-6744.3420826951178</v>
      </c>
      <c r="J323" s="3">
        <f t="shared" si="4"/>
        <v>718.83208269512124</v>
      </c>
    </row>
    <row r="324" spans="1:10" hidden="1" x14ac:dyDescent="0.25">
      <c r="A324" s="2" t="s">
        <v>866</v>
      </c>
      <c r="B324" s="2" t="s">
        <v>867</v>
      </c>
      <c r="C324" s="2" t="s">
        <v>196</v>
      </c>
      <c r="D324" s="2" t="s">
        <v>1131</v>
      </c>
      <c r="E324" s="2" t="s">
        <v>1123</v>
      </c>
      <c r="F324" s="267" t="s">
        <v>1162</v>
      </c>
      <c r="G324" s="2" t="s">
        <v>214</v>
      </c>
      <c r="H324" s="7">
        <v>-644098.41</v>
      </c>
      <c r="I324" s="236">
        <v>-2770.3443842876318</v>
      </c>
      <c r="J324" s="3">
        <f t="shared" si="4"/>
        <v>-641328.06561571243</v>
      </c>
    </row>
    <row r="325" spans="1:10" hidden="1" x14ac:dyDescent="0.25">
      <c r="A325" s="2" t="s">
        <v>868</v>
      </c>
      <c r="B325" s="2" t="s">
        <v>869</v>
      </c>
      <c r="C325" s="2" t="s">
        <v>196</v>
      </c>
      <c r="D325" s="2" t="s">
        <v>23</v>
      </c>
      <c r="E325" s="2" t="s">
        <v>1122</v>
      </c>
      <c r="F325" s="267" t="s">
        <v>1167</v>
      </c>
      <c r="G325" s="2" t="s">
        <v>214</v>
      </c>
      <c r="H325" s="7">
        <v>0</v>
      </c>
      <c r="I325" s="236">
        <v>-2776711.5906654131</v>
      </c>
      <c r="J325" s="3">
        <f t="shared" si="4"/>
        <v>2776711.5906654131</v>
      </c>
    </row>
    <row r="326" spans="1:10" hidden="1" x14ac:dyDescent="0.25">
      <c r="A326" s="2" t="s">
        <v>870</v>
      </c>
      <c r="B326" s="2" t="s">
        <v>871</v>
      </c>
      <c r="C326" s="2" t="s">
        <v>196</v>
      </c>
      <c r="D326" s="2" t="s">
        <v>14</v>
      </c>
      <c r="E326" s="2" t="s">
        <v>1122</v>
      </c>
      <c r="F326" s="267" t="s">
        <v>1159</v>
      </c>
      <c r="G326" s="2" t="s">
        <v>214</v>
      </c>
      <c r="H326" s="7">
        <v>-336467.65999999992</v>
      </c>
      <c r="I326" s="236">
        <v>-417207.49451054871</v>
      </c>
      <c r="J326" s="3">
        <f t="shared" ref="J326:J389" si="5">H326-I326</f>
        <v>80739.834510548797</v>
      </c>
    </row>
    <row r="327" spans="1:10" hidden="1" x14ac:dyDescent="0.25">
      <c r="A327" s="2" t="s">
        <v>872</v>
      </c>
      <c r="B327" s="2" t="s">
        <v>873</v>
      </c>
      <c r="C327" s="2" t="s">
        <v>196</v>
      </c>
      <c r="D327" s="2" t="s">
        <v>14</v>
      </c>
      <c r="E327" s="2" t="s">
        <v>1122</v>
      </c>
      <c r="F327" s="267" t="s">
        <v>1159</v>
      </c>
      <c r="G327" s="2" t="s">
        <v>214</v>
      </c>
      <c r="H327" s="7">
        <v>-2788007.5899999989</v>
      </c>
      <c r="I327" s="236">
        <v>-3472519.926962988</v>
      </c>
      <c r="J327" s="3">
        <f t="shared" si="5"/>
        <v>684512.33696298907</v>
      </c>
    </row>
    <row r="328" spans="1:10" hidden="1" x14ac:dyDescent="0.25">
      <c r="A328" s="2" t="s">
        <v>874</v>
      </c>
      <c r="B328" s="2" t="s">
        <v>875</v>
      </c>
      <c r="C328" s="2" t="s">
        <v>196</v>
      </c>
      <c r="D328" s="2" t="s">
        <v>14</v>
      </c>
      <c r="E328" s="2" t="s">
        <v>1122</v>
      </c>
      <c r="F328" s="267" t="s">
        <v>1159</v>
      </c>
      <c r="G328" s="2" t="s">
        <v>214</v>
      </c>
      <c r="H328" s="7">
        <v>-125166.12</v>
      </c>
      <c r="I328" s="236">
        <v>-1014615.6276073115</v>
      </c>
      <c r="J328" s="3">
        <f t="shared" si="5"/>
        <v>889449.50760731148</v>
      </c>
    </row>
    <row r="329" spans="1:10" hidden="1" x14ac:dyDescent="0.25">
      <c r="A329" s="2" t="s">
        <v>876</v>
      </c>
      <c r="B329" s="2" t="s">
        <v>877</v>
      </c>
      <c r="C329" s="2" t="s">
        <v>196</v>
      </c>
      <c r="D329" s="2" t="s">
        <v>14</v>
      </c>
      <c r="E329" s="2" t="s">
        <v>1122</v>
      </c>
      <c r="F329" s="267" t="s">
        <v>1159</v>
      </c>
      <c r="G329" s="2" t="s">
        <v>214</v>
      </c>
      <c r="H329" s="7">
        <v>-1201614.3699999999</v>
      </c>
      <c r="I329" s="236">
        <v>-1463682.422924662</v>
      </c>
      <c r="J329" s="3">
        <f t="shared" si="5"/>
        <v>262068.05292466213</v>
      </c>
    </row>
    <row r="330" spans="1:10" hidden="1" x14ac:dyDescent="0.25">
      <c r="A330" s="2" t="s">
        <v>878</v>
      </c>
      <c r="B330" s="2" t="s">
        <v>879</v>
      </c>
      <c r="C330" s="2" t="s">
        <v>196</v>
      </c>
      <c r="D330" s="2"/>
      <c r="E330" s="2"/>
      <c r="F330" s="267"/>
      <c r="G330" s="2" t="s">
        <v>215</v>
      </c>
      <c r="H330" s="7">
        <v>-237260.96000000002</v>
      </c>
      <c r="I330" s="236">
        <v>0</v>
      </c>
      <c r="J330" s="3">
        <f t="shared" si="5"/>
        <v>-237260.96000000002</v>
      </c>
    </row>
    <row r="331" spans="1:10" hidden="1" x14ac:dyDescent="0.25">
      <c r="A331" s="2" t="s">
        <v>880</v>
      </c>
      <c r="B331" s="2" t="s">
        <v>881</v>
      </c>
      <c r="C331" s="2" t="s">
        <v>196</v>
      </c>
      <c r="D331" s="2" t="s">
        <v>16</v>
      </c>
      <c r="E331" s="2" t="s">
        <v>1122</v>
      </c>
      <c r="F331" s="267" t="s">
        <v>1165</v>
      </c>
      <c r="G331" s="2" t="s">
        <v>214</v>
      </c>
      <c r="H331" s="7">
        <v>-342.99</v>
      </c>
      <c r="I331" s="236">
        <v>-297757.76646929054</v>
      </c>
      <c r="J331" s="3">
        <f t="shared" si="5"/>
        <v>297414.77646929055</v>
      </c>
    </row>
    <row r="332" spans="1:10" hidden="1" x14ac:dyDescent="0.25">
      <c r="A332" s="2" t="s">
        <v>882</v>
      </c>
      <c r="B332" s="2" t="s">
        <v>883</v>
      </c>
      <c r="C332" s="2" t="s">
        <v>196</v>
      </c>
      <c r="D332" s="2" t="s">
        <v>16</v>
      </c>
      <c r="E332" s="2" t="s">
        <v>1122</v>
      </c>
      <c r="F332" s="267" t="s">
        <v>1165</v>
      </c>
      <c r="G332" s="2" t="s">
        <v>214</v>
      </c>
      <c r="H332" s="7">
        <v>-16837.649999999998</v>
      </c>
      <c r="I332" s="236">
        <v>-480392.79539849114</v>
      </c>
      <c r="J332" s="3">
        <f t="shared" si="5"/>
        <v>463555.14539849112</v>
      </c>
    </row>
    <row r="333" spans="1:10" hidden="1" x14ac:dyDescent="0.25">
      <c r="A333" s="2" t="s">
        <v>884</v>
      </c>
      <c r="B333" s="2" t="s">
        <v>885</v>
      </c>
      <c r="C333" s="2" t="s">
        <v>196</v>
      </c>
      <c r="D333" s="2" t="s">
        <v>1132</v>
      </c>
      <c r="E333" s="2" t="s">
        <v>1122</v>
      </c>
      <c r="F333" s="267" t="s">
        <v>1160</v>
      </c>
      <c r="G333" s="2" t="s">
        <v>214</v>
      </c>
      <c r="H333" s="7">
        <v>-35144085.850000001</v>
      </c>
      <c r="I333" s="236">
        <v>-48330854.443081588</v>
      </c>
      <c r="J333" s="3">
        <f t="shared" si="5"/>
        <v>13186768.593081586</v>
      </c>
    </row>
    <row r="334" spans="1:10" hidden="1" x14ac:dyDescent="0.25">
      <c r="A334" s="2" t="s">
        <v>886</v>
      </c>
      <c r="B334" s="2" t="s">
        <v>887</v>
      </c>
      <c r="C334" s="2" t="s">
        <v>196</v>
      </c>
      <c r="D334" s="2" t="s">
        <v>16</v>
      </c>
      <c r="E334" s="2" t="s">
        <v>1122</v>
      </c>
      <c r="F334" s="267" t="s">
        <v>1165</v>
      </c>
      <c r="G334" s="2" t="s">
        <v>214</v>
      </c>
      <c r="H334" s="7">
        <v>-2078671.4500000002</v>
      </c>
      <c r="I334" s="236">
        <v>-3629008.3855663119</v>
      </c>
      <c r="J334" s="3">
        <f t="shared" si="5"/>
        <v>1550336.9355663117</v>
      </c>
    </row>
    <row r="335" spans="1:10" hidden="1" x14ac:dyDescent="0.25">
      <c r="A335" s="2" t="s">
        <v>888</v>
      </c>
      <c r="B335" s="2" t="s">
        <v>889</v>
      </c>
      <c r="C335" s="2" t="s">
        <v>196</v>
      </c>
      <c r="D335" s="2" t="s">
        <v>16</v>
      </c>
      <c r="E335" s="2" t="s">
        <v>1122</v>
      </c>
      <c r="F335" s="267" t="s">
        <v>1165</v>
      </c>
      <c r="G335" s="2" t="s">
        <v>214</v>
      </c>
      <c r="H335" s="7">
        <v>-288508.83999999997</v>
      </c>
      <c r="I335" s="236">
        <v>-1349908.1781527372</v>
      </c>
      <c r="J335" s="3">
        <f t="shared" si="5"/>
        <v>1061399.3381527374</v>
      </c>
    </row>
    <row r="336" spans="1:10" hidden="1" x14ac:dyDescent="0.25">
      <c r="A336" s="2" t="s">
        <v>890</v>
      </c>
      <c r="B336" s="2" t="s">
        <v>891</v>
      </c>
      <c r="C336" s="2" t="s">
        <v>196</v>
      </c>
      <c r="D336" s="2" t="s">
        <v>29</v>
      </c>
      <c r="E336" s="2" t="s">
        <v>29</v>
      </c>
      <c r="F336" s="267" t="s">
        <v>1161</v>
      </c>
      <c r="G336" s="2" t="s">
        <v>214</v>
      </c>
      <c r="H336" s="7">
        <v>0</v>
      </c>
      <c r="I336" s="236">
        <v>-49.703927520000008</v>
      </c>
      <c r="J336" s="3">
        <f t="shared" si="5"/>
        <v>49.703927520000008</v>
      </c>
    </row>
    <row r="337" spans="1:10" hidden="1" x14ac:dyDescent="0.25">
      <c r="A337" s="2" t="s">
        <v>892</v>
      </c>
      <c r="B337" s="2" t="s">
        <v>893</v>
      </c>
      <c r="C337" s="2" t="s">
        <v>196</v>
      </c>
      <c r="D337" s="2" t="s">
        <v>1132</v>
      </c>
      <c r="E337" s="2" t="s">
        <v>1122</v>
      </c>
      <c r="F337" s="267" t="s">
        <v>1160</v>
      </c>
      <c r="G337" s="2" t="s">
        <v>214</v>
      </c>
      <c r="H337" s="7">
        <v>-75462.75</v>
      </c>
      <c r="I337" s="236">
        <v>0</v>
      </c>
      <c r="J337" s="3">
        <f t="shared" si="5"/>
        <v>-75462.75</v>
      </c>
    </row>
    <row r="338" spans="1:10" hidden="1" x14ac:dyDescent="0.25">
      <c r="A338" s="2" t="s">
        <v>894</v>
      </c>
      <c r="B338" s="2" t="s">
        <v>895</v>
      </c>
      <c r="C338" s="2" t="s">
        <v>196</v>
      </c>
      <c r="D338" s="2" t="s">
        <v>1132</v>
      </c>
      <c r="E338" s="2" t="s">
        <v>1122</v>
      </c>
      <c r="F338" s="267" t="s">
        <v>1160</v>
      </c>
      <c r="G338" s="2" t="s">
        <v>214</v>
      </c>
      <c r="H338" s="7">
        <v>0</v>
      </c>
      <c r="I338" s="236">
        <v>-1085.1389019671803</v>
      </c>
      <c r="J338" s="3">
        <f t="shared" si="5"/>
        <v>1085.1389019671803</v>
      </c>
    </row>
    <row r="339" spans="1:10" hidden="1" x14ac:dyDescent="0.25">
      <c r="A339" s="2" t="s">
        <v>896</v>
      </c>
      <c r="B339" s="2" t="s">
        <v>897</v>
      </c>
      <c r="C339" s="2" t="s">
        <v>196</v>
      </c>
      <c r="D339" s="2" t="s">
        <v>16</v>
      </c>
      <c r="E339" s="2" t="s">
        <v>1122</v>
      </c>
      <c r="F339" s="267" t="s">
        <v>1165</v>
      </c>
      <c r="G339" s="2" t="s">
        <v>214</v>
      </c>
      <c r="H339" s="7">
        <v>-11233.499999999996</v>
      </c>
      <c r="I339" s="236">
        <v>-290674.55948923231</v>
      </c>
      <c r="J339" s="3">
        <f t="shared" si="5"/>
        <v>279441.05948923231</v>
      </c>
    </row>
    <row r="340" spans="1:10" hidden="1" x14ac:dyDescent="0.25">
      <c r="A340" s="2" t="s">
        <v>898</v>
      </c>
      <c r="B340" s="2" t="s">
        <v>899</v>
      </c>
      <c r="C340" s="2" t="s">
        <v>196</v>
      </c>
      <c r="D340" s="2" t="s">
        <v>16</v>
      </c>
      <c r="E340" s="2" t="s">
        <v>1122</v>
      </c>
      <c r="F340" s="267" t="s">
        <v>1165</v>
      </c>
      <c r="G340" s="2" t="s">
        <v>214</v>
      </c>
      <c r="H340" s="7">
        <v>-1067134.1199999999</v>
      </c>
      <c r="I340" s="236">
        <v>-1161563.4822422285</v>
      </c>
      <c r="J340" s="3">
        <f t="shared" si="5"/>
        <v>94429.362242228584</v>
      </c>
    </row>
    <row r="341" spans="1:10" hidden="1" x14ac:dyDescent="0.25">
      <c r="A341" s="2" t="s">
        <v>900</v>
      </c>
      <c r="B341" s="2" t="s">
        <v>901</v>
      </c>
      <c r="C341" s="2" t="s">
        <v>196</v>
      </c>
      <c r="D341" s="2" t="s">
        <v>16</v>
      </c>
      <c r="E341" s="2" t="s">
        <v>1122</v>
      </c>
      <c r="F341" s="267" t="s">
        <v>1165</v>
      </c>
      <c r="G341" s="2" t="s">
        <v>214</v>
      </c>
      <c r="H341" s="7">
        <v>-3422.1300000000006</v>
      </c>
      <c r="I341" s="236">
        <v>-2025.39265001081</v>
      </c>
      <c r="J341" s="3">
        <f t="shared" si="5"/>
        <v>-1396.7373499891905</v>
      </c>
    </row>
    <row r="342" spans="1:10" hidden="1" x14ac:dyDescent="0.25">
      <c r="A342" s="2" t="s">
        <v>902</v>
      </c>
      <c r="B342" s="2" t="s">
        <v>903</v>
      </c>
      <c r="C342" s="2" t="s">
        <v>196</v>
      </c>
      <c r="D342" s="2" t="s">
        <v>16</v>
      </c>
      <c r="E342" s="2" t="s">
        <v>1122</v>
      </c>
      <c r="F342" s="267" t="s">
        <v>1165</v>
      </c>
      <c r="G342" s="2" t="s">
        <v>214</v>
      </c>
      <c r="H342" s="7">
        <v>-834091.36999999988</v>
      </c>
      <c r="I342" s="236">
        <v>-2752360.9735655151</v>
      </c>
      <c r="J342" s="3">
        <f t="shared" si="5"/>
        <v>1918269.6035655153</v>
      </c>
    </row>
    <row r="343" spans="1:10" hidden="1" x14ac:dyDescent="0.25">
      <c r="A343" s="2" t="s">
        <v>904</v>
      </c>
      <c r="B343" s="2" t="s">
        <v>905</v>
      </c>
      <c r="C343" s="2" t="s">
        <v>196</v>
      </c>
      <c r="D343" s="2" t="s">
        <v>16</v>
      </c>
      <c r="E343" s="2" t="s">
        <v>1122</v>
      </c>
      <c r="F343" s="267" t="s">
        <v>1165</v>
      </c>
      <c r="G343" s="2" t="s">
        <v>214</v>
      </c>
      <c r="H343" s="7">
        <v>-4567643.07</v>
      </c>
      <c r="I343" s="236">
        <v>-3964378.7212223504</v>
      </c>
      <c r="J343" s="3">
        <f t="shared" si="5"/>
        <v>-603264.34877764992</v>
      </c>
    </row>
    <row r="344" spans="1:10" hidden="1" x14ac:dyDescent="0.25">
      <c r="A344" s="2" t="s">
        <v>906</v>
      </c>
      <c r="B344" s="2" t="s">
        <v>907</v>
      </c>
      <c r="C344" s="2" t="s">
        <v>196</v>
      </c>
      <c r="D344" s="2" t="s">
        <v>16</v>
      </c>
      <c r="E344" s="2" t="s">
        <v>1122</v>
      </c>
      <c r="F344" s="267" t="s">
        <v>1165</v>
      </c>
      <c r="G344" s="2" t="s">
        <v>214</v>
      </c>
      <c r="H344" s="7">
        <v>0</v>
      </c>
      <c r="I344" s="236">
        <v>-221356.36307685706</v>
      </c>
      <c r="J344" s="3">
        <f t="shared" si="5"/>
        <v>221356.36307685706</v>
      </c>
    </row>
    <row r="345" spans="1:10" hidden="1" x14ac:dyDescent="0.25">
      <c r="A345" s="2" t="s">
        <v>908</v>
      </c>
      <c r="B345" s="2" t="s">
        <v>909</v>
      </c>
      <c r="C345" s="2" t="s">
        <v>196</v>
      </c>
      <c r="D345" s="2" t="s">
        <v>16</v>
      </c>
      <c r="E345" s="2" t="s">
        <v>1122</v>
      </c>
      <c r="F345" s="267" t="s">
        <v>1165</v>
      </c>
      <c r="G345" s="2" t="s">
        <v>214</v>
      </c>
      <c r="H345" s="7">
        <v>-1658106.92</v>
      </c>
      <c r="I345" s="236">
        <v>-418195.3714144234</v>
      </c>
      <c r="J345" s="3">
        <f t="shared" si="5"/>
        <v>-1239911.5485855765</v>
      </c>
    </row>
    <row r="346" spans="1:10" hidden="1" x14ac:dyDescent="0.25">
      <c r="A346" s="2" t="s">
        <v>910</v>
      </c>
      <c r="B346" s="2" t="s">
        <v>911</v>
      </c>
      <c r="C346" s="2" t="s">
        <v>196</v>
      </c>
      <c r="D346" s="2" t="s">
        <v>16</v>
      </c>
      <c r="E346" s="2" t="s">
        <v>1122</v>
      </c>
      <c r="F346" s="267" t="s">
        <v>1165</v>
      </c>
      <c r="G346" s="2" t="s">
        <v>214</v>
      </c>
      <c r="H346" s="7">
        <v>-158730.41999999998</v>
      </c>
      <c r="I346" s="236">
        <v>-2853435.0285680955</v>
      </c>
      <c r="J346" s="3">
        <f t="shared" si="5"/>
        <v>2694704.6085680956</v>
      </c>
    </row>
    <row r="347" spans="1:10" hidden="1" x14ac:dyDescent="0.25">
      <c r="A347" s="2" t="s">
        <v>912</v>
      </c>
      <c r="B347" s="2" t="s">
        <v>913</v>
      </c>
      <c r="C347" s="2" t="s">
        <v>196</v>
      </c>
      <c r="D347" s="2" t="s">
        <v>1132</v>
      </c>
      <c r="E347" s="2" t="s">
        <v>1122</v>
      </c>
      <c r="F347" s="267" t="s">
        <v>1160</v>
      </c>
      <c r="G347" s="2" t="s">
        <v>214</v>
      </c>
      <c r="H347" s="7">
        <v>-4615484.3499999978</v>
      </c>
      <c r="I347" s="236">
        <v>-4836071.9643872036</v>
      </c>
      <c r="J347" s="3">
        <f t="shared" si="5"/>
        <v>220587.6143872058</v>
      </c>
    </row>
    <row r="348" spans="1:10" hidden="1" x14ac:dyDescent="0.25">
      <c r="A348" s="2" t="s">
        <v>914</v>
      </c>
      <c r="B348" s="2" t="s">
        <v>915</v>
      </c>
      <c r="C348" s="2" t="s">
        <v>196</v>
      </c>
      <c r="D348" s="2" t="s">
        <v>16</v>
      </c>
      <c r="E348" s="2" t="s">
        <v>1122</v>
      </c>
      <c r="F348" s="267" t="s">
        <v>1165</v>
      </c>
      <c r="G348" s="2" t="s">
        <v>214</v>
      </c>
      <c r="H348" s="7">
        <v>-1454.2000000000003</v>
      </c>
      <c r="I348" s="236">
        <v>-174990.18899162501</v>
      </c>
      <c r="J348" s="3">
        <f t="shared" si="5"/>
        <v>173535.988991625</v>
      </c>
    </row>
    <row r="349" spans="1:10" hidden="1" x14ac:dyDescent="0.25">
      <c r="A349" s="2" t="s">
        <v>916</v>
      </c>
      <c r="B349" s="2" t="s">
        <v>917</v>
      </c>
      <c r="C349" s="2" t="s">
        <v>196</v>
      </c>
      <c r="D349" s="2" t="s">
        <v>29</v>
      </c>
      <c r="E349" s="2" t="s">
        <v>29</v>
      </c>
      <c r="F349" s="267" t="s">
        <v>1161</v>
      </c>
      <c r="G349" s="2" t="s">
        <v>214</v>
      </c>
      <c r="H349" s="7">
        <v>-1441519.0899999999</v>
      </c>
      <c r="I349" s="236">
        <v>-3645823.2743201517</v>
      </c>
      <c r="J349" s="3">
        <f t="shared" si="5"/>
        <v>2204304.1843201518</v>
      </c>
    </row>
    <row r="350" spans="1:10" hidden="1" x14ac:dyDescent="0.25">
      <c r="A350" s="2" t="s">
        <v>918</v>
      </c>
      <c r="B350" s="2" t="s">
        <v>919</v>
      </c>
      <c r="C350" s="2" t="s">
        <v>196</v>
      </c>
      <c r="D350" s="2" t="s">
        <v>14</v>
      </c>
      <c r="E350" s="2" t="s">
        <v>1122</v>
      </c>
      <c r="F350" s="267" t="s">
        <v>1159</v>
      </c>
      <c r="G350" s="2" t="s">
        <v>214</v>
      </c>
      <c r="H350" s="7">
        <v>-525013.64</v>
      </c>
      <c r="I350" s="236">
        <v>-996731.10279210459</v>
      </c>
      <c r="J350" s="3">
        <f t="shared" si="5"/>
        <v>471717.46279210458</v>
      </c>
    </row>
    <row r="351" spans="1:10" hidden="1" x14ac:dyDescent="0.25">
      <c r="A351" s="2" t="s">
        <v>920</v>
      </c>
      <c r="B351" s="2" t="s">
        <v>921</v>
      </c>
      <c r="C351" s="2" t="s">
        <v>196</v>
      </c>
      <c r="D351" s="2" t="s">
        <v>14</v>
      </c>
      <c r="E351" s="2" t="s">
        <v>1122</v>
      </c>
      <c r="F351" s="267" t="s">
        <v>1159</v>
      </c>
      <c r="G351" s="2" t="s">
        <v>214</v>
      </c>
      <c r="H351" s="7">
        <v>-1916290.2000000002</v>
      </c>
      <c r="I351" s="236">
        <v>-1970621.5825773161</v>
      </c>
      <c r="J351" s="3">
        <f t="shared" si="5"/>
        <v>54331.382577315904</v>
      </c>
    </row>
    <row r="352" spans="1:10" hidden="1" x14ac:dyDescent="0.25">
      <c r="A352" s="2" t="s">
        <v>922</v>
      </c>
      <c r="B352" s="2" t="s">
        <v>923</v>
      </c>
      <c r="C352" s="2" t="s">
        <v>196</v>
      </c>
      <c r="D352" s="2" t="s">
        <v>14</v>
      </c>
      <c r="E352" s="2" t="s">
        <v>1122</v>
      </c>
      <c r="F352" s="267" t="s">
        <v>1159</v>
      </c>
      <c r="G352" s="2" t="s">
        <v>214</v>
      </c>
      <c r="H352" s="7">
        <v>-7508664.0000000028</v>
      </c>
      <c r="I352" s="236">
        <v>-6629827.1322910925</v>
      </c>
      <c r="J352" s="3">
        <f t="shared" si="5"/>
        <v>-878836.86770891026</v>
      </c>
    </row>
    <row r="353" spans="1:10" hidden="1" x14ac:dyDescent="0.25">
      <c r="A353" s="2" t="s">
        <v>924</v>
      </c>
      <c r="B353" s="2" t="s">
        <v>925</v>
      </c>
      <c r="C353" s="2" t="s">
        <v>196</v>
      </c>
      <c r="D353" s="2" t="s">
        <v>14</v>
      </c>
      <c r="E353" s="2" t="s">
        <v>1122</v>
      </c>
      <c r="F353" s="267" t="s">
        <v>1159</v>
      </c>
      <c r="G353" s="2" t="s">
        <v>214</v>
      </c>
      <c r="H353" s="7">
        <v>-25226.21</v>
      </c>
      <c r="I353" s="236">
        <v>-289257.89835480007</v>
      </c>
      <c r="J353" s="3">
        <f t="shared" si="5"/>
        <v>264031.68835480005</v>
      </c>
    </row>
    <row r="354" spans="1:10" hidden="1" x14ac:dyDescent="0.25">
      <c r="A354" s="2" t="s">
        <v>926</v>
      </c>
      <c r="B354" s="2" t="s">
        <v>927</v>
      </c>
      <c r="C354" s="2" t="s">
        <v>196</v>
      </c>
      <c r="D354" s="2" t="s">
        <v>14</v>
      </c>
      <c r="E354" s="2" t="s">
        <v>1122</v>
      </c>
      <c r="F354" s="267" t="s">
        <v>1159</v>
      </c>
      <c r="G354" s="2" t="s">
        <v>214</v>
      </c>
      <c r="H354" s="7">
        <v>-121251.01</v>
      </c>
      <c r="I354" s="236">
        <v>-144118.51084963555</v>
      </c>
      <c r="J354" s="3">
        <f t="shared" si="5"/>
        <v>22867.500849635559</v>
      </c>
    </row>
    <row r="355" spans="1:10" hidden="1" x14ac:dyDescent="0.25">
      <c r="A355" s="2" t="s">
        <v>928</v>
      </c>
      <c r="B355" s="2" t="s">
        <v>929</v>
      </c>
      <c r="C355" s="2" t="s">
        <v>196</v>
      </c>
      <c r="D355" s="2" t="s">
        <v>14</v>
      </c>
      <c r="E355" s="2" t="s">
        <v>1122</v>
      </c>
      <c r="F355" s="267" t="s">
        <v>1159</v>
      </c>
      <c r="G355" s="2" t="s">
        <v>214</v>
      </c>
      <c r="H355" s="7">
        <v>0</v>
      </c>
      <c r="I355" s="236">
        <v>-144509.83436760004</v>
      </c>
      <c r="J355" s="3">
        <f t="shared" si="5"/>
        <v>144509.83436760004</v>
      </c>
    </row>
    <row r="356" spans="1:10" hidden="1" x14ac:dyDescent="0.25">
      <c r="A356" s="2" t="s">
        <v>930</v>
      </c>
      <c r="B356" s="2" t="s">
        <v>931</v>
      </c>
      <c r="C356" s="2" t="s">
        <v>196</v>
      </c>
      <c r="D356" s="2" t="s">
        <v>14</v>
      </c>
      <c r="E356" s="2" t="s">
        <v>1122</v>
      </c>
      <c r="F356" s="267" t="s">
        <v>1159</v>
      </c>
      <c r="G356" s="2" t="s">
        <v>214</v>
      </c>
      <c r="H356" s="7">
        <v>-21574.399999999998</v>
      </c>
      <c r="I356" s="236">
        <v>-1170763.7893381955</v>
      </c>
      <c r="J356" s="3">
        <f t="shared" si="5"/>
        <v>1149189.3893381956</v>
      </c>
    </row>
    <row r="357" spans="1:10" hidden="1" x14ac:dyDescent="0.25">
      <c r="A357" s="2" t="s">
        <v>932</v>
      </c>
      <c r="B357" s="2" t="s">
        <v>933</v>
      </c>
      <c r="C357" s="2" t="s">
        <v>196</v>
      </c>
      <c r="D357" s="2" t="s">
        <v>1132</v>
      </c>
      <c r="E357" s="2" t="s">
        <v>1122</v>
      </c>
      <c r="F357" s="267" t="s">
        <v>1160</v>
      </c>
      <c r="G357" s="266" t="s">
        <v>214</v>
      </c>
      <c r="H357" s="7">
        <v>-431900.89999999991</v>
      </c>
      <c r="I357" s="236">
        <v>0</v>
      </c>
      <c r="J357" s="3">
        <f t="shared" si="5"/>
        <v>-431900.89999999991</v>
      </c>
    </row>
    <row r="358" spans="1:10" hidden="1" x14ac:dyDescent="0.25">
      <c r="A358" s="2" t="s">
        <v>934</v>
      </c>
      <c r="B358" s="2" t="s">
        <v>935</v>
      </c>
      <c r="C358" s="2" t="s">
        <v>196</v>
      </c>
      <c r="D358" s="2" t="s">
        <v>1132</v>
      </c>
      <c r="E358" s="2" t="s">
        <v>1122</v>
      </c>
      <c r="F358" s="267" t="s">
        <v>1160</v>
      </c>
      <c r="G358" s="266" t="s">
        <v>214</v>
      </c>
      <c r="H358" s="7">
        <v>-136959.72</v>
      </c>
      <c r="I358" s="236">
        <v>0</v>
      </c>
      <c r="J358" s="3">
        <f t="shared" si="5"/>
        <v>-136959.72</v>
      </c>
    </row>
    <row r="359" spans="1:10" hidden="1" x14ac:dyDescent="0.25">
      <c r="A359" s="2" t="s">
        <v>936</v>
      </c>
      <c r="B359" s="2" t="s">
        <v>937</v>
      </c>
      <c r="C359" s="2" t="s">
        <v>196</v>
      </c>
      <c r="D359" s="2" t="s">
        <v>29</v>
      </c>
      <c r="E359" s="2" t="s">
        <v>29</v>
      </c>
      <c r="F359" s="267" t="s">
        <v>1161</v>
      </c>
      <c r="G359" s="2" t="s">
        <v>214</v>
      </c>
      <c r="H359" s="7">
        <v>-773.56999999999994</v>
      </c>
      <c r="I359" s="236">
        <v>-1176.1589987058437</v>
      </c>
      <c r="J359" s="3">
        <f t="shared" si="5"/>
        <v>402.58899870584378</v>
      </c>
    </row>
    <row r="360" spans="1:10" hidden="1" x14ac:dyDescent="0.25">
      <c r="A360" s="2" t="s">
        <v>938</v>
      </c>
      <c r="B360" s="2" t="s">
        <v>939</v>
      </c>
      <c r="C360" s="2" t="s">
        <v>196</v>
      </c>
      <c r="D360" s="2" t="s">
        <v>1133</v>
      </c>
      <c r="E360" s="2" t="s">
        <v>1122</v>
      </c>
      <c r="F360" s="267"/>
      <c r="G360" s="2" t="s">
        <v>214</v>
      </c>
      <c r="H360" s="7">
        <v>0</v>
      </c>
      <c r="I360" s="236">
        <v>-28888.675200000012</v>
      </c>
      <c r="J360" s="3">
        <f t="shared" si="5"/>
        <v>28888.675200000012</v>
      </c>
    </row>
    <row r="361" spans="1:10" hidden="1" x14ac:dyDescent="0.25">
      <c r="A361" s="2" t="s">
        <v>940</v>
      </c>
      <c r="B361" s="2" t="s">
        <v>941</v>
      </c>
      <c r="C361" s="2" t="s">
        <v>196</v>
      </c>
      <c r="D361" s="2" t="s">
        <v>16</v>
      </c>
      <c r="E361" s="2" t="s">
        <v>1122</v>
      </c>
      <c r="F361" s="267" t="s">
        <v>1165</v>
      </c>
      <c r="G361" s="2" t="s">
        <v>214</v>
      </c>
      <c r="H361" s="7">
        <v>-207188.26999999996</v>
      </c>
      <c r="I361" s="236">
        <v>-347558.85316716065</v>
      </c>
      <c r="J361" s="3">
        <f t="shared" si="5"/>
        <v>140370.58316716069</v>
      </c>
    </row>
    <row r="362" spans="1:10" hidden="1" x14ac:dyDescent="0.25">
      <c r="A362" s="2" t="s">
        <v>942</v>
      </c>
      <c r="B362" s="2" t="s">
        <v>943</v>
      </c>
      <c r="C362" s="2" t="s">
        <v>196</v>
      </c>
      <c r="D362" s="2" t="s">
        <v>1133</v>
      </c>
      <c r="E362" s="2" t="s">
        <v>1122</v>
      </c>
      <c r="F362" s="267"/>
      <c r="G362" s="2" t="s">
        <v>214</v>
      </c>
      <c r="H362" s="7">
        <v>-286260.26</v>
      </c>
      <c r="I362" s="236">
        <v>-437461.29206794256</v>
      </c>
      <c r="J362" s="3">
        <f t="shared" si="5"/>
        <v>151201.03206794255</v>
      </c>
    </row>
    <row r="363" spans="1:10" hidden="1" x14ac:dyDescent="0.25">
      <c r="A363" s="2" t="s">
        <v>944</v>
      </c>
      <c r="B363" s="2" t="s">
        <v>945</v>
      </c>
      <c r="C363" s="2" t="s">
        <v>196</v>
      </c>
      <c r="D363" s="2" t="s">
        <v>1133</v>
      </c>
      <c r="E363" s="2" t="s">
        <v>1122</v>
      </c>
      <c r="F363" s="267"/>
      <c r="G363" s="2" t="s">
        <v>214</v>
      </c>
      <c r="H363" s="7">
        <v>-3614460.51</v>
      </c>
      <c r="I363" s="236">
        <v>-4472404.555658441</v>
      </c>
      <c r="J363" s="3">
        <f t="shared" si="5"/>
        <v>857944.04565844126</v>
      </c>
    </row>
    <row r="364" spans="1:10" hidden="1" x14ac:dyDescent="0.25">
      <c r="A364" s="2" t="s">
        <v>946</v>
      </c>
      <c r="B364" s="2" t="s">
        <v>947</v>
      </c>
      <c r="C364" s="2" t="s">
        <v>196</v>
      </c>
      <c r="D364" s="2" t="s">
        <v>29</v>
      </c>
      <c r="E364" s="2" t="s">
        <v>29</v>
      </c>
      <c r="F364" s="267" t="s">
        <v>1161</v>
      </c>
      <c r="G364" s="2" t="s">
        <v>214</v>
      </c>
      <c r="H364" s="7">
        <v>1.9999999999999997E-2</v>
      </c>
      <c r="I364" s="236">
        <v>0</v>
      </c>
      <c r="J364" s="3">
        <f t="shared" si="5"/>
        <v>1.9999999999999997E-2</v>
      </c>
    </row>
    <row r="365" spans="1:10" hidden="1" x14ac:dyDescent="0.25">
      <c r="A365" s="2" t="s">
        <v>948</v>
      </c>
      <c r="B365" s="2" t="s">
        <v>949</v>
      </c>
      <c r="C365" s="2" t="s">
        <v>145</v>
      </c>
      <c r="D365" s="2" t="s">
        <v>4</v>
      </c>
      <c r="E365" s="2" t="s">
        <v>1121</v>
      </c>
      <c r="F365" s="267" t="s">
        <v>1158</v>
      </c>
      <c r="G365" s="2" t="s">
        <v>214</v>
      </c>
      <c r="H365" s="7">
        <v>0</v>
      </c>
      <c r="I365" s="236">
        <v>-7967622.301871445</v>
      </c>
      <c r="J365" s="3">
        <f t="shared" si="5"/>
        <v>7967622.301871445</v>
      </c>
    </row>
    <row r="366" spans="1:10" hidden="1" x14ac:dyDescent="0.25">
      <c r="A366" s="2" t="s">
        <v>950</v>
      </c>
      <c r="B366" s="2" t="s">
        <v>951</v>
      </c>
      <c r="C366" s="2" t="s">
        <v>145</v>
      </c>
      <c r="D366" s="2" t="s">
        <v>29</v>
      </c>
      <c r="E366" s="2" t="s">
        <v>29</v>
      </c>
      <c r="F366" s="267" t="s">
        <v>1161</v>
      </c>
      <c r="G366" s="2" t="s">
        <v>214</v>
      </c>
      <c r="H366" s="7">
        <v>0</v>
      </c>
      <c r="I366" s="236">
        <v>-3746867.6141023864</v>
      </c>
      <c r="J366" s="3">
        <f t="shared" si="5"/>
        <v>3746867.6141023864</v>
      </c>
    </row>
    <row r="367" spans="1:10" hidden="1" x14ac:dyDescent="0.25">
      <c r="A367" s="2" t="s">
        <v>952</v>
      </c>
      <c r="B367" s="2" t="s">
        <v>953</v>
      </c>
      <c r="C367" s="2" t="s">
        <v>145</v>
      </c>
      <c r="D367" s="2" t="s">
        <v>22</v>
      </c>
      <c r="E367" s="2" t="s">
        <v>1122</v>
      </c>
      <c r="F367" s="267" t="s">
        <v>1166</v>
      </c>
      <c r="G367" s="2" t="s">
        <v>214</v>
      </c>
      <c r="H367" s="7">
        <v>0</v>
      </c>
      <c r="I367" s="236">
        <v>-483963.30764539208</v>
      </c>
      <c r="J367" s="3">
        <f t="shared" si="5"/>
        <v>483963.30764539208</v>
      </c>
    </row>
    <row r="368" spans="1:10" hidden="1" x14ac:dyDescent="0.25">
      <c r="A368" s="2" t="s">
        <v>954</v>
      </c>
      <c r="B368" s="2" t="s">
        <v>955</v>
      </c>
      <c r="C368" s="2" t="s">
        <v>196</v>
      </c>
      <c r="D368" s="2" t="s">
        <v>29</v>
      </c>
      <c r="E368" s="2" t="s">
        <v>29</v>
      </c>
      <c r="F368" s="267" t="s">
        <v>1161</v>
      </c>
      <c r="G368" s="2" t="s">
        <v>214</v>
      </c>
      <c r="H368" s="7">
        <v>-415367.76</v>
      </c>
      <c r="I368" s="236">
        <v>-1905850.0999999959</v>
      </c>
      <c r="J368" s="3">
        <f t="shared" si="5"/>
        <v>1490482.3399999959</v>
      </c>
    </row>
    <row r="369" spans="1:10" hidden="1" x14ac:dyDescent="0.25">
      <c r="A369" s="2" t="s">
        <v>956</v>
      </c>
      <c r="B369" s="2" t="s">
        <v>957</v>
      </c>
      <c r="C369" s="2" t="s">
        <v>145</v>
      </c>
      <c r="D369" s="2" t="s">
        <v>29</v>
      </c>
      <c r="E369" s="2" t="s">
        <v>29</v>
      </c>
      <c r="F369" s="267" t="s">
        <v>1161</v>
      </c>
      <c r="G369" s="2" t="s">
        <v>214</v>
      </c>
      <c r="H369" s="7">
        <v>-71228.560000000012</v>
      </c>
      <c r="I369" s="236">
        <v>0</v>
      </c>
      <c r="J369" s="3">
        <f t="shared" si="5"/>
        <v>-71228.560000000012</v>
      </c>
    </row>
    <row r="370" spans="1:10" hidden="1" x14ac:dyDescent="0.25">
      <c r="A370" s="2" t="s">
        <v>958</v>
      </c>
      <c r="B370" s="2" t="s">
        <v>959</v>
      </c>
      <c r="C370" s="2" t="s">
        <v>145</v>
      </c>
      <c r="D370" s="2" t="s">
        <v>29</v>
      </c>
      <c r="E370" s="2" t="s">
        <v>29</v>
      </c>
      <c r="F370" s="267" t="s">
        <v>1161</v>
      </c>
      <c r="G370" s="266" t="s">
        <v>214</v>
      </c>
      <c r="H370" s="7">
        <v>-28313.3</v>
      </c>
      <c r="I370" s="236">
        <v>0</v>
      </c>
      <c r="J370" s="3">
        <f t="shared" si="5"/>
        <v>-28313.3</v>
      </c>
    </row>
    <row r="371" spans="1:10" hidden="1" x14ac:dyDescent="0.25">
      <c r="A371" s="2" t="s">
        <v>960</v>
      </c>
      <c r="B371" s="2" t="s">
        <v>961</v>
      </c>
      <c r="C371" s="2" t="s">
        <v>196</v>
      </c>
      <c r="D371" s="2" t="s">
        <v>29</v>
      </c>
      <c r="E371" s="2" t="s">
        <v>29</v>
      </c>
      <c r="F371" s="267" t="s">
        <v>1161</v>
      </c>
      <c r="G371" s="2" t="s">
        <v>214</v>
      </c>
      <c r="H371" s="7">
        <v>-1405979.9100000006</v>
      </c>
      <c r="I371" s="236">
        <v>-533130.04369558929</v>
      </c>
      <c r="J371" s="3">
        <f t="shared" si="5"/>
        <v>-872849.86630441132</v>
      </c>
    </row>
    <row r="372" spans="1:10" hidden="1" x14ac:dyDescent="0.25">
      <c r="A372" s="2" t="s">
        <v>962</v>
      </c>
      <c r="B372" s="2" t="s">
        <v>963</v>
      </c>
      <c r="C372" s="2" t="s">
        <v>196</v>
      </c>
      <c r="D372" s="2" t="s">
        <v>14</v>
      </c>
      <c r="E372" s="2" t="s">
        <v>1122</v>
      </c>
      <c r="F372" s="267" t="s">
        <v>1159</v>
      </c>
      <c r="G372" s="2" t="s">
        <v>214</v>
      </c>
      <c r="H372" s="7">
        <v>-103771.52</v>
      </c>
      <c r="I372" s="236">
        <v>-183871.24110803552</v>
      </c>
      <c r="J372" s="3">
        <f t="shared" si="5"/>
        <v>80099.721108035519</v>
      </c>
    </row>
    <row r="373" spans="1:10" hidden="1" x14ac:dyDescent="0.25">
      <c r="A373" s="2" t="s">
        <v>964</v>
      </c>
      <c r="B373" s="2" t="s">
        <v>965</v>
      </c>
      <c r="C373" s="2" t="s">
        <v>196</v>
      </c>
      <c r="D373" s="2" t="s">
        <v>16</v>
      </c>
      <c r="E373" s="2" t="s">
        <v>1122</v>
      </c>
      <c r="F373" s="267" t="s">
        <v>1165</v>
      </c>
      <c r="G373" s="2" t="s">
        <v>214</v>
      </c>
      <c r="H373" s="7">
        <v>-479189.36</v>
      </c>
      <c r="I373" s="236">
        <v>-1293212.2658346782</v>
      </c>
      <c r="J373" s="3">
        <f t="shared" si="5"/>
        <v>814022.90583467821</v>
      </c>
    </row>
    <row r="374" spans="1:10" hidden="1" x14ac:dyDescent="0.25">
      <c r="A374" s="2" t="s">
        <v>966</v>
      </c>
      <c r="B374" s="2" t="s">
        <v>967</v>
      </c>
      <c r="C374" s="2" t="s">
        <v>145</v>
      </c>
      <c r="D374" s="2"/>
      <c r="E374" s="2"/>
      <c r="F374" s="267"/>
      <c r="G374" s="2" t="s">
        <v>212</v>
      </c>
      <c r="H374" s="7">
        <v>-100516.68</v>
      </c>
      <c r="I374" s="236">
        <v>0</v>
      </c>
      <c r="J374" s="3">
        <f t="shared" si="5"/>
        <v>-100516.68</v>
      </c>
    </row>
    <row r="375" spans="1:10" hidden="1" x14ac:dyDescent="0.25">
      <c r="A375" s="2" t="s">
        <v>968</v>
      </c>
      <c r="B375" s="2" t="s">
        <v>969</v>
      </c>
      <c r="C375" s="2" t="s">
        <v>145</v>
      </c>
      <c r="D375" s="2" t="s">
        <v>22</v>
      </c>
      <c r="E375" s="2" t="s">
        <v>1122</v>
      </c>
      <c r="F375" s="267" t="s">
        <v>1166</v>
      </c>
      <c r="G375" s="2" t="s">
        <v>214</v>
      </c>
      <c r="H375" s="7">
        <v>-660.52</v>
      </c>
      <c r="I375" s="236">
        <v>0</v>
      </c>
      <c r="J375" s="3">
        <f t="shared" si="5"/>
        <v>-660.52</v>
      </c>
    </row>
    <row r="376" spans="1:10" hidden="1" x14ac:dyDescent="0.25">
      <c r="A376" s="2" t="s">
        <v>970</v>
      </c>
      <c r="B376" s="2" t="s">
        <v>971</v>
      </c>
      <c r="C376" s="2" t="s">
        <v>145</v>
      </c>
      <c r="D376" s="2" t="s">
        <v>22</v>
      </c>
      <c r="E376" s="2" t="s">
        <v>1122</v>
      </c>
      <c r="F376" s="267" t="s">
        <v>1166</v>
      </c>
      <c r="G376" s="2" t="s">
        <v>214</v>
      </c>
      <c r="H376" s="7">
        <v>-38883.850000000006</v>
      </c>
      <c r="I376" s="236">
        <v>0</v>
      </c>
      <c r="J376" s="3">
        <f t="shared" si="5"/>
        <v>-38883.850000000006</v>
      </c>
    </row>
    <row r="377" spans="1:10" hidden="1" x14ac:dyDescent="0.25">
      <c r="A377" s="2" t="s">
        <v>972</v>
      </c>
      <c r="B377" s="2" t="s">
        <v>973</v>
      </c>
      <c r="C377" s="2" t="s">
        <v>145</v>
      </c>
      <c r="D377" s="2" t="s">
        <v>22</v>
      </c>
      <c r="E377" s="2" t="s">
        <v>1122</v>
      </c>
      <c r="F377" s="267" t="s">
        <v>1166</v>
      </c>
      <c r="G377" s="2" t="s">
        <v>214</v>
      </c>
      <c r="H377" s="7">
        <v>0</v>
      </c>
      <c r="I377" s="236">
        <v>-615175.01192232023</v>
      </c>
      <c r="J377" s="3">
        <f t="shared" si="5"/>
        <v>615175.01192232023</v>
      </c>
    </row>
    <row r="378" spans="1:10" hidden="1" x14ac:dyDescent="0.25">
      <c r="A378" s="2" t="s">
        <v>974</v>
      </c>
      <c r="B378" s="2" t="s">
        <v>975</v>
      </c>
      <c r="C378" s="2" t="s">
        <v>145</v>
      </c>
      <c r="D378" s="2" t="s">
        <v>22</v>
      </c>
      <c r="E378" s="2" t="s">
        <v>1122</v>
      </c>
      <c r="F378" s="267" t="s">
        <v>1166</v>
      </c>
      <c r="G378" s="2" t="s">
        <v>214</v>
      </c>
      <c r="H378" s="7">
        <v>0</v>
      </c>
      <c r="I378" s="236">
        <v>-8727.0199999999986</v>
      </c>
      <c r="J378" s="3">
        <f t="shared" si="5"/>
        <v>8727.0199999999986</v>
      </c>
    </row>
    <row r="379" spans="1:10" hidden="1" x14ac:dyDescent="0.25">
      <c r="A379" s="2" t="s">
        <v>976</v>
      </c>
      <c r="B379" s="2" t="s">
        <v>977</v>
      </c>
      <c r="C379" s="2" t="s">
        <v>196</v>
      </c>
      <c r="D379" s="2" t="s">
        <v>29</v>
      </c>
      <c r="E379" s="2" t="s">
        <v>29</v>
      </c>
      <c r="F379" s="267" t="s">
        <v>1161</v>
      </c>
      <c r="G379" s="2" t="s">
        <v>214</v>
      </c>
      <c r="H379" s="7">
        <v>-192.65999999999997</v>
      </c>
      <c r="I379" s="236">
        <v>0</v>
      </c>
      <c r="J379" s="3">
        <f t="shared" si="5"/>
        <v>-192.65999999999997</v>
      </c>
    </row>
    <row r="380" spans="1:10" hidden="1" x14ac:dyDescent="0.25">
      <c r="A380" s="2" t="s">
        <v>978</v>
      </c>
      <c r="B380" s="2" t="s">
        <v>979</v>
      </c>
      <c r="C380" s="2" t="s">
        <v>145</v>
      </c>
      <c r="D380" s="2" t="s">
        <v>22</v>
      </c>
      <c r="E380" s="2" t="s">
        <v>1122</v>
      </c>
      <c r="F380" s="267" t="s">
        <v>1166</v>
      </c>
      <c r="G380" s="2" t="s">
        <v>214</v>
      </c>
      <c r="H380" s="7">
        <v>-1327181.1999999997</v>
      </c>
      <c r="I380" s="236">
        <v>-658798.07264283113</v>
      </c>
      <c r="J380" s="3">
        <f t="shared" si="5"/>
        <v>-668383.12735716859</v>
      </c>
    </row>
    <row r="381" spans="1:10" hidden="1" x14ac:dyDescent="0.25">
      <c r="A381" s="2" t="s">
        <v>980</v>
      </c>
      <c r="B381" s="2" t="s">
        <v>981</v>
      </c>
      <c r="C381" s="2" t="s">
        <v>145</v>
      </c>
      <c r="D381" s="2" t="s">
        <v>1134</v>
      </c>
      <c r="E381" s="2" t="s">
        <v>1121</v>
      </c>
      <c r="F381" s="267" t="s">
        <v>1168</v>
      </c>
      <c r="G381" s="2" t="s">
        <v>214</v>
      </c>
      <c r="H381" s="7">
        <v>0</v>
      </c>
      <c r="I381" s="236">
        <v>-22989916.785140418</v>
      </c>
      <c r="J381" s="3">
        <f t="shared" si="5"/>
        <v>22989916.785140418</v>
      </c>
    </row>
    <row r="382" spans="1:10" hidden="1" x14ac:dyDescent="0.25">
      <c r="A382" s="2" t="s">
        <v>982</v>
      </c>
      <c r="B382" s="2" t="s">
        <v>983</v>
      </c>
      <c r="C382" s="2" t="s">
        <v>145</v>
      </c>
      <c r="D382" s="2" t="s">
        <v>29</v>
      </c>
      <c r="E382" s="2" t="s">
        <v>29</v>
      </c>
      <c r="F382" s="267" t="s">
        <v>1161</v>
      </c>
      <c r="G382" s="2" t="s">
        <v>214</v>
      </c>
      <c r="H382" s="7">
        <v>-4653891.330000001</v>
      </c>
      <c r="I382" s="236">
        <v>-1984665.9999999963</v>
      </c>
      <c r="J382" s="3">
        <f t="shared" si="5"/>
        <v>-2669225.3300000047</v>
      </c>
    </row>
    <row r="383" spans="1:10" hidden="1" x14ac:dyDescent="0.25">
      <c r="A383" s="2" t="s">
        <v>984</v>
      </c>
      <c r="B383" s="2" t="s">
        <v>985</v>
      </c>
      <c r="C383" s="2" t="s">
        <v>196</v>
      </c>
      <c r="D383" s="2" t="s">
        <v>29</v>
      </c>
      <c r="E383" s="2" t="s">
        <v>29</v>
      </c>
      <c r="F383" s="267" t="s">
        <v>1161</v>
      </c>
      <c r="G383" s="2" t="s">
        <v>214</v>
      </c>
      <c r="H383" s="7">
        <v>-2605045.36</v>
      </c>
      <c r="I383" s="236">
        <v>-1333734</v>
      </c>
      <c r="J383" s="3">
        <f t="shared" si="5"/>
        <v>-1271311.3599999999</v>
      </c>
    </row>
    <row r="384" spans="1:10" hidden="1" x14ac:dyDescent="0.25">
      <c r="A384" s="2" t="s">
        <v>986</v>
      </c>
      <c r="B384" s="2" t="s">
        <v>987</v>
      </c>
      <c r="C384" s="2" t="s">
        <v>145</v>
      </c>
      <c r="D384" s="2" t="s">
        <v>29</v>
      </c>
      <c r="E384" s="2" t="s">
        <v>29</v>
      </c>
      <c r="F384" s="267" t="s">
        <v>1161</v>
      </c>
      <c r="G384" s="2" t="s">
        <v>214</v>
      </c>
      <c r="H384" s="7">
        <v>-28410.69</v>
      </c>
      <c r="I384" s="236">
        <v>0</v>
      </c>
      <c r="J384" s="3">
        <f t="shared" si="5"/>
        <v>-28410.69</v>
      </c>
    </row>
    <row r="385" spans="1:10" hidden="1" x14ac:dyDescent="0.25">
      <c r="A385" s="2" t="s">
        <v>988</v>
      </c>
      <c r="B385" s="2" t="s">
        <v>989</v>
      </c>
      <c r="C385" s="2" t="s">
        <v>1110</v>
      </c>
      <c r="D385" s="2"/>
      <c r="E385" s="2"/>
      <c r="F385" s="267"/>
      <c r="G385" s="2" t="s">
        <v>212</v>
      </c>
      <c r="H385" s="7">
        <v>-193714.94</v>
      </c>
      <c r="I385" s="236">
        <v>-249999.99999999965</v>
      </c>
      <c r="J385" s="3">
        <f t="shared" si="5"/>
        <v>56285.059999999648</v>
      </c>
    </row>
    <row r="386" spans="1:10" hidden="1" x14ac:dyDescent="0.25">
      <c r="A386" s="2" t="s">
        <v>990</v>
      </c>
      <c r="B386" s="2" t="s">
        <v>991</v>
      </c>
      <c r="C386" s="2" t="s">
        <v>145</v>
      </c>
      <c r="D386" s="2" t="s">
        <v>22</v>
      </c>
      <c r="E386" s="2" t="s">
        <v>1122</v>
      </c>
      <c r="F386" s="267" t="s">
        <v>1166</v>
      </c>
      <c r="G386" s="2" t="s">
        <v>214</v>
      </c>
      <c r="H386" s="7">
        <v>0</v>
      </c>
      <c r="I386" s="236">
        <v>-1995977.8076246229</v>
      </c>
      <c r="J386" s="3">
        <f t="shared" si="5"/>
        <v>1995977.8076246229</v>
      </c>
    </row>
    <row r="387" spans="1:10" hidden="1" x14ac:dyDescent="0.25">
      <c r="A387" s="2" t="s">
        <v>992</v>
      </c>
      <c r="B387" s="2" t="s">
        <v>993</v>
      </c>
      <c r="C387" s="2" t="s">
        <v>145</v>
      </c>
      <c r="D387" s="2" t="s">
        <v>29</v>
      </c>
      <c r="E387" s="2" t="s">
        <v>29</v>
      </c>
      <c r="F387" s="267" t="s">
        <v>1161</v>
      </c>
      <c r="G387" s="2" t="s">
        <v>214</v>
      </c>
      <c r="H387" s="7">
        <v>-274689.5</v>
      </c>
      <c r="I387" s="236">
        <v>-800000.00000000081</v>
      </c>
      <c r="J387" s="3">
        <f t="shared" si="5"/>
        <v>525310.50000000081</v>
      </c>
    </row>
    <row r="388" spans="1:10" hidden="1" x14ac:dyDescent="0.25">
      <c r="A388" s="2" t="s">
        <v>994</v>
      </c>
      <c r="B388" s="2" t="s">
        <v>995</v>
      </c>
      <c r="C388" s="2" t="s">
        <v>1110</v>
      </c>
      <c r="D388" s="2" t="s">
        <v>29</v>
      </c>
      <c r="E388" s="2" t="s">
        <v>29</v>
      </c>
      <c r="F388" s="267" t="s">
        <v>1161</v>
      </c>
      <c r="G388" s="2" t="s">
        <v>214</v>
      </c>
      <c r="H388" s="7">
        <v>-169784.50000000003</v>
      </c>
      <c r="I388" s="236">
        <v>-600000</v>
      </c>
      <c r="J388" s="3">
        <f t="shared" si="5"/>
        <v>430215.5</v>
      </c>
    </row>
    <row r="389" spans="1:10" hidden="1" x14ac:dyDescent="0.25">
      <c r="A389" s="2" t="s">
        <v>996</v>
      </c>
      <c r="B389" s="2" t="s">
        <v>997</v>
      </c>
      <c r="C389" s="2" t="s">
        <v>145</v>
      </c>
      <c r="D389" s="2" t="s">
        <v>13</v>
      </c>
      <c r="E389" s="2" t="s">
        <v>1122</v>
      </c>
      <c r="F389" s="267" t="s">
        <v>1159</v>
      </c>
      <c r="G389" s="2" t="s">
        <v>214</v>
      </c>
      <c r="H389" s="7">
        <v>0</v>
      </c>
      <c r="I389" s="236">
        <v>-448037.8400000002</v>
      </c>
      <c r="J389" s="3">
        <f t="shared" si="5"/>
        <v>448037.8400000002</v>
      </c>
    </row>
    <row r="390" spans="1:10" hidden="1" x14ac:dyDescent="0.25">
      <c r="A390" s="2" t="s">
        <v>998</v>
      </c>
      <c r="B390" s="2" t="s">
        <v>999</v>
      </c>
      <c r="C390" s="2" t="s">
        <v>196</v>
      </c>
      <c r="D390" s="2" t="s">
        <v>14</v>
      </c>
      <c r="E390" s="2" t="s">
        <v>1122</v>
      </c>
      <c r="F390" s="267" t="s">
        <v>1159</v>
      </c>
      <c r="G390" s="2" t="s">
        <v>214</v>
      </c>
      <c r="H390" s="7">
        <v>0</v>
      </c>
      <c r="I390" s="236">
        <v>-124099.20000000006</v>
      </c>
      <c r="J390" s="3">
        <f t="shared" ref="J390:J442" si="6">H390-I390</f>
        <v>124099.20000000006</v>
      </c>
    </row>
    <row r="391" spans="1:10" hidden="1" x14ac:dyDescent="0.25">
      <c r="A391" s="2" t="s">
        <v>1000</v>
      </c>
      <c r="B391" s="2" t="s">
        <v>1001</v>
      </c>
      <c r="C391" s="2" t="s">
        <v>145</v>
      </c>
      <c r="D391" s="2" t="s">
        <v>22</v>
      </c>
      <c r="E391" s="2" t="s">
        <v>1122</v>
      </c>
      <c r="F391" s="267" t="s">
        <v>1166</v>
      </c>
      <c r="G391" s="2" t="s">
        <v>214</v>
      </c>
      <c r="H391" s="7">
        <v>0</v>
      </c>
      <c r="I391" s="236">
        <v>-801251.72694858268</v>
      </c>
      <c r="J391" s="3">
        <f t="shared" si="6"/>
        <v>801251.72694858268</v>
      </c>
    </row>
    <row r="392" spans="1:10" hidden="1" x14ac:dyDescent="0.25">
      <c r="A392" s="2" t="s">
        <v>1002</v>
      </c>
      <c r="B392" s="2" t="s">
        <v>1003</v>
      </c>
      <c r="C392" s="2" t="s">
        <v>145</v>
      </c>
      <c r="D392" s="2" t="s">
        <v>22</v>
      </c>
      <c r="E392" s="2" t="s">
        <v>1122</v>
      </c>
      <c r="F392" s="267" t="s">
        <v>1166</v>
      </c>
      <c r="G392" s="2" t="s">
        <v>214</v>
      </c>
      <c r="H392" s="7">
        <v>0</v>
      </c>
      <c r="I392" s="236">
        <v>-4712971.867784461</v>
      </c>
      <c r="J392" s="3">
        <f t="shared" si="6"/>
        <v>4712971.867784461</v>
      </c>
    </row>
    <row r="393" spans="1:10" hidden="1" x14ac:dyDescent="0.25">
      <c r="A393" s="2" t="s">
        <v>1004</v>
      </c>
      <c r="B393" s="2" t="s">
        <v>1005</v>
      </c>
      <c r="C393" s="2" t="s">
        <v>145</v>
      </c>
      <c r="D393" s="2" t="s">
        <v>22</v>
      </c>
      <c r="E393" s="2" t="s">
        <v>1122</v>
      </c>
      <c r="F393" s="267" t="s">
        <v>1166</v>
      </c>
      <c r="G393" s="2" t="s">
        <v>214</v>
      </c>
      <c r="H393" s="7">
        <v>0</v>
      </c>
      <c r="I393" s="236">
        <v>-80586.521491935215</v>
      </c>
      <c r="J393" s="3">
        <f t="shared" si="6"/>
        <v>80586.521491935215</v>
      </c>
    </row>
    <row r="394" spans="1:10" hidden="1" x14ac:dyDescent="0.25">
      <c r="A394" s="2" t="s">
        <v>1006</v>
      </c>
      <c r="B394" s="2" t="s">
        <v>1007</v>
      </c>
      <c r="C394" s="2" t="s">
        <v>145</v>
      </c>
      <c r="D394" s="2" t="s">
        <v>22</v>
      </c>
      <c r="E394" s="2" t="s">
        <v>1122</v>
      </c>
      <c r="F394" s="267" t="s">
        <v>1166</v>
      </c>
      <c r="G394" s="2" t="s">
        <v>214</v>
      </c>
      <c r="H394" s="7">
        <v>0</v>
      </c>
      <c r="I394" s="236">
        <v>-468903.83704057796</v>
      </c>
      <c r="J394" s="3">
        <f t="shared" si="6"/>
        <v>468903.83704057796</v>
      </c>
    </row>
    <row r="395" spans="1:10" hidden="1" x14ac:dyDescent="0.25">
      <c r="A395" s="2" t="s">
        <v>1008</v>
      </c>
      <c r="B395" s="2" t="s">
        <v>1009</v>
      </c>
      <c r="C395" s="2" t="s">
        <v>145</v>
      </c>
      <c r="D395" s="2" t="s">
        <v>22</v>
      </c>
      <c r="E395" s="2" t="s">
        <v>1122</v>
      </c>
      <c r="F395" s="267" t="s">
        <v>1166</v>
      </c>
      <c r="G395" s="2" t="s">
        <v>214</v>
      </c>
      <c r="H395" s="7">
        <v>-51191.23000000001</v>
      </c>
      <c r="I395" s="236">
        <v>-354911.57783531299</v>
      </c>
      <c r="J395" s="3">
        <f t="shared" si="6"/>
        <v>303720.34783531295</v>
      </c>
    </row>
    <row r="396" spans="1:10" hidden="1" x14ac:dyDescent="0.25">
      <c r="A396" s="2" t="s">
        <v>1010</v>
      </c>
      <c r="B396" s="2" t="s">
        <v>1011</v>
      </c>
      <c r="C396" s="2" t="s">
        <v>145</v>
      </c>
      <c r="D396" s="2" t="s">
        <v>22</v>
      </c>
      <c r="E396" s="2" t="s">
        <v>1122</v>
      </c>
      <c r="F396" s="267" t="s">
        <v>1166</v>
      </c>
      <c r="G396" s="2" t="s">
        <v>214</v>
      </c>
      <c r="H396" s="7">
        <v>0</v>
      </c>
      <c r="I396" s="236">
        <v>-429739.75845775026</v>
      </c>
      <c r="J396" s="3">
        <f t="shared" si="6"/>
        <v>429739.75845775026</v>
      </c>
    </row>
    <row r="397" spans="1:10" hidden="1" x14ac:dyDescent="0.25">
      <c r="A397" s="2" t="s">
        <v>1012</v>
      </c>
      <c r="B397" s="2" t="s">
        <v>1013</v>
      </c>
      <c r="C397" s="2" t="s">
        <v>145</v>
      </c>
      <c r="D397" s="2" t="s">
        <v>22</v>
      </c>
      <c r="E397" s="2" t="s">
        <v>1122</v>
      </c>
      <c r="F397" s="267" t="s">
        <v>1166</v>
      </c>
      <c r="G397" s="2" t="s">
        <v>214</v>
      </c>
      <c r="H397" s="7">
        <v>0</v>
      </c>
      <c r="I397" s="236">
        <v>-471292.19858982268</v>
      </c>
      <c r="J397" s="3">
        <f t="shared" si="6"/>
        <v>471292.19858982268</v>
      </c>
    </row>
    <row r="398" spans="1:10" hidden="1" x14ac:dyDescent="0.25">
      <c r="A398" s="2" t="s">
        <v>1014</v>
      </c>
      <c r="B398" s="2" t="s">
        <v>1015</v>
      </c>
      <c r="C398" s="2" t="s">
        <v>145</v>
      </c>
      <c r="D398" s="2" t="s">
        <v>22</v>
      </c>
      <c r="E398" s="2" t="s">
        <v>1122</v>
      </c>
      <c r="F398" s="267" t="s">
        <v>1166</v>
      </c>
      <c r="G398" s="2" t="s">
        <v>214</v>
      </c>
      <c r="H398" s="7">
        <v>0</v>
      </c>
      <c r="I398" s="236">
        <v>-134184.55000000002</v>
      </c>
      <c r="J398" s="3">
        <f t="shared" si="6"/>
        <v>134184.55000000002</v>
      </c>
    </row>
    <row r="399" spans="1:10" hidden="1" x14ac:dyDescent="0.25">
      <c r="A399" s="2" t="s">
        <v>1016</v>
      </c>
      <c r="B399" s="2" t="s">
        <v>1017</v>
      </c>
      <c r="C399" s="2" t="s">
        <v>196</v>
      </c>
      <c r="D399" s="2"/>
      <c r="E399" s="2"/>
      <c r="F399" s="267"/>
      <c r="G399" s="2" t="s">
        <v>215</v>
      </c>
      <c r="H399" s="7">
        <v>0</v>
      </c>
      <c r="I399" s="236">
        <v>-80212.557023501562</v>
      </c>
      <c r="J399" s="3">
        <f t="shared" si="6"/>
        <v>80212.557023501562</v>
      </c>
    </row>
    <row r="400" spans="1:10" hidden="1" x14ac:dyDescent="0.25">
      <c r="A400" s="2" t="s">
        <v>1018</v>
      </c>
      <c r="B400" s="2" t="s">
        <v>1019</v>
      </c>
      <c r="C400" s="2" t="s">
        <v>145</v>
      </c>
      <c r="D400" s="2" t="s">
        <v>22</v>
      </c>
      <c r="E400" s="2" t="s">
        <v>1122</v>
      </c>
      <c r="F400" s="267" t="s">
        <v>1166</v>
      </c>
      <c r="G400" s="2" t="s">
        <v>214</v>
      </c>
      <c r="H400" s="7">
        <v>0</v>
      </c>
      <c r="I400" s="236">
        <v>-551181.56999999983</v>
      </c>
      <c r="J400" s="3">
        <f t="shared" si="6"/>
        <v>551181.56999999983</v>
      </c>
    </row>
    <row r="401" spans="1:10" hidden="1" x14ac:dyDescent="0.25">
      <c r="A401" s="2" t="s">
        <v>1020</v>
      </c>
      <c r="B401" s="2" t="s">
        <v>1021</v>
      </c>
      <c r="C401" s="2" t="s">
        <v>145</v>
      </c>
      <c r="D401" s="2" t="s">
        <v>22</v>
      </c>
      <c r="E401" s="2" t="s">
        <v>1122</v>
      </c>
      <c r="F401" s="267" t="s">
        <v>1166</v>
      </c>
      <c r="G401" s="2" t="s">
        <v>214</v>
      </c>
      <c r="H401" s="7">
        <v>0</v>
      </c>
      <c r="I401" s="236">
        <v>-3799.4100000000008</v>
      </c>
      <c r="J401" s="3">
        <f t="shared" si="6"/>
        <v>3799.4100000000008</v>
      </c>
    </row>
    <row r="402" spans="1:10" hidden="1" x14ac:dyDescent="0.25">
      <c r="A402" s="2" t="s">
        <v>1022</v>
      </c>
      <c r="B402" s="2" t="s">
        <v>1023</v>
      </c>
      <c r="C402" s="2" t="s">
        <v>145</v>
      </c>
      <c r="D402" s="2" t="s">
        <v>32</v>
      </c>
      <c r="E402" s="2" t="s">
        <v>1121</v>
      </c>
      <c r="F402" s="267" t="s">
        <v>1169</v>
      </c>
      <c r="G402" s="2" t="s">
        <v>214</v>
      </c>
      <c r="H402" s="7">
        <v>0</v>
      </c>
      <c r="I402" s="236">
        <v>-15952966.929557476</v>
      </c>
      <c r="J402" s="3">
        <f t="shared" si="6"/>
        <v>15952966.929557476</v>
      </c>
    </row>
    <row r="403" spans="1:10" hidden="1" x14ac:dyDescent="0.25">
      <c r="A403" s="2" t="s">
        <v>1024</v>
      </c>
      <c r="B403" s="2" t="s">
        <v>1025</v>
      </c>
      <c r="C403" s="2" t="s">
        <v>145</v>
      </c>
      <c r="D403" s="2" t="s">
        <v>22</v>
      </c>
      <c r="E403" s="2" t="s">
        <v>1122</v>
      </c>
      <c r="F403" s="267" t="s">
        <v>1166</v>
      </c>
      <c r="G403" s="2" t="s">
        <v>214</v>
      </c>
      <c r="H403" s="7">
        <v>-19880.830000000002</v>
      </c>
      <c r="I403" s="236">
        <v>-5242587.2756725727</v>
      </c>
      <c r="J403" s="3">
        <f t="shared" si="6"/>
        <v>5222706.4456725726</v>
      </c>
    </row>
    <row r="404" spans="1:10" hidden="1" x14ac:dyDescent="0.25">
      <c r="A404" s="2" t="s">
        <v>1026</v>
      </c>
      <c r="B404" s="2" t="s">
        <v>1027</v>
      </c>
      <c r="C404" s="2" t="s">
        <v>145</v>
      </c>
      <c r="D404" s="2" t="s">
        <v>29</v>
      </c>
      <c r="E404" s="2" t="s">
        <v>29</v>
      </c>
      <c r="F404" s="267" t="s">
        <v>1161</v>
      </c>
      <c r="G404" s="2" t="s">
        <v>214</v>
      </c>
      <c r="H404" s="7">
        <v>-127.28000000000003</v>
      </c>
      <c r="I404" s="236">
        <v>0</v>
      </c>
      <c r="J404" s="3">
        <f t="shared" si="6"/>
        <v>-127.28000000000003</v>
      </c>
    </row>
    <row r="405" spans="1:10" hidden="1" x14ac:dyDescent="0.25">
      <c r="A405" s="2" t="s">
        <v>1028</v>
      </c>
      <c r="B405" s="2" t="s">
        <v>1029</v>
      </c>
      <c r="C405" s="2" t="s">
        <v>145</v>
      </c>
      <c r="D405" s="2" t="s">
        <v>29</v>
      </c>
      <c r="E405" s="2" t="s">
        <v>29</v>
      </c>
      <c r="F405" s="267" t="s">
        <v>1161</v>
      </c>
      <c r="G405" s="2" t="s">
        <v>214</v>
      </c>
      <c r="H405" s="7">
        <v>-1456.58</v>
      </c>
      <c r="I405" s="236">
        <v>0</v>
      </c>
      <c r="J405" s="3">
        <f t="shared" si="6"/>
        <v>-1456.58</v>
      </c>
    </row>
    <row r="406" spans="1:10" hidden="1" x14ac:dyDescent="0.25">
      <c r="A406" s="2" t="s">
        <v>1030</v>
      </c>
      <c r="B406" s="2" t="s">
        <v>1031</v>
      </c>
      <c r="C406" s="2" t="s">
        <v>145</v>
      </c>
      <c r="D406" s="2" t="s">
        <v>22</v>
      </c>
      <c r="E406" s="2" t="s">
        <v>1122</v>
      </c>
      <c r="F406" s="267" t="s">
        <v>1166</v>
      </c>
      <c r="G406" s="2" t="s">
        <v>214</v>
      </c>
      <c r="H406" s="7">
        <v>-283017.96999999997</v>
      </c>
      <c r="I406" s="236">
        <v>-287292.44</v>
      </c>
      <c r="J406" s="3">
        <f t="shared" si="6"/>
        <v>4274.4700000000303</v>
      </c>
    </row>
    <row r="407" spans="1:10" hidden="1" x14ac:dyDescent="0.25">
      <c r="A407" s="2" t="s">
        <v>1032</v>
      </c>
      <c r="B407" s="2" t="s">
        <v>1033</v>
      </c>
      <c r="C407" s="2" t="s">
        <v>145</v>
      </c>
      <c r="D407" s="2" t="s">
        <v>22</v>
      </c>
      <c r="E407" s="2" t="s">
        <v>1122</v>
      </c>
      <c r="F407" s="267" t="s">
        <v>1166</v>
      </c>
      <c r="G407" s="2" t="s">
        <v>214</v>
      </c>
      <c r="H407" s="7">
        <v>0</v>
      </c>
      <c r="I407" s="236">
        <v>-333129.23054315941</v>
      </c>
      <c r="J407" s="3">
        <f t="shared" si="6"/>
        <v>333129.23054315941</v>
      </c>
    </row>
    <row r="408" spans="1:10" hidden="1" x14ac:dyDescent="0.25">
      <c r="A408" s="2" t="s">
        <v>1034</v>
      </c>
      <c r="B408" s="2" t="s">
        <v>1035</v>
      </c>
      <c r="C408" s="2" t="s">
        <v>145</v>
      </c>
      <c r="D408" s="2" t="s">
        <v>29</v>
      </c>
      <c r="E408" s="2" t="s">
        <v>29</v>
      </c>
      <c r="F408" s="267" t="s">
        <v>1161</v>
      </c>
      <c r="G408" s="2" t="s">
        <v>214</v>
      </c>
      <c r="H408" s="7">
        <v>-8279.9900000000016</v>
      </c>
      <c r="I408" s="236">
        <v>0</v>
      </c>
      <c r="J408" s="3">
        <f t="shared" si="6"/>
        <v>-8279.9900000000016</v>
      </c>
    </row>
    <row r="409" spans="1:10" hidden="1" x14ac:dyDescent="0.25">
      <c r="A409" s="2" t="s">
        <v>1036</v>
      </c>
      <c r="B409" s="2" t="s">
        <v>1037</v>
      </c>
      <c r="C409" s="2" t="s">
        <v>145</v>
      </c>
      <c r="D409" s="2" t="s">
        <v>18</v>
      </c>
      <c r="E409" s="2" t="s">
        <v>1122</v>
      </c>
      <c r="F409" s="267" t="s">
        <v>1164</v>
      </c>
      <c r="G409" s="2" t="s">
        <v>214</v>
      </c>
      <c r="H409" s="7">
        <v>-105740.5</v>
      </c>
      <c r="I409" s="236">
        <v>-4128905.3818400037</v>
      </c>
      <c r="J409" s="3">
        <f t="shared" si="6"/>
        <v>4023164.8818400037</v>
      </c>
    </row>
    <row r="410" spans="1:10" hidden="1" x14ac:dyDescent="0.25">
      <c r="A410" s="2" t="s">
        <v>1038</v>
      </c>
      <c r="B410" s="2" t="s">
        <v>1039</v>
      </c>
      <c r="C410" s="2" t="s">
        <v>145</v>
      </c>
      <c r="D410" s="2" t="s">
        <v>18</v>
      </c>
      <c r="E410" s="2" t="s">
        <v>1122</v>
      </c>
      <c r="F410" s="267" t="s">
        <v>1164</v>
      </c>
      <c r="G410" s="2" t="s">
        <v>214</v>
      </c>
      <c r="H410" s="7">
        <v>-382804.91000000003</v>
      </c>
      <c r="I410" s="236">
        <v>-969575.45291033702</v>
      </c>
      <c r="J410" s="3">
        <f t="shared" si="6"/>
        <v>586770.54291033698</v>
      </c>
    </row>
    <row r="411" spans="1:10" hidden="1" x14ac:dyDescent="0.25">
      <c r="A411" s="2" t="s">
        <v>1040</v>
      </c>
      <c r="B411" s="2" t="s">
        <v>1041</v>
      </c>
      <c r="C411" s="2" t="s">
        <v>145</v>
      </c>
      <c r="D411" s="2" t="s">
        <v>37</v>
      </c>
      <c r="E411" s="2" t="s">
        <v>1122</v>
      </c>
      <c r="F411" s="267"/>
      <c r="G411" s="2" t="s">
        <v>214</v>
      </c>
      <c r="H411" s="7">
        <v>-1294239.2399999998</v>
      </c>
      <c r="I411" s="236">
        <v>-966466.61649999989</v>
      </c>
      <c r="J411" s="3">
        <f t="shared" si="6"/>
        <v>-327772.62349999987</v>
      </c>
    </row>
    <row r="412" spans="1:10" hidden="1" x14ac:dyDescent="0.25">
      <c r="A412" s="2" t="s">
        <v>1042</v>
      </c>
      <c r="B412" s="2" t="s">
        <v>1043</v>
      </c>
      <c r="C412" s="2" t="s">
        <v>196</v>
      </c>
      <c r="D412" s="2" t="s">
        <v>24</v>
      </c>
      <c r="E412" s="2" t="s">
        <v>1121</v>
      </c>
      <c r="F412" s="267"/>
      <c r="G412" s="2" t="s">
        <v>214</v>
      </c>
      <c r="H412" s="7">
        <v>-458640.08999999991</v>
      </c>
      <c r="I412" s="236">
        <v>-1256366.1962771674</v>
      </c>
      <c r="J412" s="3">
        <f t="shared" si="6"/>
        <v>797726.10627716756</v>
      </c>
    </row>
    <row r="413" spans="1:10" hidden="1" x14ac:dyDescent="0.25">
      <c r="A413" s="2" t="s">
        <v>1044</v>
      </c>
      <c r="B413" s="2" t="s">
        <v>1045</v>
      </c>
      <c r="C413" s="2" t="s">
        <v>145</v>
      </c>
      <c r="D413" s="2"/>
      <c r="E413" s="2"/>
      <c r="F413" s="267"/>
      <c r="G413" s="2" t="s">
        <v>213</v>
      </c>
      <c r="H413" s="7">
        <v>-2299605.5499999998</v>
      </c>
      <c r="I413" s="236">
        <v>-3238842.3947134488</v>
      </c>
      <c r="J413" s="3">
        <f t="shared" si="6"/>
        <v>939236.84471344901</v>
      </c>
    </row>
    <row r="414" spans="1:10" hidden="1" x14ac:dyDescent="0.25">
      <c r="A414" s="2" t="s">
        <v>1046</v>
      </c>
      <c r="B414" s="2" t="s">
        <v>1047</v>
      </c>
      <c r="C414" s="2" t="s">
        <v>145</v>
      </c>
      <c r="D414" s="2"/>
      <c r="E414" s="2"/>
      <c r="F414" s="267"/>
      <c r="G414" s="2" t="s">
        <v>213</v>
      </c>
      <c r="H414" s="7">
        <v>-1336724.8999999997</v>
      </c>
      <c r="I414" s="236">
        <v>-1092137.5806285986</v>
      </c>
      <c r="J414" s="3">
        <f t="shared" si="6"/>
        <v>-244587.3193714011</v>
      </c>
    </row>
    <row r="415" spans="1:10" hidden="1" x14ac:dyDescent="0.25">
      <c r="A415" s="2" t="s">
        <v>1048</v>
      </c>
      <c r="B415" s="2" t="s">
        <v>1049</v>
      </c>
      <c r="C415" s="2" t="s">
        <v>145</v>
      </c>
      <c r="D415" s="2"/>
      <c r="E415" s="2"/>
      <c r="F415" s="267"/>
      <c r="G415" s="2" t="s">
        <v>213</v>
      </c>
      <c r="H415" s="7">
        <v>-1617272.2700000003</v>
      </c>
      <c r="I415" s="236">
        <v>-226460.70384112062</v>
      </c>
      <c r="J415" s="3">
        <f t="shared" si="6"/>
        <v>-1390811.5661588795</v>
      </c>
    </row>
    <row r="416" spans="1:10" hidden="1" x14ac:dyDescent="0.25">
      <c r="A416" s="2" t="s">
        <v>1050</v>
      </c>
      <c r="B416" s="2" t="s">
        <v>1051</v>
      </c>
      <c r="C416" s="2" t="s">
        <v>145</v>
      </c>
      <c r="D416" s="2"/>
      <c r="E416" s="2"/>
      <c r="F416" s="267"/>
      <c r="G416" s="2" t="s">
        <v>213</v>
      </c>
      <c r="H416" s="7">
        <v>-2806755.14</v>
      </c>
      <c r="I416" s="236">
        <v>-791774.94851725642</v>
      </c>
      <c r="J416" s="3">
        <f t="shared" si="6"/>
        <v>-2014980.1914827437</v>
      </c>
    </row>
    <row r="417" spans="1:14" hidden="1" x14ac:dyDescent="0.25">
      <c r="A417" s="2" t="s">
        <v>1052</v>
      </c>
      <c r="B417" s="2" t="s">
        <v>1053</v>
      </c>
      <c r="C417" s="2" t="s">
        <v>145</v>
      </c>
      <c r="D417" s="2"/>
      <c r="E417" s="2"/>
      <c r="F417" s="267"/>
      <c r="G417" s="2" t="s">
        <v>213</v>
      </c>
      <c r="H417" s="7">
        <v>-144034.18</v>
      </c>
      <c r="I417" s="236">
        <v>0</v>
      </c>
      <c r="J417" s="3">
        <f t="shared" si="6"/>
        <v>-144034.18</v>
      </c>
    </row>
    <row r="418" spans="1:14" hidden="1" x14ac:dyDescent="0.25">
      <c r="A418" s="2" t="s">
        <v>1054</v>
      </c>
      <c r="B418" s="2" t="s">
        <v>1055</v>
      </c>
      <c r="C418" s="2" t="s">
        <v>145</v>
      </c>
      <c r="D418" s="2"/>
      <c r="E418" s="2"/>
      <c r="F418" s="267"/>
      <c r="G418" s="2" t="s">
        <v>213</v>
      </c>
      <c r="H418" s="7">
        <v>0</v>
      </c>
      <c r="I418" s="236">
        <v>-444814.81426639721</v>
      </c>
      <c r="J418" s="3">
        <f t="shared" si="6"/>
        <v>444814.81426639721</v>
      </c>
    </row>
    <row r="419" spans="1:14" hidden="1" x14ac:dyDescent="0.25">
      <c r="A419" s="2" t="s">
        <v>1056</v>
      </c>
      <c r="B419" s="2" t="s">
        <v>1057</v>
      </c>
      <c r="C419" s="2" t="s">
        <v>145</v>
      </c>
      <c r="D419" s="2"/>
      <c r="E419" s="2"/>
      <c r="F419" s="267"/>
      <c r="G419" s="2" t="s">
        <v>213</v>
      </c>
      <c r="H419" s="7">
        <v>-2093226.5499999998</v>
      </c>
      <c r="I419" s="236">
        <v>0</v>
      </c>
      <c r="J419" s="3">
        <f t="shared" si="6"/>
        <v>-2093226.5499999998</v>
      </c>
    </row>
    <row r="420" spans="1:14" hidden="1" x14ac:dyDescent="0.25">
      <c r="A420" s="2" t="s">
        <v>1058</v>
      </c>
      <c r="B420" s="2" t="s">
        <v>1059</v>
      </c>
      <c r="C420" s="2" t="s">
        <v>145</v>
      </c>
      <c r="D420" s="2"/>
      <c r="E420" s="2"/>
      <c r="F420" s="267"/>
      <c r="G420" s="2" t="s">
        <v>213</v>
      </c>
      <c r="H420" s="7">
        <v>-2032922.06</v>
      </c>
      <c r="I420" s="236">
        <v>0</v>
      </c>
      <c r="J420" s="3">
        <f t="shared" si="6"/>
        <v>-2032922.06</v>
      </c>
    </row>
    <row r="421" spans="1:14" hidden="1" x14ac:dyDescent="0.25">
      <c r="A421" s="2" t="s">
        <v>1060</v>
      </c>
      <c r="B421" s="2" t="s">
        <v>1061</v>
      </c>
      <c r="C421" s="2" t="s">
        <v>145</v>
      </c>
      <c r="D421" s="2"/>
      <c r="E421" s="2"/>
      <c r="F421" s="267"/>
      <c r="G421" s="2" t="s">
        <v>213</v>
      </c>
      <c r="H421" s="7">
        <v>1030.5899999999999</v>
      </c>
      <c r="I421" s="236">
        <v>0</v>
      </c>
      <c r="J421" s="3">
        <f t="shared" si="6"/>
        <v>1030.5899999999999</v>
      </c>
    </row>
    <row r="422" spans="1:14" hidden="1" x14ac:dyDescent="0.25">
      <c r="A422" s="2" t="s">
        <v>1062</v>
      </c>
      <c r="B422" s="2" t="s">
        <v>1063</v>
      </c>
      <c r="C422" s="2" t="s">
        <v>145</v>
      </c>
      <c r="D422" s="2"/>
      <c r="E422" s="2"/>
      <c r="F422" s="267"/>
      <c r="G422" s="2" t="s">
        <v>212</v>
      </c>
      <c r="H422" s="7">
        <v>-13510.02</v>
      </c>
      <c r="I422" s="236">
        <v>0</v>
      </c>
      <c r="J422" s="3">
        <f t="shared" si="6"/>
        <v>-13510.02</v>
      </c>
    </row>
    <row r="423" spans="1:14" x14ac:dyDescent="0.25">
      <c r="A423" s="2" t="s">
        <v>1064</v>
      </c>
      <c r="B423" s="2" t="s">
        <v>1065</v>
      </c>
      <c r="C423" s="2" t="s">
        <v>145</v>
      </c>
      <c r="D423" s="2"/>
      <c r="E423" s="2"/>
      <c r="F423" s="267"/>
      <c r="G423" s="2" t="s">
        <v>211</v>
      </c>
      <c r="H423" s="7"/>
      <c r="I423" s="236">
        <v>-17967.04</v>
      </c>
      <c r="J423" s="3">
        <f t="shared" si="6"/>
        <v>17967.04</v>
      </c>
      <c r="L423" s="7"/>
      <c r="M423" s="7"/>
      <c r="N423" s="7"/>
    </row>
    <row r="424" spans="1:14" hidden="1" x14ac:dyDescent="0.25">
      <c r="A424" s="238" t="s">
        <v>1066</v>
      </c>
      <c r="B424" s="238" t="s">
        <v>1067</v>
      </c>
      <c r="C424" s="238" t="s">
        <v>196</v>
      </c>
      <c r="D424" s="238"/>
      <c r="E424" s="238"/>
      <c r="F424" s="299"/>
      <c r="G424" s="238" t="s">
        <v>213</v>
      </c>
      <c r="H424" s="239">
        <v>62665.770000000011</v>
      </c>
      <c r="I424" s="240">
        <v>0</v>
      </c>
      <c r="J424" s="241">
        <f t="shared" si="6"/>
        <v>62665.770000000011</v>
      </c>
    </row>
    <row r="425" spans="1:14" hidden="1" x14ac:dyDescent="0.25">
      <c r="A425" t="s">
        <v>1068</v>
      </c>
      <c r="B425" t="s">
        <v>1069</v>
      </c>
      <c r="C425" t="s">
        <v>145</v>
      </c>
      <c r="F425" s="267"/>
      <c r="G425" s="2" t="s">
        <v>212</v>
      </c>
      <c r="H425" s="7"/>
      <c r="I425" s="236">
        <v>-2100000</v>
      </c>
      <c r="J425" s="3">
        <f t="shared" si="6"/>
        <v>2100000</v>
      </c>
    </row>
    <row r="426" spans="1:14" hidden="1" x14ac:dyDescent="0.25">
      <c r="A426" t="s">
        <v>1070</v>
      </c>
      <c r="B426" t="s">
        <v>1071</v>
      </c>
      <c r="C426" t="s">
        <v>1110</v>
      </c>
      <c r="F426" s="267"/>
      <c r="G426" s="2" t="s">
        <v>212</v>
      </c>
      <c r="I426" s="236">
        <v>-3009237</v>
      </c>
      <c r="J426" s="3">
        <f t="shared" si="6"/>
        <v>3009237</v>
      </c>
    </row>
    <row r="427" spans="1:14" hidden="1" x14ac:dyDescent="0.25">
      <c r="A427" t="s">
        <v>1072</v>
      </c>
      <c r="B427" t="s">
        <v>1073</v>
      </c>
      <c r="C427" t="s">
        <v>145</v>
      </c>
      <c r="D427" t="s">
        <v>29</v>
      </c>
      <c r="E427" t="s">
        <v>29</v>
      </c>
      <c r="F427" s="267" t="s">
        <v>1161</v>
      </c>
      <c r="G427" s="2" t="s">
        <v>214</v>
      </c>
      <c r="H427" s="7"/>
      <c r="I427" s="236">
        <v>-1885788.5200000035</v>
      </c>
      <c r="J427" s="3">
        <f t="shared" si="6"/>
        <v>1885788.5200000035</v>
      </c>
    </row>
    <row r="428" spans="1:14" hidden="1" x14ac:dyDescent="0.25">
      <c r="A428" t="s">
        <v>1074</v>
      </c>
      <c r="B428" t="s">
        <v>1075</v>
      </c>
      <c r="C428" t="s">
        <v>145</v>
      </c>
      <c r="D428" t="s">
        <v>29</v>
      </c>
      <c r="E428" t="s">
        <v>29</v>
      </c>
      <c r="F428" s="267" t="s">
        <v>1161</v>
      </c>
      <c r="G428" s="2" t="s">
        <v>214</v>
      </c>
      <c r="H428" s="7"/>
      <c r="I428" s="236">
        <v>-336896.00000000029</v>
      </c>
      <c r="J428" s="3">
        <f t="shared" si="6"/>
        <v>336896.00000000029</v>
      </c>
    </row>
    <row r="429" spans="1:14" hidden="1" x14ac:dyDescent="0.25">
      <c r="A429" t="s">
        <v>1076</v>
      </c>
      <c r="B429" t="s">
        <v>1077</v>
      </c>
      <c r="C429" t="s">
        <v>196</v>
      </c>
      <c r="D429" t="s">
        <v>29</v>
      </c>
      <c r="E429" t="s">
        <v>29</v>
      </c>
      <c r="F429" s="267" t="s">
        <v>1161</v>
      </c>
      <c r="G429" s="2" t="s">
        <v>214</v>
      </c>
      <c r="I429" s="236">
        <v>-1697209.6679999996</v>
      </c>
      <c r="J429" s="3">
        <f t="shared" si="6"/>
        <v>1697209.6679999996</v>
      </c>
    </row>
    <row r="430" spans="1:14" hidden="1" x14ac:dyDescent="0.25">
      <c r="A430" t="s">
        <v>1078</v>
      </c>
      <c r="B430" t="s">
        <v>1079</v>
      </c>
      <c r="C430" t="s">
        <v>1110</v>
      </c>
      <c r="F430" s="267"/>
      <c r="G430" s="2" t="s">
        <v>212</v>
      </c>
      <c r="I430" s="236">
        <v>-686400</v>
      </c>
      <c r="J430" s="3">
        <f t="shared" si="6"/>
        <v>686400</v>
      </c>
    </row>
    <row r="431" spans="1:14" hidden="1" x14ac:dyDescent="0.25">
      <c r="A431" t="s">
        <v>1080</v>
      </c>
      <c r="B431" t="s">
        <v>1081</v>
      </c>
      <c r="C431" t="s">
        <v>1110</v>
      </c>
      <c r="F431" s="267"/>
      <c r="G431" s="2" t="s">
        <v>212</v>
      </c>
      <c r="I431" s="236">
        <v>-4.3576999492663603E-2</v>
      </c>
      <c r="J431" s="3">
        <f t="shared" si="6"/>
        <v>4.3576999492663603E-2</v>
      </c>
    </row>
    <row r="432" spans="1:14" hidden="1" x14ac:dyDescent="0.25">
      <c r="A432" t="s">
        <v>1082</v>
      </c>
      <c r="B432" t="s">
        <v>1083</v>
      </c>
      <c r="C432" t="s">
        <v>1110</v>
      </c>
      <c r="F432" s="267"/>
      <c r="G432" s="2" t="s">
        <v>212</v>
      </c>
      <c r="I432" s="236">
        <v>-4957.5682637400632</v>
      </c>
      <c r="J432" s="3">
        <f t="shared" si="6"/>
        <v>4957.5682637400632</v>
      </c>
    </row>
    <row r="433" spans="1:14" hidden="1" x14ac:dyDescent="0.25">
      <c r="A433" t="s">
        <v>1084</v>
      </c>
      <c r="B433" t="s">
        <v>1085</v>
      </c>
      <c r="C433" t="s">
        <v>1110</v>
      </c>
      <c r="F433" s="267"/>
      <c r="G433" s="2" t="s">
        <v>212</v>
      </c>
      <c r="I433" s="236">
        <v>-463875.31563805428</v>
      </c>
      <c r="J433" s="3">
        <f t="shared" si="6"/>
        <v>463875.31563805428</v>
      </c>
    </row>
    <row r="434" spans="1:14" x14ac:dyDescent="0.25">
      <c r="A434" t="s">
        <v>1086</v>
      </c>
      <c r="B434" t="s">
        <v>1087</v>
      </c>
      <c r="C434" t="s">
        <v>145</v>
      </c>
      <c r="F434" s="267"/>
      <c r="G434" s="2" t="s">
        <v>211</v>
      </c>
      <c r="H434" s="7"/>
      <c r="I434" s="236">
        <v>-1447.5462448451858</v>
      </c>
      <c r="J434" s="3">
        <f t="shared" si="6"/>
        <v>1447.5462448451858</v>
      </c>
    </row>
    <row r="435" spans="1:14" hidden="1" x14ac:dyDescent="0.25">
      <c r="A435" t="s">
        <v>1088</v>
      </c>
      <c r="B435" t="s">
        <v>1089</v>
      </c>
      <c r="C435" t="s">
        <v>145</v>
      </c>
      <c r="D435" t="s">
        <v>29</v>
      </c>
      <c r="E435" t="s">
        <v>29</v>
      </c>
      <c r="F435" s="267" t="s">
        <v>1161</v>
      </c>
      <c r="G435" s="2" t="s">
        <v>214</v>
      </c>
      <c r="H435" s="7"/>
      <c r="I435" s="236">
        <v>-524.70298175999994</v>
      </c>
      <c r="J435" s="3">
        <f t="shared" si="6"/>
        <v>524.70298175999994</v>
      </c>
    </row>
    <row r="436" spans="1:14" hidden="1" x14ac:dyDescent="0.25">
      <c r="A436" t="s">
        <v>1090</v>
      </c>
      <c r="B436" t="s">
        <v>1091</v>
      </c>
      <c r="C436" t="s">
        <v>196</v>
      </c>
      <c r="D436" t="s">
        <v>29</v>
      </c>
      <c r="E436" t="s">
        <v>29</v>
      </c>
      <c r="F436" s="267" t="s">
        <v>1161</v>
      </c>
      <c r="G436" s="2" t="s">
        <v>214</v>
      </c>
      <c r="I436" s="236">
        <v>-31413.867270916606</v>
      </c>
      <c r="J436" s="3">
        <f t="shared" si="6"/>
        <v>31413.867270916606</v>
      </c>
    </row>
    <row r="437" spans="1:14" hidden="1" x14ac:dyDescent="0.25">
      <c r="A437" t="s">
        <v>1092</v>
      </c>
      <c r="B437" t="s">
        <v>1093</v>
      </c>
      <c r="C437" t="s">
        <v>196</v>
      </c>
      <c r="D437" t="s">
        <v>29</v>
      </c>
      <c r="E437" t="s">
        <v>29</v>
      </c>
      <c r="F437" s="267" t="s">
        <v>1161</v>
      </c>
      <c r="G437" s="2" t="s">
        <v>214</v>
      </c>
      <c r="I437" s="236">
        <v>-1920.0000000000036</v>
      </c>
      <c r="J437" s="3">
        <f t="shared" si="6"/>
        <v>1920.0000000000036</v>
      </c>
    </row>
    <row r="438" spans="1:14" hidden="1" x14ac:dyDescent="0.25">
      <c r="A438" t="s">
        <v>1094</v>
      </c>
      <c r="B438" t="s">
        <v>1095</v>
      </c>
      <c r="C438" t="s">
        <v>145</v>
      </c>
      <c r="D438" t="s">
        <v>1125</v>
      </c>
      <c r="E438" t="s">
        <v>1123</v>
      </c>
      <c r="F438" s="267" t="s">
        <v>1163</v>
      </c>
      <c r="G438" s="2" t="s">
        <v>214</v>
      </c>
      <c r="H438" s="7"/>
      <c r="I438" s="236">
        <v>-366.15172416000001</v>
      </c>
      <c r="J438" s="3">
        <f t="shared" si="6"/>
        <v>366.15172416000001</v>
      </c>
    </row>
    <row r="439" spans="1:14" hidden="1" x14ac:dyDescent="0.25">
      <c r="A439" t="s">
        <v>1096</v>
      </c>
      <c r="B439" t="s">
        <v>1097</v>
      </c>
      <c r="C439" t="s">
        <v>1110</v>
      </c>
      <c r="F439" s="267"/>
      <c r="G439" s="2" t="s">
        <v>212</v>
      </c>
      <c r="I439" s="236">
        <v>686.53822143191314</v>
      </c>
      <c r="J439" s="3">
        <f t="shared" si="6"/>
        <v>-686.53822143191314</v>
      </c>
    </row>
    <row r="440" spans="1:14" hidden="1" x14ac:dyDescent="0.25">
      <c r="A440" t="s">
        <v>1098</v>
      </c>
      <c r="B440" t="s">
        <v>1099</v>
      </c>
      <c r="C440" t="s">
        <v>145</v>
      </c>
      <c r="D440" t="s">
        <v>18</v>
      </c>
      <c r="E440" t="s">
        <v>1122</v>
      </c>
      <c r="F440" s="267" t="s">
        <v>1164</v>
      </c>
      <c r="G440" s="2" t="s">
        <v>214</v>
      </c>
      <c r="H440" s="7"/>
      <c r="I440" s="236">
        <v>-1885788.5200000035</v>
      </c>
      <c r="J440" s="3">
        <f t="shared" si="6"/>
        <v>1885788.5200000035</v>
      </c>
    </row>
    <row r="441" spans="1:14" hidden="1" x14ac:dyDescent="0.25">
      <c r="A441" t="s">
        <v>1100</v>
      </c>
      <c r="B441" t="s">
        <v>1101</v>
      </c>
      <c r="C441" t="s">
        <v>145</v>
      </c>
      <c r="D441" t="s">
        <v>1135</v>
      </c>
      <c r="E441" t="s">
        <v>1122</v>
      </c>
      <c r="F441" s="267"/>
      <c r="G441" s="2" t="s">
        <v>214</v>
      </c>
      <c r="H441" s="7"/>
      <c r="I441" s="236">
        <v>-3158695.7710000034</v>
      </c>
      <c r="J441" s="3">
        <f t="shared" si="6"/>
        <v>3158695.7710000034</v>
      </c>
    </row>
    <row r="442" spans="1:14" hidden="1" x14ac:dyDescent="0.25">
      <c r="A442" t="s">
        <v>1102</v>
      </c>
      <c r="B442" t="s">
        <v>1103</v>
      </c>
      <c r="C442" t="s">
        <v>145</v>
      </c>
      <c r="D442" t="s">
        <v>29</v>
      </c>
      <c r="E442" t="s">
        <v>29</v>
      </c>
      <c r="F442" s="267" t="s">
        <v>1161</v>
      </c>
      <c r="G442" s="2" t="s">
        <v>214</v>
      </c>
      <c r="H442" s="7"/>
      <c r="I442" s="236">
        <v>-40119811.454329111</v>
      </c>
      <c r="J442" s="3">
        <f t="shared" si="6"/>
        <v>40119811.454329111</v>
      </c>
    </row>
    <row r="443" spans="1:14" hidden="1" x14ac:dyDescent="0.25">
      <c r="A443" s="242" t="s">
        <v>1104</v>
      </c>
      <c r="B443" s="243"/>
      <c r="C443" s="243"/>
      <c r="D443" s="243"/>
      <c r="E443" s="243"/>
      <c r="F443" s="243"/>
      <c r="G443" s="243"/>
      <c r="H443" s="276">
        <f>SUM(H5:H442)</f>
        <v>-754825958.62</v>
      </c>
      <c r="I443" s="276">
        <f>SUM(I5:I442)</f>
        <v>-763426925.05589962</v>
      </c>
      <c r="J443" s="276">
        <f>SUM(J5:J442)</f>
        <v>8600966.4358996525</v>
      </c>
      <c r="K443" s="7"/>
      <c r="L443" s="7"/>
      <c r="M443" s="3"/>
      <c r="N443" s="3"/>
    </row>
    <row r="444" spans="1:14" hidden="1" x14ac:dyDescent="0.25">
      <c r="H444" s="244"/>
      <c r="I444" s="244"/>
      <c r="J444" s="245"/>
    </row>
    <row r="445" spans="1:14" hidden="1" x14ac:dyDescent="0.25">
      <c r="A445" s="246"/>
    </row>
  </sheetData>
  <autoFilter ref="A4:K445">
    <filterColumn colId="6">
      <filters>
        <filter val="Generation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0"/>
  <sheetViews>
    <sheetView showGridLines="0" topLeftCell="I1" workbookViewId="0">
      <selection activeCell="N20" sqref="N20"/>
    </sheetView>
  </sheetViews>
  <sheetFormatPr defaultRowHeight="15" outlineLevelCol="1" x14ac:dyDescent="0.25"/>
  <cols>
    <col min="2" max="2" width="59" customWidth="1"/>
    <col min="3" max="4" width="17" customWidth="1"/>
    <col min="5" max="5" width="16" customWidth="1"/>
    <col min="10" max="10" width="14.28515625" bestFit="1" customWidth="1"/>
    <col min="11" max="12" width="20.140625" bestFit="1" customWidth="1"/>
    <col min="13" max="13" width="19.5703125" bestFit="1" customWidth="1"/>
    <col min="15" max="15" width="14.28515625" hidden="1" customWidth="1" outlineLevel="1"/>
    <col min="16" max="17" width="20.140625" hidden="1" customWidth="1" outlineLevel="1"/>
    <col min="18" max="18" width="19.5703125" hidden="1" customWidth="1" outlineLevel="1"/>
    <col min="19" max="19" width="9.140625" hidden="1" customWidth="1" outlineLevel="1"/>
    <col min="20" max="20" width="14.28515625" hidden="1" customWidth="1" outlineLevel="1"/>
    <col min="21" max="22" width="20.140625" hidden="1" customWidth="1" outlineLevel="1"/>
    <col min="23" max="23" width="19.5703125" hidden="1" customWidth="1" outlineLevel="1"/>
    <col min="24" max="24" width="9.140625" hidden="1" customWidth="1" outlineLevel="1"/>
    <col min="25" max="25" width="14.28515625" hidden="1" customWidth="1" outlineLevel="1"/>
    <col min="26" max="27" width="20.140625" hidden="1" customWidth="1" outlineLevel="1"/>
    <col min="28" max="28" width="19.5703125" hidden="1" customWidth="1" outlineLevel="1"/>
    <col min="29" max="29" width="9.140625" hidden="1" customWidth="1" outlineLevel="1"/>
    <col min="30" max="30" width="14.28515625" hidden="1" customWidth="1" outlineLevel="1"/>
    <col min="31" max="32" width="20.140625" hidden="1" customWidth="1" outlineLevel="1"/>
    <col min="33" max="33" width="19.5703125" hidden="1" customWidth="1" outlineLevel="1"/>
    <col min="34" max="34" width="9.140625" hidden="1" customWidth="1" outlineLevel="1"/>
    <col min="35" max="35" width="14.28515625" hidden="1" customWidth="1" outlineLevel="1"/>
    <col min="36" max="37" width="20.140625" hidden="1" customWidth="1" outlineLevel="1"/>
    <col min="38" max="38" width="19.5703125" hidden="1" customWidth="1" outlineLevel="1"/>
    <col min="39" max="39" width="9.140625" hidden="1" customWidth="1" outlineLevel="1"/>
    <col min="40" max="40" width="14.28515625" bestFit="1" customWidth="1" collapsed="1"/>
    <col min="41" max="42" width="20.140625" bestFit="1" customWidth="1"/>
    <col min="43" max="43" width="19.5703125" bestFit="1" customWidth="1"/>
    <col min="45" max="45" width="14.28515625" bestFit="1" customWidth="1"/>
    <col min="46" max="47" width="20.140625" bestFit="1" customWidth="1"/>
    <col min="48" max="48" width="19.5703125" bestFit="1" customWidth="1"/>
    <col min="50" max="51" width="10.85546875" bestFit="1" customWidth="1"/>
    <col min="52" max="52" width="9.85546875" bestFit="1" customWidth="1"/>
  </cols>
  <sheetData>
    <row r="2" spans="1:52" x14ac:dyDescent="0.25">
      <c r="J2" s="269" t="s">
        <v>193</v>
      </c>
      <c r="K2" s="270"/>
      <c r="L2" s="270"/>
      <c r="M2" s="271"/>
      <c r="O2" s="269" t="s">
        <v>145</v>
      </c>
      <c r="P2" s="270"/>
      <c r="Q2" s="270"/>
      <c r="R2" s="271"/>
      <c r="T2" s="269" t="s">
        <v>196</v>
      </c>
      <c r="U2" s="270"/>
      <c r="V2" s="270"/>
      <c r="W2" s="271"/>
      <c r="Y2" s="269" t="s">
        <v>1110</v>
      </c>
      <c r="Z2" s="270"/>
      <c r="AA2" s="270"/>
      <c r="AB2" s="271"/>
      <c r="AD2" s="269" t="s">
        <v>1111</v>
      </c>
      <c r="AE2" s="270"/>
      <c r="AF2" s="270"/>
      <c r="AG2" s="271"/>
      <c r="AI2" s="269" t="s">
        <v>1112</v>
      </c>
      <c r="AJ2" s="270"/>
      <c r="AK2" s="270"/>
      <c r="AL2" s="271"/>
      <c r="AN2" s="269" t="s">
        <v>145</v>
      </c>
      <c r="AO2" s="270"/>
      <c r="AP2" s="270"/>
      <c r="AQ2" s="271"/>
      <c r="AS2" s="269" t="s">
        <v>196</v>
      </c>
      <c r="AT2" s="270"/>
      <c r="AU2" s="270"/>
      <c r="AV2" s="271"/>
    </row>
    <row r="4" spans="1:52" x14ac:dyDescent="0.25">
      <c r="A4" s="228"/>
      <c r="B4" s="228"/>
      <c r="C4" s="228"/>
      <c r="D4" s="228"/>
      <c r="E4" s="228"/>
      <c r="F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T4" s="228"/>
      <c r="U4" s="228"/>
      <c r="V4" s="228"/>
      <c r="W4" s="228"/>
      <c r="Y4" s="228"/>
      <c r="Z4" s="228"/>
      <c r="AA4" s="228"/>
      <c r="AB4" s="228"/>
      <c r="AD4" s="228"/>
      <c r="AE4" s="228"/>
      <c r="AF4" s="228"/>
      <c r="AG4" s="228"/>
      <c r="AI4" s="228"/>
      <c r="AJ4" s="228"/>
      <c r="AK4" s="228"/>
      <c r="AL4" s="228"/>
      <c r="AN4" s="228"/>
      <c r="AO4" s="228"/>
      <c r="AP4" s="228"/>
      <c r="AQ4" s="228"/>
      <c r="AS4" s="228"/>
      <c r="AT4" s="228"/>
      <c r="AU4" s="228"/>
      <c r="AV4" s="228"/>
    </row>
    <row r="5" spans="1:52" ht="63" x14ac:dyDescent="0.25">
      <c r="A5" s="228"/>
      <c r="B5" s="247" t="s">
        <v>204</v>
      </c>
      <c r="C5" s="229" t="s">
        <v>205</v>
      </c>
      <c r="D5" s="229" t="s">
        <v>206</v>
      </c>
      <c r="E5" s="229" t="s">
        <v>207</v>
      </c>
      <c r="F5" s="228"/>
      <c r="H5" s="268"/>
      <c r="I5" s="228"/>
      <c r="J5" s="283" t="s">
        <v>1116</v>
      </c>
      <c r="K5" s="251" t="str">
        <f>C5</f>
        <v>Actual CWIP Closings</v>
      </c>
      <c r="L5" s="251" t="str">
        <f>D5</f>
        <v>Forecast CWIP Closings</v>
      </c>
      <c r="M5" s="252" t="s">
        <v>208</v>
      </c>
      <c r="N5" s="228"/>
      <c r="O5" s="250" t="s">
        <v>204</v>
      </c>
      <c r="P5" s="251" t="s">
        <v>205</v>
      </c>
      <c r="Q5" s="251" t="s">
        <v>206</v>
      </c>
      <c r="R5" s="252" t="s">
        <v>208</v>
      </c>
      <c r="T5" s="250" t="s">
        <v>204</v>
      </c>
      <c r="U5" s="251" t="s">
        <v>205</v>
      </c>
      <c r="V5" s="251" t="s">
        <v>206</v>
      </c>
      <c r="W5" s="252" t="s">
        <v>208</v>
      </c>
      <c r="Y5" s="250" t="s">
        <v>204</v>
      </c>
      <c r="Z5" s="251" t="s">
        <v>205</v>
      </c>
      <c r="AA5" s="251" t="s">
        <v>206</v>
      </c>
      <c r="AB5" s="252" t="s">
        <v>208</v>
      </c>
      <c r="AD5" s="250" t="s">
        <v>204</v>
      </c>
      <c r="AE5" s="251" t="s">
        <v>205</v>
      </c>
      <c r="AF5" s="251" t="s">
        <v>206</v>
      </c>
      <c r="AG5" s="252" t="s">
        <v>208</v>
      </c>
      <c r="AI5" s="250" t="s">
        <v>204</v>
      </c>
      <c r="AJ5" s="251" t="s">
        <v>205</v>
      </c>
      <c r="AK5" s="251" t="s">
        <v>206</v>
      </c>
      <c r="AL5" s="252" t="s">
        <v>208</v>
      </c>
      <c r="AN5" s="283" t="s">
        <v>1117</v>
      </c>
      <c r="AO5" s="251" t="s">
        <v>205</v>
      </c>
      <c r="AP5" s="251" t="s">
        <v>206</v>
      </c>
      <c r="AQ5" s="252" t="s">
        <v>208</v>
      </c>
      <c r="AS5" s="283" t="s">
        <v>1118</v>
      </c>
      <c r="AT5" s="251" t="s">
        <v>205</v>
      </c>
      <c r="AU5" s="251" t="s">
        <v>206</v>
      </c>
      <c r="AV5" s="252" t="s">
        <v>208</v>
      </c>
      <c r="AX5" s="282" t="s">
        <v>1113</v>
      </c>
      <c r="AY5" s="282" t="s">
        <v>1114</v>
      </c>
      <c r="AZ5" s="282" t="s">
        <v>1115</v>
      </c>
    </row>
    <row r="6" spans="1:52" ht="15.75" x14ac:dyDescent="0.25">
      <c r="A6" s="228"/>
      <c r="B6" s="2" t="s">
        <v>209</v>
      </c>
      <c r="C6" s="230">
        <v>-70117738.75</v>
      </c>
      <c r="D6" s="230">
        <v>-43815380.640624158</v>
      </c>
      <c r="E6" s="230">
        <v>-26302358.109375842</v>
      </c>
      <c r="F6" s="228"/>
      <c r="I6" s="228"/>
      <c r="J6" s="253" t="s">
        <v>210</v>
      </c>
      <c r="K6" s="254">
        <f>-VLOOKUP($J6,$B:$E,2,FALSE)</f>
        <v>19991035.830000002</v>
      </c>
      <c r="L6" s="254">
        <f>-VLOOKUP($J6,$B:$E,3,FALSE)</f>
        <v>9888258.8329603765</v>
      </c>
      <c r="M6" s="255">
        <f>-VLOOKUP($J6,$B:$E,4,FALSE)</f>
        <v>10102776.997039624</v>
      </c>
      <c r="N6" s="310"/>
      <c r="O6" s="253" t="s">
        <v>210</v>
      </c>
      <c r="P6" s="254">
        <f>-SUMIFS('Source Data - Act v Plan by WBS'!H:H,'Source Data - Act v Plan by WBS'!$G:$G,$O6,'Source Data - Act v Plan by WBS'!$C:$C,"Electric")</f>
        <v>5647778.0600000005</v>
      </c>
      <c r="Q6" s="254">
        <f>-SUMIFS('Source Data - Act v Plan by WBS'!I:I,'Source Data - Act v Plan by WBS'!$G:$G,$O6,'Source Data - Act v Plan by WBS'!$C:$C,"Electric")</f>
        <v>4468943.5273017157</v>
      </c>
      <c r="R6" s="255">
        <f>P6-Q6</f>
        <v>1178834.5326982848</v>
      </c>
      <c r="T6" s="253" t="s">
        <v>210</v>
      </c>
      <c r="U6" s="254">
        <f>-SUMIFS('Source Data - Act v Plan by WBS'!$H:$H,'Source Data - Act v Plan by WBS'!$G:$G,$O6,'Source Data - Act v Plan by WBS'!$C:$C,"Gas")</f>
        <v>156.16000000000003</v>
      </c>
      <c r="V6" s="254">
        <f>-SUMIFS('Source Data - Act v Plan by WBS'!$I:$I,'Source Data - Act v Plan by WBS'!$G:$G,$O6,'Source Data - Act v Plan by WBS'!$C:$C,"Gas")</f>
        <v>0</v>
      </c>
      <c r="W6" s="255">
        <f>U6-V6</f>
        <v>156.16000000000003</v>
      </c>
      <c r="Y6" s="253" t="s">
        <v>210</v>
      </c>
      <c r="Z6" s="254">
        <f>-SUMIFS('Source Data - Act v Plan by WBS'!$H:$H,'Source Data - Act v Plan by WBS'!$G:$G,$O6,'Source Data - Act v Plan by WBS'!$C:$C,"Common")</f>
        <v>14343101.609999999</v>
      </c>
      <c r="AA6" s="254">
        <f>-SUMIFS('Source Data - Act v Plan by WBS'!$I:$I,'Source Data - Act v Plan by WBS'!$G:$G,$O6,'Source Data - Act v Plan by WBS'!$C:$C,"Common")</f>
        <v>5419315.3056586608</v>
      </c>
      <c r="AB6" s="255">
        <f>Z6-AA6</f>
        <v>8923786.3043413386</v>
      </c>
      <c r="AD6" s="253" t="s">
        <v>210</v>
      </c>
      <c r="AE6" s="254">
        <f t="shared" ref="AE6:AF12" si="0">Z6*$AE$17</f>
        <v>9457841.2016339991</v>
      </c>
      <c r="AF6" s="254">
        <f t="shared" si="0"/>
        <v>3573496.5125513207</v>
      </c>
      <c r="AG6" s="255">
        <f>AE6-AF6</f>
        <v>5884344.6890826784</v>
      </c>
      <c r="AI6" s="253" t="s">
        <v>210</v>
      </c>
      <c r="AJ6" s="254">
        <f t="shared" ref="AJ6:AK12" si="1">Z6*$AJ$17</f>
        <v>4885260.4083660003</v>
      </c>
      <c r="AK6" s="254">
        <f t="shared" si="1"/>
        <v>1845818.7931073399</v>
      </c>
      <c r="AL6" s="255">
        <f>AJ6-AK6</f>
        <v>3039441.6152586602</v>
      </c>
      <c r="AN6" s="253" t="s">
        <v>210</v>
      </c>
      <c r="AO6" s="254">
        <f>P6+AE6</f>
        <v>15105619.261634</v>
      </c>
      <c r="AP6" s="254">
        <f t="shared" ref="AP6:AP12" si="2">Q6+AF6</f>
        <v>8042440.0398530364</v>
      </c>
      <c r="AQ6" s="255">
        <f>AO6-AP6</f>
        <v>7063179.2217809632</v>
      </c>
      <c r="AR6" s="310"/>
      <c r="AS6" s="253" t="s">
        <v>210</v>
      </c>
      <c r="AT6" s="254">
        <f>U6+AJ6</f>
        <v>4885416.5683660004</v>
      </c>
      <c r="AU6" s="254">
        <f t="shared" ref="AU6:AU12" si="3">V6+AK6</f>
        <v>1845818.7931073399</v>
      </c>
      <c r="AV6" s="255">
        <f>AT6-AU6</f>
        <v>3039597.7752586603</v>
      </c>
      <c r="AW6" s="310"/>
      <c r="AX6" s="265">
        <f>AT6+AO6-K6</f>
        <v>0</v>
      </c>
      <c r="AY6" s="265">
        <f t="shared" ref="AY6:AY13" si="4">AU6+AP6-L6</f>
        <v>0</v>
      </c>
      <c r="AZ6" s="265">
        <f t="shared" ref="AZ6:AZ13" si="5">AV6+AQ6-M6</f>
        <v>0</v>
      </c>
    </row>
    <row r="7" spans="1:52" ht="15.75" x14ac:dyDescent="0.25">
      <c r="A7" s="228"/>
      <c r="B7" s="231" t="s">
        <v>210</v>
      </c>
      <c r="C7" s="232">
        <v>-19991035.830000002</v>
      </c>
      <c r="D7" s="232">
        <v>-9888258.8329603765</v>
      </c>
      <c r="E7" s="232">
        <v>-10102776.997039624</v>
      </c>
      <c r="F7" s="228"/>
      <c r="I7" s="228"/>
      <c r="J7" s="253" t="s">
        <v>211</v>
      </c>
      <c r="K7" s="254">
        <f>-VLOOKUP($J7,$B:$E,2,FALSE)</f>
        <v>70738028.330000028</v>
      </c>
      <c r="L7" s="254">
        <f>-VLOOKUP($J7,$B:$E,3,FALSE)</f>
        <v>64807644.116046689</v>
      </c>
      <c r="M7" s="255">
        <f>-VLOOKUP($J7,$B:$E,4,FALSE)</f>
        <v>5930384.2139533209</v>
      </c>
      <c r="N7" s="310"/>
      <c r="O7" s="253" t="s">
        <v>211</v>
      </c>
      <c r="P7" s="254">
        <f>-SUMIFS('Source Data - Act v Plan by WBS'!H:H,'Source Data - Act v Plan by WBS'!$G:$G,$O7,'Source Data - Act v Plan by WBS'!$C:$C,"Electric")</f>
        <v>68714138.030000016</v>
      </c>
      <c r="Q7" s="254">
        <f>-SUMIFS('Source Data - Act v Plan by WBS'!I:I,'Source Data - Act v Plan by WBS'!$G:$G,$O7,'Source Data - Act v Plan by WBS'!$C:$C,"Electric")</f>
        <v>62077030.07616321</v>
      </c>
      <c r="R7" s="255">
        <f t="shared" ref="R7:R12" si="6">P7-Q7</f>
        <v>6637107.9538368061</v>
      </c>
      <c r="T7" s="253" t="s">
        <v>211</v>
      </c>
      <c r="U7" s="254">
        <f>-SUMIFS('Source Data - Act v Plan by WBS'!$H:$H,'Source Data - Act v Plan by WBS'!$G:$G,$O7,'Source Data - Act v Plan by WBS'!$C:$C,"Gas")</f>
        <v>2023890.3</v>
      </c>
      <c r="V7" s="254">
        <f>-SUMIFS('Source Data - Act v Plan by WBS'!$I:$I,'Source Data - Act v Plan by WBS'!$G:$G,$O7,'Source Data - Act v Plan by WBS'!$C:$C,"Gas")</f>
        <v>2730614.0398834795</v>
      </c>
      <c r="W7" s="255">
        <f t="shared" ref="W7:W12" si="7">U7-V7</f>
        <v>-706723.73988347943</v>
      </c>
      <c r="Y7" s="253" t="s">
        <v>211</v>
      </c>
      <c r="Z7" s="254">
        <f>-SUMIFS('Source Data - Act v Plan by WBS'!$H:$H,'Source Data - Act v Plan by WBS'!$G:$G,$O7,'Source Data - Act v Plan by WBS'!$C:$C,"Common")</f>
        <v>0</v>
      </c>
      <c r="AA7" s="254">
        <f>-SUMIFS('Source Data - Act v Plan by WBS'!$I:$I,'Source Data - Act v Plan by WBS'!$G:$G,$O7,'Source Data - Act v Plan by WBS'!$C:$C,"Common")</f>
        <v>0</v>
      </c>
      <c r="AB7" s="255">
        <f t="shared" ref="AB7:AB12" si="8">Z7-AA7</f>
        <v>0</v>
      </c>
      <c r="AD7" s="253" t="s">
        <v>211</v>
      </c>
      <c r="AE7" s="254">
        <f t="shared" si="0"/>
        <v>0</v>
      </c>
      <c r="AF7" s="254">
        <f t="shared" si="0"/>
        <v>0</v>
      </c>
      <c r="AG7" s="255">
        <f t="shared" ref="AG7:AG12" si="9">AE7-AF7</f>
        <v>0</v>
      </c>
      <c r="AI7" s="253" t="s">
        <v>211</v>
      </c>
      <c r="AJ7" s="254">
        <f t="shared" si="1"/>
        <v>0</v>
      </c>
      <c r="AK7" s="254">
        <f t="shared" si="1"/>
        <v>0</v>
      </c>
      <c r="AL7" s="255">
        <f t="shared" ref="AL7:AL12" si="10">AJ7-AK7</f>
        <v>0</v>
      </c>
      <c r="AN7" s="253" t="s">
        <v>211</v>
      </c>
      <c r="AO7" s="254">
        <f t="shared" ref="AO7:AO12" si="11">P7+AE7</f>
        <v>68714138.030000016</v>
      </c>
      <c r="AP7" s="254">
        <f t="shared" si="2"/>
        <v>62077030.07616321</v>
      </c>
      <c r="AQ7" s="255">
        <f t="shared" ref="AQ7:AQ12" si="12">AO7-AP7</f>
        <v>6637107.9538368061</v>
      </c>
      <c r="AR7" s="310"/>
      <c r="AS7" s="253" t="s">
        <v>211</v>
      </c>
      <c r="AT7" s="254">
        <f t="shared" ref="AT7:AT12" si="13">U7+AJ7</f>
        <v>2023890.3</v>
      </c>
      <c r="AU7" s="254">
        <f t="shared" si="3"/>
        <v>2730614.0398834795</v>
      </c>
      <c r="AV7" s="255">
        <f t="shared" ref="AV7:AV12" si="14">AT7-AU7</f>
        <v>-706723.73988347943</v>
      </c>
      <c r="AW7" s="310"/>
      <c r="AX7" s="265">
        <f t="shared" ref="AX7:AX13" si="15">AT7+AO7-K7</f>
        <v>0</v>
      </c>
      <c r="AY7" s="265">
        <f t="shared" si="4"/>
        <v>0</v>
      </c>
      <c r="AZ7" s="265">
        <f t="shared" si="5"/>
        <v>0</v>
      </c>
    </row>
    <row r="8" spans="1:52" ht="15.75" x14ac:dyDescent="0.25">
      <c r="A8" s="228"/>
      <c r="B8" s="231" t="s">
        <v>211</v>
      </c>
      <c r="C8" s="232">
        <v>-70738028.330000028</v>
      </c>
      <c r="D8" s="232">
        <v>-64807644.116046689</v>
      </c>
      <c r="E8" s="232">
        <v>-5930384.2139533209</v>
      </c>
      <c r="F8" s="228"/>
      <c r="I8" s="228"/>
      <c r="J8" s="253" t="s">
        <v>212</v>
      </c>
      <c r="K8" s="254">
        <f>-VLOOKUP($J8,$B:$E,2,FALSE)</f>
        <v>90643168.329999968</v>
      </c>
      <c r="L8" s="254">
        <f>-VLOOKUP($J8,$B:$E,3,FALSE)</f>
        <v>68168887.973906532</v>
      </c>
      <c r="M8" s="255">
        <f>-VLOOKUP($J8,$B:$E,4,FALSE)</f>
        <v>22474280.356093455</v>
      </c>
      <c r="N8" s="310"/>
      <c r="O8" s="253" t="s">
        <v>212</v>
      </c>
      <c r="P8" s="254">
        <f>-SUMIFS('Source Data - Act v Plan by WBS'!H:H,'Source Data - Act v Plan by WBS'!$G:$G,$O8,'Source Data - Act v Plan by WBS'!$C:$C,"Electric")</f>
        <v>16434757.189999999</v>
      </c>
      <c r="Q8" s="254">
        <f>-SUMIFS('Source Data - Act v Plan by WBS'!I:I,'Source Data - Act v Plan by WBS'!$G:$G,$O8,'Source Data - Act v Plan by WBS'!$C:$C,"Electric")</f>
        <v>12825714.416169934</v>
      </c>
      <c r="R8" s="255">
        <f t="shared" si="6"/>
        <v>3609042.7738300655</v>
      </c>
      <c r="T8" s="253" t="s">
        <v>212</v>
      </c>
      <c r="U8" s="254">
        <f>-SUMIFS('Source Data - Act v Plan by WBS'!$H:$H,'Source Data - Act v Plan by WBS'!$G:$G,$O8,'Source Data - Act v Plan by WBS'!$C:$C,"Gas")</f>
        <v>154790.97</v>
      </c>
      <c r="V8" s="254">
        <f>-SUMIFS('Source Data - Act v Plan by WBS'!$I:$I,'Source Data - Act v Plan by WBS'!$G:$G,$O8,'Source Data - Act v Plan by WBS'!$C:$C,"Gas")</f>
        <v>3113278.1971035767</v>
      </c>
      <c r="W8" s="255">
        <f t="shared" si="7"/>
        <v>-2958487.2271035765</v>
      </c>
      <c r="Y8" s="253" t="s">
        <v>212</v>
      </c>
      <c r="Z8" s="254">
        <f>-SUMIFS('Source Data - Act v Plan by WBS'!$H:$H,'Source Data - Act v Plan by WBS'!$G:$G,$O8,'Source Data - Act v Plan by WBS'!$C:$C,"Common")</f>
        <v>74053620.170000002</v>
      </c>
      <c r="AA8" s="254">
        <f>-SUMIFS('Source Data - Act v Plan by WBS'!$I:$I,'Source Data - Act v Plan by WBS'!$G:$G,$O8,'Source Data - Act v Plan by WBS'!$C:$C,"Common")</f>
        <v>52229895.360633038</v>
      </c>
      <c r="AB8" s="255">
        <f t="shared" si="8"/>
        <v>21823724.809366964</v>
      </c>
      <c r="AD8" s="253" t="s">
        <v>212</v>
      </c>
      <c r="AE8" s="254">
        <f t="shared" si="0"/>
        <v>48830957.140097998</v>
      </c>
      <c r="AF8" s="254">
        <f t="shared" si="0"/>
        <v>34440393.000801422</v>
      </c>
      <c r="AG8" s="255">
        <f t="shared" si="9"/>
        <v>14390564.139296576</v>
      </c>
      <c r="AI8" s="253" t="s">
        <v>212</v>
      </c>
      <c r="AJ8" s="254">
        <f t="shared" si="1"/>
        <v>25222663.029902</v>
      </c>
      <c r="AK8" s="254">
        <f t="shared" si="1"/>
        <v>17789502.359831613</v>
      </c>
      <c r="AL8" s="255">
        <f t="shared" si="10"/>
        <v>7433160.6700703874</v>
      </c>
      <c r="AN8" s="253" t="s">
        <v>212</v>
      </c>
      <c r="AO8" s="254">
        <f t="shared" si="11"/>
        <v>65265714.330097996</v>
      </c>
      <c r="AP8" s="254">
        <f t="shared" si="2"/>
        <v>47266107.416971356</v>
      </c>
      <c r="AQ8" s="255">
        <f t="shared" si="12"/>
        <v>17999606.91312664</v>
      </c>
      <c r="AR8" s="310"/>
      <c r="AS8" s="253" t="s">
        <v>212</v>
      </c>
      <c r="AT8" s="254">
        <f t="shared" si="13"/>
        <v>25377453.999901999</v>
      </c>
      <c r="AU8" s="254">
        <f t="shared" si="3"/>
        <v>20902780.556935191</v>
      </c>
      <c r="AV8" s="255">
        <f t="shared" si="14"/>
        <v>4474673.4429668076</v>
      </c>
      <c r="AW8" s="310"/>
      <c r="AX8" s="265">
        <f t="shared" si="15"/>
        <v>0</v>
      </c>
      <c r="AY8" s="265">
        <f t="shared" si="4"/>
        <v>0</v>
      </c>
      <c r="AZ8" s="265">
        <f t="shared" si="5"/>
        <v>0</v>
      </c>
    </row>
    <row r="9" spans="1:52" ht="15.75" x14ac:dyDescent="0.25">
      <c r="A9" s="228"/>
      <c r="B9" s="231" t="s">
        <v>212</v>
      </c>
      <c r="C9" s="232">
        <v>-90643168.329999968</v>
      </c>
      <c r="D9" s="232">
        <v>-68168887.973906532</v>
      </c>
      <c r="E9" s="232">
        <v>-22474280.356093455</v>
      </c>
      <c r="F9" s="228"/>
      <c r="I9" s="228"/>
      <c r="J9" s="253" t="s">
        <v>213</v>
      </c>
      <c r="K9" s="254">
        <f>-VLOOKUP($J9,$B:$E,2,FALSE)</f>
        <v>12524821.000000002</v>
      </c>
      <c r="L9" s="254">
        <f>-VLOOKUP($J9,$B:$E,3,FALSE)</f>
        <v>6996452.7829062259</v>
      </c>
      <c r="M9" s="255">
        <f>-VLOOKUP($J9,$B:$E,4,FALSE)</f>
        <v>5528368.217093775</v>
      </c>
      <c r="N9" s="310"/>
      <c r="O9" s="253" t="s">
        <v>213</v>
      </c>
      <c r="P9" s="254">
        <f>-SUMIFS('Source Data - Act v Plan by WBS'!H:H,'Source Data - Act v Plan by WBS'!$G:$G,$O9,'Source Data - Act v Plan by WBS'!$C:$C,"Electric")</f>
        <v>12339764.790000001</v>
      </c>
      <c r="Q9" s="254">
        <f>-SUMIFS('Source Data - Act v Plan by WBS'!I:I,'Source Data - Act v Plan by WBS'!$G:$G,$O9,'Source Data - Act v Plan by WBS'!$C:$C,"Electric")</f>
        <v>6996452.7829062259</v>
      </c>
      <c r="R9" s="255">
        <f t="shared" si="6"/>
        <v>5343312.0070937751</v>
      </c>
      <c r="T9" s="253" t="s">
        <v>213</v>
      </c>
      <c r="U9" s="254">
        <f>-SUMIFS('Source Data - Act v Plan by WBS'!$H:$H,'Source Data - Act v Plan by WBS'!$G:$G,$O9,'Source Data - Act v Plan by WBS'!$C:$C,"Gas")</f>
        <v>-62665.770000000011</v>
      </c>
      <c r="V9" s="254">
        <f>-SUMIFS('Source Data - Act v Plan by WBS'!$I:$I,'Source Data - Act v Plan by WBS'!$G:$G,$O9,'Source Data - Act v Plan by WBS'!$C:$C,"Gas")</f>
        <v>0</v>
      </c>
      <c r="W9" s="255">
        <f t="shared" si="7"/>
        <v>-62665.770000000011</v>
      </c>
      <c r="Y9" s="253" t="s">
        <v>213</v>
      </c>
      <c r="Z9" s="254">
        <f>-SUMIFS('Source Data - Act v Plan by WBS'!$H:$H,'Source Data - Act v Plan by WBS'!$G:$G,$O9,'Source Data - Act v Plan by WBS'!$C:$C,"Common")</f>
        <v>247721.98</v>
      </c>
      <c r="AA9" s="254">
        <f>-SUMIFS('Source Data - Act v Plan by WBS'!$I:$I,'Source Data - Act v Plan by WBS'!$G:$G,$O9,'Source Data - Act v Plan by WBS'!$C:$C,"Common")</f>
        <v>0</v>
      </c>
      <c r="AB9" s="255">
        <f t="shared" si="8"/>
        <v>247721.98</v>
      </c>
      <c r="AD9" s="253" t="s">
        <v>213</v>
      </c>
      <c r="AE9" s="254">
        <f t="shared" si="0"/>
        <v>163347.873612</v>
      </c>
      <c r="AF9" s="254">
        <f t="shared" si="0"/>
        <v>0</v>
      </c>
      <c r="AG9" s="255">
        <f t="shared" si="9"/>
        <v>163347.873612</v>
      </c>
      <c r="AI9" s="253" t="s">
        <v>213</v>
      </c>
      <c r="AJ9" s="254">
        <f t="shared" si="1"/>
        <v>84374.106388</v>
      </c>
      <c r="AK9" s="254">
        <f t="shared" si="1"/>
        <v>0</v>
      </c>
      <c r="AL9" s="255">
        <f t="shared" si="10"/>
        <v>84374.106388</v>
      </c>
      <c r="AN9" s="253" t="s">
        <v>213</v>
      </c>
      <c r="AO9" s="254">
        <f t="shared" si="11"/>
        <v>12503112.663612001</v>
      </c>
      <c r="AP9" s="254">
        <f t="shared" si="2"/>
        <v>6996452.7829062259</v>
      </c>
      <c r="AQ9" s="255">
        <f t="shared" si="12"/>
        <v>5506659.8807057748</v>
      </c>
      <c r="AR9" s="310"/>
      <c r="AS9" s="253" t="s">
        <v>213</v>
      </c>
      <c r="AT9" s="254">
        <f t="shared" si="13"/>
        <v>21708.336387999989</v>
      </c>
      <c r="AU9" s="254">
        <f t="shared" si="3"/>
        <v>0</v>
      </c>
      <c r="AV9" s="255">
        <f t="shared" si="14"/>
        <v>21708.336387999989</v>
      </c>
      <c r="AW9" s="310"/>
      <c r="AX9" s="265">
        <f t="shared" si="15"/>
        <v>0</v>
      </c>
      <c r="AY9" s="265">
        <f t="shared" si="4"/>
        <v>0</v>
      </c>
      <c r="AZ9" s="265">
        <f t="shared" si="5"/>
        <v>0</v>
      </c>
    </row>
    <row r="10" spans="1:52" ht="15.75" x14ac:dyDescent="0.25">
      <c r="A10" s="228"/>
      <c r="B10" s="231" t="s">
        <v>213</v>
      </c>
      <c r="C10" s="232">
        <v>-12524821.000000002</v>
      </c>
      <c r="D10" s="232">
        <v>-6996452.7829062259</v>
      </c>
      <c r="E10" s="232">
        <v>-5528368.217093775</v>
      </c>
      <c r="F10" s="228"/>
      <c r="I10" s="228"/>
      <c r="J10" s="253" t="s">
        <v>214</v>
      </c>
      <c r="K10" s="254">
        <f>-VLOOKUP($J10,$B:$E,2,FALSE)-VLOOKUP("AMI",$B:$E,2,FALSE)</f>
        <v>547344782.75999999</v>
      </c>
      <c r="L10" s="254">
        <f>-VLOOKUP($J10,$B:$E,3,FALSE)-VLOOKUP("AMI",$B:$E,3,FALSE)</f>
        <v>607715992.0334177</v>
      </c>
      <c r="M10" s="255">
        <f>-VLOOKUP($J10,$B:$E,4,FALSE)-VLOOKUP("AMI",$B:$E,4,FALSE)</f>
        <v>-60371209.273418032</v>
      </c>
      <c r="N10" s="310"/>
      <c r="O10" s="253" t="s">
        <v>214</v>
      </c>
      <c r="P10" s="254">
        <f>-SUMIFS('Source Data - Act v Plan by WBS'!H:H,'Source Data - Act v Plan by WBS'!$G:$G,$O10,'Source Data - Act v Plan by WBS'!$C:$C,"Electric")+-SUMIFS('Source Data - Act v Plan by WBS'!H:H,'Source Data - Act v Plan by WBS'!$G:$G,"AMI",'Source Data - Act v Plan by WBS'!$C:$C,"Electric")</f>
        <v>332742388.29999995</v>
      </c>
      <c r="Q10" s="254">
        <f>-SUMIFS('Source Data - Act v Plan by WBS'!I:I,'Source Data - Act v Plan by WBS'!$G:$G,$O10,'Source Data - Act v Plan by WBS'!$C:$C,"Electric")+-SUMIFS('Source Data - Act v Plan by WBS'!I:I,'Source Data - Act v Plan by WBS'!$G:$G,"AMI",'Source Data - Act v Plan by WBS'!$C:$C,"Electric")</f>
        <v>333378143.47723538</v>
      </c>
      <c r="R10" s="255">
        <f t="shared" si="6"/>
        <v>-635755.17723542452</v>
      </c>
      <c r="T10" s="253" t="s">
        <v>214</v>
      </c>
      <c r="U10" s="254">
        <f>-SUMIFS('Source Data - Act v Plan by WBS'!$H:$H,'Source Data - Act v Plan by WBS'!$G:$G,$O10,'Source Data - Act v Plan by WBS'!$C:$C,"Gas")+-SUMIFS('Source Data - Act v Plan by WBS'!$H:$H,'Source Data - Act v Plan by WBS'!$G:$G,"AMI",'Source Data - Act v Plan by WBS'!$C:$C,"Gas")</f>
        <v>210605885.11000001</v>
      </c>
      <c r="V10" s="254">
        <f>-SUMIFS('Source Data - Act v Plan by WBS'!$I:$I,'Source Data - Act v Plan by WBS'!$G:$G,$O10,'Source Data - Act v Plan by WBS'!$C:$C,"Gas")+-SUMIFS('Source Data - Act v Plan by WBS'!$I:$I,'Source Data - Act v Plan by WBS'!$G:$G,"AMI",'Source Data - Act v Plan by WBS'!$C:$C,"Gas")</f>
        <v>231058978.1111798</v>
      </c>
      <c r="W10" s="255">
        <f t="shared" si="7"/>
        <v>-20453093.001179785</v>
      </c>
      <c r="Y10" s="253" t="s">
        <v>214</v>
      </c>
      <c r="Z10" s="254">
        <f>-SUMIFS('Source Data - Act v Plan by WBS'!$H:$H,'Source Data - Act v Plan by WBS'!$G:$G,$O10,'Source Data - Act v Plan by WBS'!$C:$C,"Common")+-SUMIFS('Source Data - Act v Plan by WBS'!$H:$H,'Source Data - Act v Plan by WBS'!$G:$G,"AMI",'Source Data - Act v Plan by WBS'!$C:$C,"Common")</f>
        <v>3996509.3500000006</v>
      </c>
      <c r="AA10" s="254">
        <f>-SUMIFS('Source Data - Act v Plan by WBS'!$I:$I,'Source Data - Act v Plan by WBS'!$G:$G,$O10,'Source Data - Act v Plan by WBS'!$C:$C,"Common")+-SUMIFS('Source Data - Act v Plan by WBS'!$I:$I,'Source Data - Act v Plan by WBS'!$G:$G,"AMI",'Source Data - Act v Plan by WBS'!$C:$C,"Common")</f>
        <v>43278870.445002936</v>
      </c>
      <c r="AB10" s="255">
        <f t="shared" si="8"/>
        <v>-39282361.095002934</v>
      </c>
      <c r="AD10" s="253" t="s">
        <v>214</v>
      </c>
      <c r="AE10" s="254">
        <f t="shared" si="0"/>
        <v>2635298.2653900003</v>
      </c>
      <c r="AF10" s="254">
        <f t="shared" si="0"/>
        <v>28538087.171434935</v>
      </c>
      <c r="AG10" s="255">
        <f t="shared" si="9"/>
        <v>-25902788.906044934</v>
      </c>
      <c r="AI10" s="253" t="s">
        <v>214</v>
      </c>
      <c r="AJ10" s="254">
        <f t="shared" si="1"/>
        <v>1361211.0846100003</v>
      </c>
      <c r="AK10" s="254">
        <f t="shared" si="1"/>
        <v>14740783.273568001</v>
      </c>
      <c r="AL10" s="255">
        <f t="shared" si="10"/>
        <v>-13379572.188958</v>
      </c>
      <c r="AN10" s="253" t="s">
        <v>214</v>
      </c>
      <c r="AO10" s="254">
        <f t="shared" si="11"/>
        <v>335377686.56538993</v>
      </c>
      <c r="AP10" s="254">
        <f t="shared" si="2"/>
        <v>361916230.64867032</v>
      </c>
      <c r="AQ10" s="255">
        <f t="shared" si="12"/>
        <v>-26538544.083280385</v>
      </c>
      <c r="AR10" s="310"/>
      <c r="AS10" s="253" t="s">
        <v>214</v>
      </c>
      <c r="AT10" s="254">
        <f t="shared" si="13"/>
        <v>211967096.19461</v>
      </c>
      <c r="AU10" s="254">
        <f t="shared" si="3"/>
        <v>245799761.3847478</v>
      </c>
      <c r="AV10" s="255">
        <f t="shared" si="14"/>
        <v>-33832665.190137804</v>
      </c>
      <c r="AW10" s="310"/>
      <c r="AX10" s="265">
        <f t="shared" si="15"/>
        <v>0</v>
      </c>
      <c r="AY10" s="265">
        <f t="shared" si="4"/>
        <v>0</v>
      </c>
      <c r="AZ10" s="265">
        <f t="shared" si="5"/>
        <v>-1.5646219253540039E-7</v>
      </c>
    </row>
    <row r="11" spans="1:52" ht="15.75" x14ac:dyDescent="0.25">
      <c r="A11" s="228"/>
      <c r="B11" s="248" t="s">
        <v>420</v>
      </c>
      <c r="C11" s="232">
        <v>-12524821.000000002</v>
      </c>
      <c r="D11" s="232">
        <v>-6996452.7829062259</v>
      </c>
      <c r="E11" s="232">
        <v>-5528368.217093775</v>
      </c>
      <c r="F11" s="228"/>
      <c r="I11" s="228"/>
      <c r="J11" s="253" t="s">
        <v>1105</v>
      </c>
      <c r="K11" s="254">
        <f>-VLOOKUP($J11,$B:$E,2,FALSE)</f>
        <v>8127099.3499999996</v>
      </c>
      <c r="L11" s="254">
        <f>-VLOOKUP($J11,$B:$E,3,FALSE)</f>
        <v>3675133.444678368</v>
      </c>
      <c r="M11" s="255">
        <f>-VLOOKUP($J11,$B:$E,4,FALSE)</f>
        <v>4451965.9053216306</v>
      </c>
      <c r="N11" s="310"/>
      <c r="O11" s="253" t="s">
        <v>1105</v>
      </c>
      <c r="P11" s="254">
        <f>-SUMIFS('Source Data - Act v Plan by WBS'!H:H,'Source Data - Act v Plan by WBS'!$G:$G,$O11,'Source Data - Act v Plan by WBS'!$C:$C,"Electric")</f>
        <v>8127099.3499999996</v>
      </c>
      <c r="Q11" s="254">
        <f>-SUMIFS('Source Data - Act v Plan by WBS'!I:I,'Source Data - Act v Plan by WBS'!$G:$G,$O11,'Source Data - Act v Plan by WBS'!$C:$C,"Electric")</f>
        <v>3675133.444678368</v>
      </c>
      <c r="R11" s="255">
        <f t="shared" si="6"/>
        <v>4451965.9053216316</v>
      </c>
      <c r="T11" s="253" t="s">
        <v>1105</v>
      </c>
      <c r="U11" s="254">
        <f>-SUMIFS('Source Data - Act v Plan by WBS'!$H:$H,'Source Data - Act v Plan by WBS'!$G:$G,$O11,'Source Data - Act v Plan by WBS'!$C:$C,"Gas")</f>
        <v>0</v>
      </c>
      <c r="V11" s="254">
        <f>-SUMIFS('Source Data - Act v Plan by WBS'!$I:$I,'Source Data - Act v Plan by WBS'!$G:$G,$O11,'Source Data - Act v Plan by WBS'!$C:$C,"Gas")</f>
        <v>0</v>
      </c>
      <c r="W11" s="255">
        <f t="shared" si="7"/>
        <v>0</v>
      </c>
      <c r="Y11" s="253" t="s">
        <v>1105</v>
      </c>
      <c r="Z11" s="254">
        <f>-SUMIFS('Source Data - Act v Plan by WBS'!$H:$H,'Source Data - Act v Plan by WBS'!$G:$G,$O11,'Source Data - Act v Plan by WBS'!$C:$C,"Common")</f>
        <v>0</v>
      </c>
      <c r="AA11" s="254">
        <f>-SUMIFS('Source Data - Act v Plan by WBS'!$I:$I,'Source Data - Act v Plan by WBS'!$G:$G,$O11,'Source Data - Act v Plan by WBS'!$C:$C,"Common")</f>
        <v>0</v>
      </c>
      <c r="AB11" s="255">
        <f t="shared" si="8"/>
        <v>0</v>
      </c>
      <c r="AD11" s="253" t="s">
        <v>1105</v>
      </c>
      <c r="AE11" s="254">
        <f t="shared" si="0"/>
        <v>0</v>
      </c>
      <c r="AF11" s="254">
        <f t="shared" si="0"/>
        <v>0</v>
      </c>
      <c r="AG11" s="255">
        <f t="shared" si="9"/>
        <v>0</v>
      </c>
      <c r="AI11" s="253" t="s">
        <v>1105</v>
      </c>
      <c r="AJ11" s="254">
        <f t="shared" si="1"/>
        <v>0</v>
      </c>
      <c r="AK11" s="254">
        <f t="shared" si="1"/>
        <v>0</v>
      </c>
      <c r="AL11" s="255">
        <f t="shared" si="10"/>
        <v>0</v>
      </c>
      <c r="AN11" s="253" t="s">
        <v>1105</v>
      </c>
      <c r="AO11" s="254">
        <f t="shared" si="11"/>
        <v>8127099.3499999996</v>
      </c>
      <c r="AP11" s="254">
        <f t="shared" si="2"/>
        <v>3675133.444678368</v>
      </c>
      <c r="AQ11" s="255">
        <f t="shared" si="12"/>
        <v>4451965.9053216316</v>
      </c>
      <c r="AR11" s="310"/>
      <c r="AS11" s="253" t="s">
        <v>1105</v>
      </c>
      <c r="AT11" s="254">
        <f t="shared" si="13"/>
        <v>0</v>
      </c>
      <c r="AU11" s="254">
        <f t="shared" si="3"/>
        <v>0</v>
      </c>
      <c r="AV11" s="255">
        <f t="shared" si="14"/>
        <v>0</v>
      </c>
      <c r="AW11" s="310"/>
      <c r="AX11" s="265">
        <f t="shared" si="15"/>
        <v>0</v>
      </c>
      <c r="AY11" s="265">
        <f t="shared" si="4"/>
        <v>0</v>
      </c>
      <c r="AZ11" s="265">
        <f t="shared" si="5"/>
        <v>0</v>
      </c>
    </row>
    <row r="12" spans="1:52" ht="15.75" x14ac:dyDescent="0.25">
      <c r="A12" s="228"/>
      <c r="B12" s="249" t="s">
        <v>419</v>
      </c>
      <c r="C12" s="232">
        <v>-247721.98</v>
      </c>
      <c r="D12" s="232">
        <v>0</v>
      </c>
      <c r="E12" s="232">
        <v>-247721.98</v>
      </c>
      <c r="F12" s="228"/>
      <c r="I12" s="228"/>
      <c r="J12" s="253" t="s">
        <v>215</v>
      </c>
      <c r="K12" s="254">
        <f>-VLOOKUP($J12,$B:$E,2,FALSE)</f>
        <v>5457023.0199999996</v>
      </c>
      <c r="L12" s="254">
        <f>-VLOOKUP($J12,$B:$E,3,FALSE)</f>
        <v>2174555.8719835016</v>
      </c>
      <c r="M12" s="255">
        <f>-VLOOKUP($J12,$B:$E,4,FALSE)</f>
        <v>3282467.148016498</v>
      </c>
      <c r="N12" s="310"/>
      <c r="O12" s="253" t="s">
        <v>215</v>
      </c>
      <c r="P12" s="254">
        <f>-SUMIFS('Source Data - Act v Plan by WBS'!H:H,'Source Data - Act v Plan by WBS'!$G:$G,$O12,'Source Data - Act v Plan by WBS'!$C:$C,"Electric")</f>
        <v>5219762.0599999996</v>
      </c>
      <c r="Q12" s="254">
        <f>-SUMIFS('Source Data - Act v Plan by WBS'!I:I,'Source Data - Act v Plan by WBS'!$G:$G,$O12,'Source Data - Act v Plan by WBS'!$C:$C,"Electric")</f>
        <v>2094343.3149599999</v>
      </c>
      <c r="R12" s="255">
        <f t="shared" si="6"/>
        <v>3125418.7450399995</v>
      </c>
      <c r="T12" s="253" t="s">
        <v>215</v>
      </c>
      <c r="U12" s="254">
        <f>-SUMIFS('Source Data - Act v Plan by WBS'!$H:$H,'Source Data - Act v Plan by WBS'!$G:$G,$O12,'Source Data - Act v Plan by WBS'!$C:$C,"Gas")</f>
        <v>237260.96000000002</v>
      </c>
      <c r="V12" s="254">
        <f>-SUMIFS('Source Data - Act v Plan by WBS'!$I:$I,'Source Data - Act v Plan by WBS'!$G:$G,$O12,'Source Data - Act v Plan by WBS'!$C:$C,"Gas")</f>
        <v>80212.557023501562</v>
      </c>
      <c r="W12" s="255">
        <f t="shared" si="7"/>
        <v>157048.40297649847</v>
      </c>
      <c r="Y12" s="253" t="s">
        <v>215</v>
      </c>
      <c r="Z12" s="254">
        <f>-SUMIFS('Source Data - Act v Plan by WBS'!$H:$H,'Source Data - Act v Plan by WBS'!$G:$G,$O12,'Source Data - Act v Plan by WBS'!$C:$C,"Common")</f>
        <v>0</v>
      </c>
      <c r="AA12" s="254">
        <f>-SUMIFS('Source Data - Act v Plan by WBS'!$I:$I,'Source Data - Act v Plan by WBS'!$G:$G,$O12,'Source Data - Act v Plan by WBS'!$C:$C,"Common")</f>
        <v>0</v>
      </c>
      <c r="AB12" s="255">
        <f t="shared" si="8"/>
        <v>0</v>
      </c>
      <c r="AD12" s="253" t="s">
        <v>215</v>
      </c>
      <c r="AE12" s="254">
        <f t="shared" si="0"/>
        <v>0</v>
      </c>
      <c r="AF12" s="254">
        <f t="shared" si="0"/>
        <v>0</v>
      </c>
      <c r="AG12" s="255">
        <f t="shared" si="9"/>
        <v>0</v>
      </c>
      <c r="AI12" s="253" t="s">
        <v>215</v>
      </c>
      <c r="AJ12" s="254">
        <f t="shared" si="1"/>
        <v>0</v>
      </c>
      <c r="AK12" s="254">
        <f t="shared" si="1"/>
        <v>0</v>
      </c>
      <c r="AL12" s="255">
        <f t="shared" si="10"/>
        <v>0</v>
      </c>
      <c r="AN12" s="253" t="s">
        <v>215</v>
      </c>
      <c r="AO12" s="254">
        <f t="shared" si="11"/>
        <v>5219762.0599999996</v>
      </c>
      <c r="AP12" s="254">
        <f t="shared" si="2"/>
        <v>2094343.3149599999</v>
      </c>
      <c r="AQ12" s="255">
        <f t="shared" si="12"/>
        <v>3125418.7450399995</v>
      </c>
      <c r="AR12" s="310"/>
      <c r="AS12" s="253" t="s">
        <v>215</v>
      </c>
      <c r="AT12" s="254">
        <f t="shared" si="13"/>
        <v>237260.96000000002</v>
      </c>
      <c r="AU12" s="254">
        <f t="shared" si="3"/>
        <v>80212.557023501562</v>
      </c>
      <c r="AV12" s="255">
        <f t="shared" si="14"/>
        <v>157048.40297649847</v>
      </c>
      <c r="AW12" s="310"/>
      <c r="AX12" s="265">
        <f t="shared" si="15"/>
        <v>0</v>
      </c>
      <c r="AY12" s="265">
        <f t="shared" si="4"/>
        <v>0</v>
      </c>
      <c r="AZ12" s="265">
        <f t="shared" si="5"/>
        <v>0</v>
      </c>
    </row>
    <row r="13" spans="1:52" ht="15.75" x14ac:dyDescent="0.25">
      <c r="A13" s="228"/>
      <c r="B13" s="249" t="s">
        <v>743</v>
      </c>
      <c r="C13" s="232">
        <v>-10254.730000000001</v>
      </c>
      <c r="D13" s="232">
        <v>-1202422.340939404</v>
      </c>
      <c r="E13" s="232">
        <v>1192167.610939404</v>
      </c>
      <c r="F13" s="228"/>
      <c r="I13" s="228"/>
      <c r="J13" s="256" t="s">
        <v>38</v>
      </c>
      <c r="K13" s="257">
        <f>-VLOOKUP($J13,$B:$E,2,FALSE)</f>
        <v>754825958.62</v>
      </c>
      <c r="L13" s="257">
        <f>-VLOOKUP($J13,$B:$E,3,FALSE)</f>
        <v>763426925.05589938</v>
      </c>
      <c r="M13" s="258">
        <f>-VLOOKUP($J13,$B:$E,4,FALSE)</f>
        <v>-8600966.4358997308</v>
      </c>
      <c r="N13" s="310"/>
      <c r="O13" s="256" t="s">
        <v>38</v>
      </c>
      <c r="P13" s="257">
        <f>SUM(P6:P12)</f>
        <v>449225687.78000003</v>
      </c>
      <c r="Q13" s="257">
        <f>SUM(Q6:Q12)</f>
        <v>425515761.03941482</v>
      </c>
      <c r="R13" s="258">
        <f>SUM(R6:R12)</f>
        <v>23709926.740585137</v>
      </c>
      <c r="T13" s="256" t="s">
        <v>38</v>
      </c>
      <c r="U13" s="257">
        <f>SUM(U6:U12)</f>
        <v>212959317.73000002</v>
      </c>
      <c r="V13" s="257">
        <f>SUM(V6:V12)</f>
        <v>236983082.90519035</v>
      </c>
      <c r="W13" s="258">
        <f>SUM(W6:W12)</f>
        <v>-24023765.175190344</v>
      </c>
      <c r="Y13" s="256" t="s">
        <v>38</v>
      </c>
      <c r="Z13" s="257">
        <f>SUM(Z6:Z12)</f>
        <v>92640953.109999999</v>
      </c>
      <c r="AA13" s="257">
        <f>SUM(AA6:AA12)</f>
        <v>100928081.11129463</v>
      </c>
      <c r="AB13" s="258">
        <f>SUM(AB6:AB12)</f>
        <v>-8287128.0012946315</v>
      </c>
      <c r="AD13" s="256" t="s">
        <v>38</v>
      </c>
      <c r="AE13" s="257">
        <f>SUM(AE6:AE12)</f>
        <v>61087444.480733998</v>
      </c>
      <c r="AF13" s="257">
        <f>SUM(AF6:AF12)</f>
        <v>66551976.684787676</v>
      </c>
      <c r="AG13" s="258">
        <f>SUM(AG6:AG12)</f>
        <v>-5464532.2040536776</v>
      </c>
      <c r="AI13" s="256" t="s">
        <v>38</v>
      </c>
      <c r="AJ13" s="257">
        <f>SUM(AJ6:AJ12)</f>
        <v>31553508.629265998</v>
      </c>
      <c r="AK13" s="257">
        <f>SUM(AK6:AK12)</f>
        <v>34376104.426506951</v>
      </c>
      <c r="AL13" s="258">
        <f>SUM(AL6:AL12)</f>
        <v>-2822595.797240952</v>
      </c>
      <c r="AN13" s="256" t="s">
        <v>38</v>
      </c>
      <c r="AO13" s="257">
        <f>SUM(AO6:AO12)</f>
        <v>510313132.26073402</v>
      </c>
      <c r="AP13" s="257">
        <f>SUM(AP6:AP12)</f>
        <v>492067737.72420251</v>
      </c>
      <c r="AQ13" s="258">
        <f>SUM(AQ6:AQ12)</f>
        <v>18245394.53653143</v>
      </c>
      <c r="AR13" s="310"/>
      <c r="AS13" s="256" t="s">
        <v>38</v>
      </c>
      <c r="AT13" s="257">
        <f>SUM(AT6:AT12)</f>
        <v>244512826.35926601</v>
      </c>
      <c r="AU13" s="257">
        <f>SUM(AU6:AU12)</f>
        <v>271359187.33169734</v>
      </c>
      <c r="AV13" s="258">
        <f>SUM(AV6:AV12)</f>
        <v>-26846360.972431317</v>
      </c>
      <c r="AW13" s="310"/>
      <c r="AX13" s="265">
        <f t="shared" si="15"/>
        <v>0</v>
      </c>
      <c r="AY13" s="265">
        <f t="shared" si="4"/>
        <v>0</v>
      </c>
      <c r="AZ13" s="265">
        <f t="shared" si="5"/>
        <v>-1.5646219253540039E-7</v>
      </c>
    </row>
    <row r="14" spans="1:52" x14ac:dyDescent="0.25">
      <c r="A14" s="228"/>
      <c r="B14" s="249" t="s">
        <v>1045</v>
      </c>
      <c r="C14" s="232">
        <v>-2299605.5499999998</v>
      </c>
      <c r="D14" s="232">
        <v>-3238842.3947134488</v>
      </c>
      <c r="E14" s="232">
        <v>939236.84471344901</v>
      </c>
      <c r="F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T14" s="228"/>
      <c r="U14" s="228"/>
      <c r="V14" s="228"/>
      <c r="W14" s="228"/>
      <c r="Y14" s="228"/>
      <c r="Z14" s="228"/>
      <c r="AA14" s="228"/>
      <c r="AB14" s="228"/>
      <c r="AD14" s="228"/>
      <c r="AE14" s="228"/>
      <c r="AF14" s="228"/>
      <c r="AG14" s="228"/>
      <c r="AI14" s="228"/>
      <c r="AJ14" s="228"/>
      <c r="AK14" s="228"/>
      <c r="AL14" s="228"/>
      <c r="AN14" s="228"/>
      <c r="AO14" s="228"/>
      <c r="AP14" s="228"/>
      <c r="AQ14" s="228"/>
      <c r="AS14" s="228"/>
      <c r="AT14" s="228"/>
      <c r="AU14" s="228"/>
      <c r="AV14" s="228"/>
    </row>
    <row r="15" spans="1:52" x14ac:dyDescent="0.25">
      <c r="B15" s="249" t="s">
        <v>1047</v>
      </c>
      <c r="C15" s="232">
        <v>-1336724.8999999997</v>
      </c>
      <c r="D15" s="232">
        <v>-1092137.5806285986</v>
      </c>
      <c r="E15" s="232">
        <v>-244587.3193714011</v>
      </c>
    </row>
    <row r="16" spans="1:52" x14ac:dyDescent="0.25">
      <c r="B16" s="249" t="s">
        <v>1049</v>
      </c>
      <c r="C16" s="232">
        <v>-1617272.2700000003</v>
      </c>
      <c r="D16" s="232">
        <v>-226460.70384112062</v>
      </c>
      <c r="E16" s="232">
        <v>-1390811.5661588795</v>
      </c>
      <c r="K16" s="265">
        <f>SUM(K6:K12)-K13</f>
        <v>0</v>
      </c>
      <c r="L16" s="265">
        <f>SUM(L6:L12)-L13</f>
        <v>0</v>
      </c>
      <c r="M16" s="265">
        <f>SUM(M6:M12)-M13</f>
        <v>0</v>
      </c>
      <c r="Q16" s="265"/>
      <c r="R16" s="265"/>
      <c r="U16" s="265"/>
      <c r="V16" s="265"/>
      <c r="W16" s="265"/>
      <c r="Z16" s="265"/>
      <c r="AA16" s="265"/>
      <c r="AB16" s="265"/>
      <c r="AF16" s="265"/>
      <c r="AG16" s="265"/>
      <c r="AJ16" s="265"/>
      <c r="AK16" s="265"/>
      <c r="AL16" s="265"/>
      <c r="AO16" s="265"/>
      <c r="AP16" s="265"/>
      <c r="AQ16" s="265"/>
      <c r="AT16" s="265"/>
      <c r="AU16" s="265"/>
      <c r="AV16" s="265"/>
    </row>
    <row r="17" spans="2:36" x14ac:dyDescent="0.25">
      <c r="B17" s="249" t="s">
        <v>1051</v>
      </c>
      <c r="C17" s="232">
        <v>-2806755.14</v>
      </c>
      <c r="D17" s="232">
        <v>-791774.94851725642</v>
      </c>
      <c r="E17" s="232">
        <v>-2014980.1914827437</v>
      </c>
      <c r="AD17" s="280" t="s">
        <v>145</v>
      </c>
      <c r="AE17" s="281">
        <v>0.65939999999999999</v>
      </c>
      <c r="AI17" s="280" t="s">
        <v>196</v>
      </c>
      <c r="AJ17" s="281">
        <v>0.34060000000000001</v>
      </c>
    </row>
    <row r="18" spans="2:36" x14ac:dyDescent="0.25">
      <c r="B18" s="249" t="s">
        <v>1053</v>
      </c>
      <c r="C18" s="232">
        <v>-144034.18</v>
      </c>
      <c r="D18" s="232">
        <v>0</v>
      </c>
      <c r="E18" s="232">
        <v>-144034.18</v>
      </c>
    </row>
    <row r="19" spans="2:36" x14ac:dyDescent="0.25">
      <c r="B19" s="249" t="s">
        <v>1055</v>
      </c>
      <c r="C19" s="232">
        <v>0</v>
      </c>
      <c r="D19" s="232">
        <v>-444814.81426639721</v>
      </c>
      <c r="E19" s="232">
        <v>444814.81426639721</v>
      </c>
    </row>
    <row r="20" spans="2:36" x14ac:dyDescent="0.25">
      <c r="B20" s="249" t="s">
        <v>1057</v>
      </c>
      <c r="C20" s="232">
        <v>-2093226.5499999998</v>
      </c>
      <c r="D20" s="232">
        <v>0</v>
      </c>
      <c r="E20" s="232">
        <v>-2093226.5499999998</v>
      </c>
    </row>
    <row r="21" spans="2:36" x14ac:dyDescent="0.25">
      <c r="B21" s="249" t="s">
        <v>1059</v>
      </c>
      <c r="C21" s="232">
        <v>-2032922.06</v>
      </c>
      <c r="D21" s="232">
        <v>0</v>
      </c>
      <c r="E21" s="232">
        <v>-2032922.06</v>
      </c>
    </row>
    <row r="22" spans="2:36" x14ac:dyDescent="0.25">
      <c r="B22" s="249" t="s">
        <v>1061</v>
      </c>
      <c r="C22" s="232">
        <v>1030.5899999999999</v>
      </c>
      <c r="D22" s="232">
        <v>0</v>
      </c>
      <c r="E22" s="232">
        <v>1030.5899999999999</v>
      </c>
    </row>
    <row r="23" spans="2:36" x14ac:dyDescent="0.25">
      <c r="B23" s="249" t="s">
        <v>1067</v>
      </c>
      <c r="C23" s="232">
        <v>62665.770000000011</v>
      </c>
      <c r="D23" s="232">
        <v>0</v>
      </c>
      <c r="E23" s="232">
        <v>62665.770000000011</v>
      </c>
    </row>
    <row r="24" spans="2:36" x14ac:dyDescent="0.25">
      <c r="B24" s="231" t="s">
        <v>214</v>
      </c>
      <c r="C24" s="232">
        <v>-477227044.00999999</v>
      </c>
      <c r="D24" s="232">
        <v>-563900611.39279354</v>
      </c>
      <c r="E24" s="232">
        <v>86673567.382793874</v>
      </c>
    </row>
    <row r="25" spans="2:36" x14ac:dyDescent="0.25">
      <c r="B25" s="231" t="s">
        <v>215</v>
      </c>
      <c r="C25" s="232">
        <v>-5457023.0199999996</v>
      </c>
      <c r="D25" s="232">
        <v>-2174555.8719835016</v>
      </c>
      <c r="E25" s="232">
        <v>-3282467.148016498</v>
      </c>
    </row>
    <row r="26" spans="2:36" x14ac:dyDescent="0.25">
      <c r="B26" s="2" t="s">
        <v>1105</v>
      </c>
      <c r="C26" s="3">
        <v>-8127099.3499999996</v>
      </c>
      <c r="D26" s="3">
        <v>-3675133.444678368</v>
      </c>
      <c r="E26" s="3">
        <v>-4451965.9053216306</v>
      </c>
    </row>
    <row r="27" spans="2:36" x14ac:dyDescent="0.25">
      <c r="B27" s="263" t="s">
        <v>261</v>
      </c>
      <c r="C27" s="3">
        <v>-8127099.3499999996</v>
      </c>
      <c r="D27" s="3">
        <v>-3675133.444678368</v>
      </c>
      <c r="E27" s="3">
        <v>-4451965.9053216306</v>
      </c>
    </row>
    <row r="28" spans="2:36" x14ac:dyDescent="0.25">
      <c r="B28" s="264" t="s">
        <v>260</v>
      </c>
      <c r="C28" s="3">
        <v>-7803062.8199999994</v>
      </c>
      <c r="D28" s="3">
        <v>-2591851.5917673563</v>
      </c>
      <c r="E28" s="3">
        <v>-5211211.2282326426</v>
      </c>
    </row>
    <row r="29" spans="2:36" x14ac:dyDescent="0.25">
      <c r="B29" s="264" t="s">
        <v>263</v>
      </c>
      <c r="C29" s="3">
        <v>-324036.53000000003</v>
      </c>
      <c r="D29" s="3">
        <v>-1083281.8529110118</v>
      </c>
      <c r="E29" s="3">
        <v>759245.32291101175</v>
      </c>
    </row>
    <row r="30" spans="2:36" x14ac:dyDescent="0.25">
      <c r="B30" s="2" t="s">
        <v>38</v>
      </c>
      <c r="C30" s="230">
        <v>-754825958.62</v>
      </c>
      <c r="D30" s="230">
        <v>-763426925.05589938</v>
      </c>
      <c r="E30" s="230">
        <v>8600966.4358997308</v>
      </c>
    </row>
  </sheetData>
  <pageMargins left="0.7" right="0.7" top="0.75" bottom="0.75" header="0.3" footer="0.3"/>
  <pageSetup orientation="portrait" horizontalDpi="1200" verticalDpi="1200" r:id="rId2"/>
  <ignoredErrors>
    <ignoredError sqref="K10:M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O17" sqref="O17"/>
    </sheetView>
  </sheetViews>
  <sheetFormatPr defaultRowHeight="15" x14ac:dyDescent="0.25"/>
  <cols>
    <col min="1" max="1" width="29.28515625" customWidth="1"/>
    <col min="2" max="2" width="17.85546875" customWidth="1"/>
    <col min="3" max="3" width="14.42578125" customWidth="1"/>
    <col min="4" max="4" width="12.5703125" customWidth="1"/>
    <col min="5" max="5" width="14" customWidth="1"/>
    <col min="6" max="7" width="14.42578125" bestFit="1" customWidth="1"/>
    <col min="8" max="8" width="33.7109375" bestFit="1" customWidth="1"/>
    <col min="9" max="10" width="16.85546875" bestFit="1" customWidth="1"/>
    <col min="11" max="11" width="16.28515625" bestFit="1" customWidth="1"/>
    <col min="12" max="12" width="7.7109375" customWidth="1"/>
    <col min="13" max="13" width="20.42578125" bestFit="1" customWidth="1"/>
  </cols>
  <sheetData>
    <row r="1" spans="1:14" x14ac:dyDescent="0.25">
      <c r="A1" s="247" t="s">
        <v>222</v>
      </c>
      <c r="B1" t="s">
        <v>1136</v>
      </c>
    </row>
    <row r="2" spans="1:14" x14ac:dyDescent="0.25">
      <c r="B2" s="265">
        <f>'Att D Table'!K10+B30</f>
        <v>0</v>
      </c>
      <c r="C2" s="265">
        <f>'Att D Table'!L10+C30</f>
        <v>0</v>
      </c>
      <c r="D2" s="265">
        <f>'Att D Table'!M10+D30</f>
        <v>0</v>
      </c>
      <c r="G2" s="228"/>
      <c r="H2" s="228"/>
      <c r="I2" s="228"/>
      <c r="J2" s="228"/>
      <c r="K2" s="228"/>
      <c r="L2" s="228"/>
    </row>
    <row r="3" spans="1:14" ht="63" x14ac:dyDescent="0.25">
      <c r="A3" s="247" t="s">
        <v>204</v>
      </c>
      <c r="B3" s="229" t="s">
        <v>1108</v>
      </c>
      <c r="C3" s="229" t="s">
        <v>1109</v>
      </c>
      <c r="D3" s="229" t="s">
        <v>207</v>
      </c>
      <c r="G3" s="228"/>
      <c r="H3" s="287" t="s">
        <v>1119</v>
      </c>
      <c r="I3" s="288" t="s">
        <v>1138</v>
      </c>
      <c r="J3" s="288" t="s">
        <v>1137</v>
      </c>
      <c r="K3" s="289" t="s">
        <v>208</v>
      </c>
      <c r="L3" s="228"/>
    </row>
    <row r="4" spans="1:14" ht="15.75" x14ac:dyDescent="0.25">
      <c r="A4" s="2" t="s">
        <v>1127</v>
      </c>
      <c r="B4" s="273">
        <v>-3826724.8500000006</v>
      </c>
      <c r="C4" s="273">
        <v>-42532246.445002936</v>
      </c>
      <c r="D4" s="273">
        <v>38705521.595002934</v>
      </c>
      <c r="G4" s="228"/>
      <c r="H4" s="290" t="s">
        <v>1127</v>
      </c>
      <c r="I4" s="291">
        <f>-VLOOKUP($H4,$A:$D,2,FALSE)</f>
        <v>3826724.8500000006</v>
      </c>
      <c r="J4" s="291">
        <f t="shared" ref="J4:J29" si="0">-VLOOKUP($H4,$A:$D,3,FALSE)</f>
        <v>42532246.445002936</v>
      </c>
      <c r="K4" s="292">
        <f>I4-J4</f>
        <v>-38705521.595002934</v>
      </c>
      <c r="L4" s="228"/>
      <c r="N4" s="285"/>
    </row>
    <row r="5" spans="1:14" ht="15.75" x14ac:dyDescent="0.25">
      <c r="A5" s="2" t="s">
        <v>1128</v>
      </c>
      <c r="B5" s="284">
        <v>-40475987.649999991</v>
      </c>
      <c r="C5" s="284">
        <v>-1283134.1956212255</v>
      </c>
      <c r="D5" s="284">
        <v>-39192853.454378769</v>
      </c>
      <c r="G5" s="228"/>
      <c r="H5" s="290" t="s">
        <v>1128</v>
      </c>
      <c r="I5" s="293">
        <f t="shared" ref="I5" si="1">-VLOOKUP(H5,$A:$D,2,FALSE)</f>
        <v>40475987.649999991</v>
      </c>
      <c r="J5" s="293">
        <f t="shared" si="0"/>
        <v>1283134.1956212255</v>
      </c>
      <c r="K5" s="294">
        <f t="shared" ref="K5:K29" si="2">I5-J5</f>
        <v>39192853.454378769</v>
      </c>
      <c r="L5" s="228"/>
    </row>
    <row r="6" spans="1:14" ht="15.75" x14ac:dyDescent="0.25">
      <c r="A6" s="2" t="s">
        <v>1129</v>
      </c>
      <c r="B6" s="284">
        <v>-25815026.250000007</v>
      </c>
      <c r="C6" s="284">
        <v>0</v>
      </c>
      <c r="D6" s="284">
        <v>-25815026.250000007</v>
      </c>
      <c r="G6" s="228"/>
      <c r="H6" s="290" t="s">
        <v>1129</v>
      </c>
      <c r="I6" s="293">
        <f t="shared" ref="I6" si="3">-VLOOKUP(H6,$A:$D,2,FALSE)</f>
        <v>25815026.250000007</v>
      </c>
      <c r="J6" s="293">
        <f t="shared" si="0"/>
        <v>0</v>
      </c>
      <c r="K6" s="294">
        <f t="shared" si="2"/>
        <v>25815026.250000007</v>
      </c>
      <c r="L6" s="228"/>
    </row>
    <row r="7" spans="1:14" ht="15.75" x14ac:dyDescent="0.25">
      <c r="A7" s="2" t="s">
        <v>4</v>
      </c>
      <c r="B7" s="284">
        <v>0</v>
      </c>
      <c r="C7" s="284">
        <v>-7967622.301871445</v>
      </c>
      <c r="D7" s="284">
        <v>7967622.301871445</v>
      </c>
      <c r="G7" s="228"/>
      <c r="H7" s="290" t="s">
        <v>4</v>
      </c>
      <c r="I7" s="293">
        <f t="shared" ref="I7" si="4">-VLOOKUP(H7,$A:$D,2,FALSE)</f>
        <v>0</v>
      </c>
      <c r="J7" s="293">
        <f t="shared" si="0"/>
        <v>7967622.301871445</v>
      </c>
      <c r="K7" s="294">
        <f t="shared" si="2"/>
        <v>-7967622.301871445</v>
      </c>
      <c r="L7" s="228"/>
    </row>
    <row r="8" spans="1:14" ht="15.75" x14ac:dyDescent="0.25">
      <c r="A8" s="2" t="s">
        <v>1126</v>
      </c>
      <c r="B8" s="284">
        <v>-3945897.5500000007</v>
      </c>
      <c r="C8" s="284">
        <v>-3072519.3168373057</v>
      </c>
      <c r="D8" s="284">
        <v>-873378.23316269508</v>
      </c>
      <c r="G8" s="228"/>
      <c r="H8" s="290" t="s">
        <v>1126</v>
      </c>
      <c r="I8" s="293">
        <f t="shared" ref="I8" si="5">-VLOOKUP(H8,$A:$D,2,FALSE)</f>
        <v>3945897.5500000007</v>
      </c>
      <c r="J8" s="293">
        <f t="shared" si="0"/>
        <v>3072519.3168373057</v>
      </c>
      <c r="K8" s="294">
        <f t="shared" si="2"/>
        <v>873378.23316269508</v>
      </c>
      <c r="L8" s="228"/>
    </row>
    <row r="9" spans="1:14" ht="15.75" x14ac:dyDescent="0.25">
      <c r="A9" s="2" t="s">
        <v>1133</v>
      </c>
      <c r="B9" s="284">
        <v>-3900720.7699999996</v>
      </c>
      <c r="C9" s="284">
        <v>-4938754.5229263837</v>
      </c>
      <c r="D9" s="284">
        <v>1038033.7529263839</v>
      </c>
      <c r="G9" s="228"/>
      <c r="H9" s="290" t="s">
        <v>1133</v>
      </c>
      <c r="I9" s="293">
        <f t="shared" ref="I9" si="6">-VLOOKUP(H9,$A:$D,2,FALSE)</f>
        <v>3900720.7699999996</v>
      </c>
      <c r="J9" s="293">
        <f t="shared" si="0"/>
        <v>4938754.5229263837</v>
      </c>
      <c r="K9" s="294">
        <f t="shared" si="2"/>
        <v>-1038033.7529263841</v>
      </c>
      <c r="L9" s="228"/>
    </row>
    <row r="10" spans="1:14" ht="15.75" x14ac:dyDescent="0.25">
      <c r="A10" s="2" t="s">
        <v>7</v>
      </c>
      <c r="B10" s="284">
        <v>8593299.5</v>
      </c>
      <c r="C10" s="284">
        <v>17388699.999999959</v>
      </c>
      <c r="D10" s="284">
        <v>-8795400.499999959</v>
      </c>
      <c r="G10" s="228"/>
      <c r="H10" s="290" t="s">
        <v>7</v>
      </c>
      <c r="I10" s="293">
        <f t="shared" ref="I10" si="7">-VLOOKUP(H10,$A:$D,2,FALSE)</f>
        <v>-8593299.5</v>
      </c>
      <c r="J10" s="293">
        <f t="shared" si="0"/>
        <v>-17388699.999999959</v>
      </c>
      <c r="K10" s="294">
        <f t="shared" si="2"/>
        <v>8795400.499999959</v>
      </c>
      <c r="L10" s="228"/>
    </row>
    <row r="11" spans="1:14" ht="15.75" x14ac:dyDescent="0.25">
      <c r="A11" s="2" t="s">
        <v>8</v>
      </c>
      <c r="B11" s="284">
        <v>1411391.3399999999</v>
      </c>
      <c r="C11" s="284">
        <v>1548399.999999996</v>
      </c>
      <c r="D11" s="284">
        <v>-137008.65999999619</v>
      </c>
      <c r="G11" s="228"/>
      <c r="H11" s="290" t="s">
        <v>8</v>
      </c>
      <c r="I11" s="293">
        <f t="shared" ref="I11" si="8">-VLOOKUP(H11,$A:$D,2,FALSE)</f>
        <v>-1411391.3399999999</v>
      </c>
      <c r="J11" s="293">
        <f t="shared" si="0"/>
        <v>-1548399.999999996</v>
      </c>
      <c r="K11" s="294">
        <f t="shared" si="2"/>
        <v>137008.65999999619</v>
      </c>
      <c r="L11" s="228"/>
    </row>
    <row r="12" spans="1:14" ht="15.75" x14ac:dyDescent="0.25">
      <c r="A12" s="2" t="s">
        <v>1124</v>
      </c>
      <c r="B12" s="284">
        <v>-63227199.43999999</v>
      </c>
      <c r="C12" s="284">
        <v>-8026288.8031072477</v>
      </c>
      <c r="D12" s="284">
        <v>-55200910.636892751</v>
      </c>
      <c r="G12" s="228"/>
      <c r="H12" s="290" t="s">
        <v>1124</v>
      </c>
      <c r="I12" s="293">
        <f t="shared" ref="I12" si="9">-VLOOKUP(H12,$A:$D,2,FALSE)</f>
        <v>63227199.43999999</v>
      </c>
      <c r="J12" s="293">
        <f t="shared" si="0"/>
        <v>8026288.8031072477</v>
      </c>
      <c r="K12" s="294">
        <f t="shared" si="2"/>
        <v>55200910.636892743</v>
      </c>
      <c r="L12" s="228"/>
    </row>
    <row r="13" spans="1:14" ht="15.75" x14ac:dyDescent="0.25">
      <c r="A13" s="2" t="s">
        <v>1130</v>
      </c>
      <c r="B13" s="284">
        <v>-80981287.580000058</v>
      </c>
      <c r="C13" s="284">
        <v>-112076223.91261405</v>
      </c>
      <c r="D13" s="284">
        <v>31094936.33261399</v>
      </c>
      <c r="G13" s="228"/>
      <c r="H13" s="290" t="s">
        <v>1130</v>
      </c>
      <c r="I13" s="293">
        <f t="shared" ref="I13" si="10">-VLOOKUP(H13,$A:$D,2,FALSE)</f>
        <v>80981287.580000058</v>
      </c>
      <c r="J13" s="293">
        <f t="shared" si="0"/>
        <v>112076223.91261405</v>
      </c>
      <c r="K13" s="294">
        <f t="shared" si="2"/>
        <v>-31094936.33261399</v>
      </c>
      <c r="L13" s="228"/>
    </row>
    <row r="14" spans="1:14" ht="15.75" x14ac:dyDescent="0.25">
      <c r="A14" s="2" t="s">
        <v>13</v>
      </c>
      <c r="B14" s="284">
        <v>-72642929.149999976</v>
      </c>
      <c r="C14" s="284">
        <v>-58072643.307474904</v>
      </c>
      <c r="D14" s="284">
        <v>-14570285.842525076</v>
      </c>
      <c r="G14" s="228"/>
      <c r="H14" s="290" t="s">
        <v>13</v>
      </c>
      <c r="I14" s="293">
        <f t="shared" ref="I14" si="11">-VLOOKUP(H14,$A:$D,2,FALSE)</f>
        <v>72642929.149999976</v>
      </c>
      <c r="J14" s="293">
        <f t="shared" si="0"/>
        <v>58072643.307474904</v>
      </c>
      <c r="K14" s="294">
        <f t="shared" si="2"/>
        <v>14570285.842525072</v>
      </c>
      <c r="L14" s="228"/>
    </row>
    <row r="15" spans="1:14" ht="15.75" x14ac:dyDescent="0.25">
      <c r="A15" s="2" t="s">
        <v>14</v>
      </c>
      <c r="B15" s="284">
        <v>-14673046.720000003</v>
      </c>
      <c r="C15" s="284">
        <v>-18021825.763684291</v>
      </c>
      <c r="D15" s="284">
        <v>3348779.0436842884</v>
      </c>
      <c r="G15" s="228"/>
      <c r="H15" s="290" t="s">
        <v>14</v>
      </c>
      <c r="I15" s="293">
        <f t="shared" ref="I15" si="12">-VLOOKUP(H15,$A:$D,2,FALSE)</f>
        <v>14673046.720000003</v>
      </c>
      <c r="J15" s="293">
        <f t="shared" si="0"/>
        <v>18021825.763684291</v>
      </c>
      <c r="K15" s="294">
        <f t="shared" si="2"/>
        <v>-3348779.0436842889</v>
      </c>
      <c r="L15" s="228"/>
    </row>
    <row r="16" spans="1:14" ht="15.75" x14ac:dyDescent="0.25">
      <c r="A16" s="2" t="s">
        <v>15</v>
      </c>
      <c r="B16" s="284">
        <v>-357666.64999999997</v>
      </c>
      <c r="C16" s="284">
        <v>0</v>
      </c>
      <c r="D16" s="284">
        <v>-357666.64999999997</v>
      </c>
      <c r="G16" s="228"/>
      <c r="H16" s="290" t="s">
        <v>15</v>
      </c>
      <c r="I16" s="293">
        <f t="shared" ref="I16" si="13">-VLOOKUP(H16,$A:$D,2,FALSE)</f>
        <v>357666.64999999997</v>
      </c>
      <c r="J16" s="293">
        <f t="shared" si="0"/>
        <v>0</v>
      </c>
      <c r="K16" s="294">
        <f t="shared" si="2"/>
        <v>357666.64999999997</v>
      </c>
      <c r="L16" s="228"/>
    </row>
    <row r="17" spans="1:12" ht="15.75" x14ac:dyDescent="0.25">
      <c r="A17" s="2" t="s">
        <v>1135</v>
      </c>
      <c r="B17" s="284"/>
      <c r="C17" s="284">
        <v>-3158695.7710000034</v>
      </c>
      <c r="D17" s="284">
        <v>3158695.7710000034</v>
      </c>
      <c r="G17" s="228"/>
      <c r="H17" s="290" t="s">
        <v>1135</v>
      </c>
      <c r="I17" s="293">
        <f t="shared" ref="I17" si="14">-VLOOKUP(H17,$A:$D,2,FALSE)</f>
        <v>0</v>
      </c>
      <c r="J17" s="293">
        <f t="shared" si="0"/>
        <v>3158695.7710000034</v>
      </c>
      <c r="K17" s="294">
        <f t="shared" si="2"/>
        <v>-3158695.7710000034</v>
      </c>
      <c r="L17" s="228"/>
    </row>
    <row r="18" spans="1:12" ht="15.75" x14ac:dyDescent="0.25">
      <c r="A18" s="2" t="s">
        <v>16</v>
      </c>
      <c r="B18" s="284">
        <v>-11783550.689999998</v>
      </c>
      <c r="C18" s="284">
        <v>-19964351.199199919</v>
      </c>
      <c r="D18" s="284">
        <v>8180800.5091999155</v>
      </c>
      <c r="G18" s="228"/>
      <c r="H18" s="290" t="s">
        <v>16</v>
      </c>
      <c r="I18" s="293">
        <f t="shared" ref="I18" si="15">-VLOOKUP(H18,$A:$D,2,FALSE)</f>
        <v>11783550.689999998</v>
      </c>
      <c r="J18" s="293">
        <f t="shared" si="0"/>
        <v>19964351.199199919</v>
      </c>
      <c r="K18" s="294">
        <f t="shared" si="2"/>
        <v>-8180800.509199921</v>
      </c>
      <c r="L18" s="228"/>
    </row>
    <row r="19" spans="1:12" ht="15.75" x14ac:dyDescent="0.25">
      <c r="A19" s="2" t="s">
        <v>18</v>
      </c>
      <c r="B19" s="284">
        <v>-115130677.49000001</v>
      </c>
      <c r="C19" s="284">
        <v>-141899986.64281133</v>
      </c>
      <c r="D19" s="284">
        <v>26769309.152811352</v>
      </c>
      <c r="G19" s="228"/>
      <c r="H19" s="290" t="s">
        <v>18</v>
      </c>
      <c r="I19" s="293">
        <f t="shared" ref="I19" si="16">-VLOOKUP(H19,$A:$D,2,FALSE)</f>
        <v>115130677.49000001</v>
      </c>
      <c r="J19" s="293">
        <f t="shared" si="0"/>
        <v>141899986.64281133</v>
      </c>
      <c r="K19" s="294">
        <f t="shared" si="2"/>
        <v>-26769309.152811319</v>
      </c>
      <c r="L19" s="228"/>
    </row>
    <row r="20" spans="1:12" ht="15.75" x14ac:dyDescent="0.25">
      <c r="A20" s="2" t="s">
        <v>22</v>
      </c>
      <c r="B20" s="284">
        <v>-2444954</v>
      </c>
      <c r="C20" s="284">
        <v>-18519242.533312965</v>
      </c>
      <c r="D20" s="284">
        <v>16074288.533312967</v>
      </c>
      <c r="G20" s="228"/>
      <c r="H20" s="290" t="s">
        <v>22</v>
      </c>
      <c r="I20" s="293">
        <f t="shared" ref="I20" si="17">-VLOOKUP(H20,$A:$D,2,FALSE)</f>
        <v>2444954</v>
      </c>
      <c r="J20" s="293">
        <f t="shared" si="0"/>
        <v>18519242.533312965</v>
      </c>
      <c r="K20" s="294">
        <f t="shared" si="2"/>
        <v>-16074288.533312965</v>
      </c>
      <c r="L20" s="228"/>
    </row>
    <row r="21" spans="1:12" ht="15.75" x14ac:dyDescent="0.25">
      <c r="A21" s="2" t="s">
        <v>23</v>
      </c>
      <c r="B21" s="284">
        <v>0</v>
      </c>
      <c r="C21" s="284">
        <v>-3362349.7710726475</v>
      </c>
      <c r="D21" s="284">
        <v>3362349.7710726475</v>
      </c>
      <c r="G21" s="228"/>
      <c r="H21" s="290" t="s">
        <v>23</v>
      </c>
      <c r="I21" s="293">
        <f t="shared" ref="I21" si="18">-VLOOKUP(H21,$A:$D,2,FALSE)</f>
        <v>0</v>
      </c>
      <c r="J21" s="293">
        <f t="shared" si="0"/>
        <v>3362349.7710726475</v>
      </c>
      <c r="K21" s="294">
        <f t="shared" si="2"/>
        <v>-3362349.7710726475</v>
      </c>
      <c r="L21" s="228"/>
    </row>
    <row r="22" spans="1:12" ht="15.75" x14ac:dyDescent="0.25">
      <c r="A22" s="2" t="s">
        <v>24</v>
      </c>
      <c r="B22" s="284">
        <v>-458640.08999999991</v>
      </c>
      <c r="C22" s="284">
        <v>-1256366.1962771674</v>
      </c>
      <c r="D22" s="284">
        <v>797726.10627716756</v>
      </c>
      <c r="G22" s="228"/>
      <c r="H22" s="290" t="s">
        <v>24</v>
      </c>
      <c r="I22" s="293">
        <f t="shared" ref="I22" si="19">-VLOOKUP(H22,$A:$D,2,FALSE)</f>
        <v>458640.08999999991</v>
      </c>
      <c r="J22" s="293">
        <f t="shared" si="0"/>
        <v>1256366.1962771674</v>
      </c>
      <c r="K22" s="294">
        <f t="shared" si="2"/>
        <v>-797726.10627716756</v>
      </c>
      <c r="L22" s="228"/>
    </row>
    <row r="23" spans="1:12" ht="15.75" x14ac:dyDescent="0.25">
      <c r="A23" s="2" t="s">
        <v>1132</v>
      </c>
      <c r="B23" s="284">
        <v>-40403893.57</v>
      </c>
      <c r="C23" s="284">
        <v>-53168011.54637076</v>
      </c>
      <c r="D23" s="284">
        <v>12764117.976370759</v>
      </c>
      <c r="G23" s="228"/>
      <c r="H23" s="290" t="s">
        <v>1132</v>
      </c>
      <c r="I23" s="293">
        <f t="shared" ref="I23" si="20">-VLOOKUP(H23,$A:$D,2,FALSE)</f>
        <v>40403893.57</v>
      </c>
      <c r="J23" s="293">
        <f t="shared" si="0"/>
        <v>53168011.54637076</v>
      </c>
      <c r="K23" s="294">
        <f t="shared" si="2"/>
        <v>-12764117.976370759</v>
      </c>
      <c r="L23" s="228"/>
    </row>
    <row r="24" spans="1:12" ht="15.75" x14ac:dyDescent="0.25">
      <c r="A24" s="2" t="s">
        <v>29</v>
      </c>
      <c r="B24" s="284">
        <v>-24543653.980000008</v>
      </c>
      <c r="C24" s="284">
        <v>-66290474.689021438</v>
      </c>
      <c r="D24" s="284">
        <v>41746820.709021449</v>
      </c>
      <c r="G24" s="228"/>
      <c r="H24" s="290" t="s">
        <v>29</v>
      </c>
      <c r="I24" s="293">
        <f t="shared" ref="I24" si="21">-VLOOKUP(H24,$A:$D,2,FALSE)</f>
        <v>24543653.980000008</v>
      </c>
      <c r="J24" s="293">
        <f t="shared" si="0"/>
        <v>66290474.689021438</v>
      </c>
      <c r="K24" s="294">
        <f t="shared" si="2"/>
        <v>-41746820.709021434</v>
      </c>
      <c r="L24" s="228"/>
    </row>
    <row r="25" spans="1:12" ht="15.75" x14ac:dyDescent="0.25">
      <c r="A25" s="2" t="s">
        <v>1125</v>
      </c>
      <c r="B25" s="284">
        <v>-25465271.699999984</v>
      </c>
      <c r="C25" s="284">
        <v>-13427256.864937549</v>
      </c>
      <c r="D25" s="284">
        <v>-12038014.835062435</v>
      </c>
      <c r="G25" s="228"/>
      <c r="H25" s="290" t="s">
        <v>1125</v>
      </c>
      <c r="I25" s="293">
        <f t="shared" ref="I25" si="22">-VLOOKUP(H25,$A:$D,2,FALSE)</f>
        <v>25465271.699999984</v>
      </c>
      <c r="J25" s="293">
        <f t="shared" si="0"/>
        <v>13427256.864937549</v>
      </c>
      <c r="K25" s="294">
        <f t="shared" si="2"/>
        <v>12038014.835062435</v>
      </c>
      <c r="L25" s="228"/>
    </row>
    <row r="26" spans="1:12" ht="15.75" x14ac:dyDescent="0.25">
      <c r="A26" s="2" t="s">
        <v>1131</v>
      </c>
      <c r="B26" s="284">
        <v>-25978106.230000004</v>
      </c>
      <c r="C26" s="284">
        <v>-9705747.9190765247</v>
      </c>
      <c r="D26" s="284">
        <v>-16272358.310923481</v>
      </c>
      <c r="G26" s="228"/>
      <c r="H26" s="290" t="s">
        <v>1131</v>
      </c>
      <c r="I26" s="293">
        <f t="shared" ref="I26" si="23">-VLOOKUP(H26,$A:$D,2,FALSE)</f>
        <v>25978106.230000004</v>
      </c>
      <c r="J26" s="293">
        <f t="shared" si="0"/>
        <v>9705747.9190765247</v>
      </c>
      <c r="K26" s="294">
        <f t="shared" si="2"/>
        <v>16272358.310923479</v>
      </c>
      <c r="L26" s="228"/>
    </row>
    <row r="27" spans="1:12" ht="15.75" x14ac:dyDescent="0.25">
      <c r="A27" s="2" t="s">
        <v>37</v>
      </c>
      <c r="B27" s="284">
        <v>-1294239.2399999998</v>
      </c>
      <c r="C27" s="284">
        <v>-966466.61649999989</v>
      </c>
      <c r="D27" s="284">
        <v>-327772.62349999987</v>
      </c>
      <c r="G27" s="228"/>
      <c r="H27" s="290" t="s">
        <v>37</v>
      </c>
      <c r="I27" s="293">
        <f t="shared" ref="I27" si="24">-VLOOKUP(H27,$A:$D,2,FALSE)</f>
        <v>1294239.2399999998</v>
      </c>
      <c r="J27" s="293">
        <f t="shared" si="0"/>
        <v>966466.61649999989</v>
      </c>
      <c r="K27" s="294">
        <f t="shared" si="2"/>
        <v>327772.62349999987</v>
      </c>
      <c r="L27" s="228"/>
    </row>
    <row r="28" spans="1:12" ht="15.75" x14ac:dyDescent="0.25">
      <c r="A28" s="2" t="s">
        <v>1134</v>
      </c>
      <c r="B28" s="284">
        <v>0</v>
      </c>
      <c r="C28" s="284">
        <v>-22989916.785140418</v>
      </c>
      <c r="D28" s="284">
        <v>22989916.785140418</v>
      </c>
      <c r="G28" s="228"/>
      <c r="H28" s="290" t="s">
        <v>1134</v>
      </c>
      <c r="I28" s="293">
        <f t="shared" ref="I28" si="25">-VLOOKUP(H28,$A:$D,2,FALSE)</f>
        <v>0</v>
      </c>
      <c r="J28" s="293">
        <f t="shared" si="0"/>
        <v>22989916.785140418</v>
      </c>
      <c r="K28" s="294">
        <f t="shared" si="2"/>
        <v>-22989916.785140418</v>
      </c>
      <c r="L28" s="228"/>
    </row>
    <row r="29" spans="1:12" ht="15.75" x14ac:dyDescent="0.25">
      <c r="A29" s="2" t="s">
        <v>32</v>
      </c>
      <c r="B29" s="284">
        <v>0</v>
      </c>
      <c r="C29" s="284">
        <v>-15952966.929557476</v>
      </c>
      <c r="D29" s="284">
        <v>15952966.929557476</v>
      </c>
      <c r="G29" s="228"/>
      <c r="H29" s="290" t="s">
        <v>32</v>
      </c>
      <c r="I29" s="293">
        <f t="shared" ref="I29" si="26">-VLOOKUP(H29,$A:$D,2,FALSE)</f>
        <v>0</v>
      </c>
      <c r="J29" s="293">
        <f t="shared" si="0"/>
        <v>15952966.929557476</v>
      </c>
      <c r="K29" s="294">
        <f t="shared" si="2"/>
        <v>-15952966.929557476</v>
      </c>
      <c r="L29" s="228"/>
    </row>
    <row r="30" spans="1:12" ht="15.75" x14ac:dyDescent="0.25">
      <c r="A30" s="2" t="s">
        <v>38</v>
      </c>
      <c r="B30" s="273">
        <v>-547344782.75999999</v>
      </c>
      <c r="C30" s="273">
        <v>-607715992.03341794</v>
      </c>
      <c r="D30" s="273">
        <v>60371209.273418024</v>
      </c>
      <c r="G30" s="228"/>
      <c r="H30" s="295" t="s">
        <v>1139</v>
      </c>
      <c r="I30" s="296">
        <f>SUM(I4:I29)</f>
        <v>547344782.75999999</v>
      </c>
      <c r="J30" s="296">
        <f t="shared" ref="J30:K30" si="27">SUM(J4:J29)</f>
        <v>607715992.03341794</v>
      </c>
      <c r="K30" s="297">
        <f t="shared" si="27"/>
        <v>-60371209.273417994</v>
      </c>
      <c r="L30" s="228"/>
    </row>
    <row r="31" spans="1:12" x14ac:dyDescent="0.25">
      <c r="G31" s="228"/>
      <c r="H31" s="228"/>
      <c r="I31" s="228"/>
      <c r="J31" s="228"/>
      <c r="K31" s="228"/>
      <c r="L31" s="228"/>
    </row>
    <row r="32" spans="1:12" x14ac:dyDescent="0.25">
      <c r="G32" s="228"/>
      <c r="H32" s="228"/>
      <c r="I32" s="228"/>
      <c r="J32" s="228"/>
      <c r="K32" s="286">
        <f>D30+K30</f>
        <v>0</v>
      </c>
      <c r="L32" s="228"/>
    </row>
    <row r="33" spans="7:12" x14ac:dyDescent="0.25">
      <c r="G33" s="228"/>
      <c r="H33" s="228"/>
      <c r="I33" s="228"/>
      <c r="J33" s="228"/>
      <c r="K33" s="228"/>
      <c r="L33" s="228"/>
    </row>
  </sheetData>
  <printOptions horizontalCentered="1"/>
  <pageMargins left="0.7" right="0.7" top="0.75" bottom="0.75" header="0.3" footer="0.3"/>
  <pageSetup scale="43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46" sqref="D46"/>
    </sheetView>
  </sheetViews>
  <sheetFormatPr defaultRowHeight="15" x14ac:dyDescent="0.25"/>
  <cols>
    <col min="1" max="1" width="35" bestFit="1" customWidth="1"/>
    <col min="2" max="2" width="17.85546875" customWidth="1"/>
    <col min="3" max="3" width="14.42578125" customWidth="1"/>
    <col min="4" max="4" width="12.5703125" customWidth="1"/>
    <col min="5" max="5" width="14" customWidth="1"/>
    <col min="6" max="7" width="14.42578125" bestFit="1" customWidth="1"/>
    <col min="8" max="8" width="12.5703125" bestFit="1" customWidth="1"/>
    <col min="9" max="9" width="12.28515625" bestFit="1" customWidth="1"/>
    <col min="10" max="10" width="12.5703125" bestFit="1" customWidth="1"/>
    <col min="11" max="11" width="41.28515625" bestFit="1" customWidth="1"/>
    <col min="12" max="12" width="44" bestFit="1" customWidth="1"/>
    <col min="13" max="13" width="20.42578125" bestFit="1" customWidth="1"/>
  </cols>
  <sheetData>
    <row r="1" spans="1:4" x14ac:dyDescent="0.25">
      <c r="A1" s="247" t="s">
        <v>222</v>
      </c>
      <c r="B1" t="s">
        <v>1136</v>
      </c>
    </row>
    <row r="2" spans="1:4" x14ac:dyDescent="0.25">
      <c r="B2" s="265">
        <f>'Att D Table'!K10+B46</f>
        <v>0</v>
      </c>
      <c r="C2" s="265">
        <f>'Att D Table'!L10+C46</f>
        <v>0</v>
      </c>
      <c r="D2" s="265">
        <f>'Att D Table'!M10+D46</f>
        <v>0</v>
      </c>
    </row>
    <row r="3" spans="1:4" ht="45" x14ac:dyDescent="0.25">
      <c r="A3" s="247" t="s">
        <v>204</v>
      </c>
      <c r="B3" s="229" t="s">
        <v>1108</v>
      </c>
      <c r="C3" s="229" t="s">
        <v>1109</v>
      </c>
      <c r="D3" s="229" t="s">
        <v>207</v>
      </c>
    </row>
    <row r="4" spans="1:4" x14ac:dyDescent="0.25">
      <c r="A4" s="2" t="s">
        <v>1110</v>
      </c>
      <c r="B4" s="273">
        <v>-3996509.3500000006</v>
      </c>
      <c r="C4" s="273">
        <v>-43278870.445002936</v>
      </c>
      <c r="D4" s="273">
        <v>39282361.095002934</v>
      </c>
    </row>
    <row r="5" spans="1:4" x14ac:dyDescent="0.25">
      <c r="A5" s="263" t="s">
        <v>1122</v>
      </c>
      <c r="B5" s="272"/>
      <c r="C5" s="272"/>
      <c r="D5" s="272"/>
    </row>
    <row r="6" spans="1:4" x14ac:dyDescent="0.25">
      <c r="A6" s="264" t="s">
        <v>1127</v>
      </c>
      <c r="B6" s="284">
        <v>-3826724.8500000006</v>
      </c>
      <c r="C6" s="284">
        <v>-42532246.445002936</v>
      </c>
      <c r="D6" s="284">
        <v>38705521.595002934</v>
      </c>
    </row>
    <row r="7" spans="1:4" x14ac:dyDescent="0.25">
      <c r="A7" s="263" t="s">
        <v>29</v>
      </c>
      <c r="B7" s="284"/>
      <c r="C7" s="284"/>
      <c r="D7" s="284"/>
    </row>
    <row r="8" spans="1:4" x14ac:dyDescent="0.25">
      <c r="A8" s="264" t="s">
        <v>29</v>
      </c>
      <c r="B8" s="284">
        <v>-169784.50000000003</v>
      </c>
      <c r="C8" s="284">
        <v>-746624.00000000047</v>
      </c>
      <c r="D8" s="284">
        <v>576839.50000000047</v>
      </c>
    </row>
    <row r="9" spans="1:4" x14ac:dyDescent="0.25">
      <c r="A9" s="2" t="s">
        <v>145</v>
      </c>
      <c r="B9" s="284">
        <v>-332742388.29999989</v>
      </c>
      <c r="C9" s="284">
        <v>-333378143.47723526</v>
      </c>
      <c r="D9" s="284">
        <v>635755.17723535374</v>
      </c>
    </row>
    <row r="10" spans="1:4" x14ac:dyDescent="0.25">
      <c r="A10" s="263" t="s">
        <v>1123</v>
      </c>
      <c r="B10" s="284"/>
      <c r="C10" s="284"/>
      <c r="D10" s="284"/>
    </row>
    <row r="11" spans="1:4" x14ac:dyDescent="0.25">
      <c r="A11" s="264" t="s">
        <v>7</v>
      </c>
      <c r="B11" s="284">
        <v>8593299.5</v>
      </c>
      <c r="C11" s="284">
        <v>17388699.999999959</v>
      </c>
      <c r="D11" s="284">
        <v>-8795400.499999959</v>
      </c>
    </row>
    <row r="12" spans="1:4" x14ac:dyDescent="0.25">
      <c r="A12" s="264" t="s">
        <v>1124</v>
      </c>
      <c r="B12" s="284">
        <v>-62625146.79999999</v>
      </c>
      <c r="C12" s="284">
        <v>-8026288.8031072477</v>
      </c>
      <c r="D12" s="284">
        <v>-54598857.99689275</v>
      </c>
    </row>
    <row r="13" spans="1:4" x14ac:dyDescent="0.25">
      <c r="A13" s="264" t="s">
        <v>1125</v>
      </c>
      <c r="B13" s="284">
        <v>-25465271.699999984</v>
      </c>
      <c r="C13" s="284">
        <v>-13427256.864937549</v>
      </c>
      <c r="D13" s="284">
        <v>-12038014.835062435</v>
      </c>
    </row>
    <row r="14" spans="1:4" x14ac:dyDescent="0.25">
      <c r="A14" s="263" t="s">
        <v>1122</v>
      </c>
      <c r="B14" s="284"/>
      <c r="C14" s="284"/>
      <c r="D14" s="284"/>
    </row>
    <row r="15" spans="1:4" x14ac:dyDescent="0.25">
      <c r="A15" s="264" t="s">
        <v>1128</v>
      </c>
      <c r="B15" s="284">
        <v>-40475987.649999991</v>
      </c>
      <c r="C15" s="284">
        <v>-1283134.1956212255</v>
      </c>
      <c r="D15" s="284">
        <v>-39192853.454378769</v>
      </c>
    </row>
    <row r="16" spans="1:4" x14ac:dyDescent="0.25">
      <c r="A16" s="264" t="s">
        <v>1126</v>
      </c>
      <c r="B16" s="284">
        <v>-3945897.5500000007</v>
      </c>
      <c r="C16" s="284">
        <v>-3072519.3168373057</v>
      </c>
      <c r="D16" s="284">
        <v>-873378.23316269508</v>
      </c>
    </row>
    <row r="17" spans="1:4" x14ac:dyDescent="0.25">
      <c r="A17" s="264" t="s">
        <v>13</v>
      </c>
      <c r="B17" s="284">
        <v>-72642929.149999976</v>
      </c>
      <c r="C17" s="284">
        <v>-58072643.307474904</v>
      </c>
      <c r="D17" s="284">
        <v>-14570285.842525076</v>
      </c>
    </row>
    <row r="18" spans="1:4" x14ac:dyDescent="0.25">
      <c r="A18" s="264" t="s">
        <v>1135</v>
      </c>
      <c r="B18" s="284"/>
      <c r="C18" s="284">
        <v>-3158695.7710000034</v>
      </c>
      <c r="D18" s="284">
        <v>3158695.7710000034</v>
      </c>
    </row>
    <row r="19" spans="1:4" x14ac:dyDescent="0.25">
      <c r="A19" s="264" t="s">
        <v>18</v>
      </c>
      <c r="B19" s="284">
        <v>-115130677.49000001</v>
      </c>
      <c r="C19" s="284">
        <v>-141899986.64281133</v>
      </c>
      <c r="D19" s="284">
        <v>26769309.152811352</v>
      </c>
    </row>
    <row r="20" spans="1:4" x14ac:dyDescent="0.25">
      <c r="A20" s="264" t="s">
        <v>22</v>
      </c>
      <c r="B20" s="284">
        <v>-2444954</v>
      </c>
      <c r="C20" s="284">
        <v>-18519242.533312965</v>
      </c>
      <c r="D20" s="284">
        <v>16074288.533312967</v>
      </c>
    </row>
    <row r="21" spans="1:4" x14ac:dyDescent="0.25">
      <c r="A21" s="264" t="s">
        <v>37</v>
      </c>
      <c r="B21" s="284">
        <v>-1294239.2399999998</v>
      </c>
      <c r="C21" s="284">
        <v>-966466.61649999989</v>
      </c>
      <c r="D21" s="284">
        <v>-327772.62349999987</v>
      </c>
    </row>
    <row r="22" spans="1:4" x14ac:dyDescent="0.25">
      <c r="A22" s="263" t="s">
        <v>29</v>
      </c>
      <c r="B22" s="284"/>
      <c r="C22" s="284"/>
      <c r="D22" s="284"/>
    </row>
    <row r="23" spans="1:4" x14ac:dyDescent="0.25">
      <c r="A23" s="264" t="s">
        <v>29</v>
      </c>
      <c r="B23" s="284">
        <v>-16952917.569999997</v>
      </c>
      <c r="C23" s="284">
        <v>-55430103.409063399</v>
      </c>
      <c r="D23" s="284">
        <v>38477185.839063399</v>
      </c>
    </row>
    <row r="24" spans="1:4" x14ac:dyDescent="0.25">
      <c r="A24" s="263" t="s">
        <v>1121</v>
      </c>
      <c r="B24" s="284"/>
      <c r="C24" s="284"/>
      <c r="D24" s="284"/>
    </row>
    <row r="25" spans="1:4" x14ac:dyDescent="0.25">
      <c r="A25" s="264" t="s">
        <v>4</v>
      </c>
      <c r="B25" s="284">
        <v>0</v>
      </c>
      <c r="C25" s="284">
        <v>-7967622.301871445</v>
      </c>
      <c r="D25" s="284">
        <v>7967622.301871445</v>
      </c>
    </row>
    <row r="26" spans="1:4" x14ac:dyDescent="0.25">
      <c r="A26" s="264" t="s">
        <v>15</v>
      </c>
      <c r="B26" s="284">
        <v>-357666.64999999997</v>
      </c>
      <c r="C26" s="284">
        <v>0</v>
      </c>
      <c r="D26" s="284">
        <v>-357666.64999999997</v>
      </c>
    </row>
    <row r="27" spans="1:4" x14ac:dyDescent="0.25">
      <c r="A27" s="264" t="s">
        <v>1134</v>
      </c>
      <c r="B27" s="284">
        <v>0</v>
      </c>
      <c r="C27" s="284">
        <v>-22989916.785140418</v>
      </c>
      <c r="D27" s="284">
        <v>22989916.785140418</v>
      </c>
    </row>
    <row r="28" spans="1:4" x14ac:dyDescent="0.25">
      <c r="A28" s="264" t="s">
        <v>32</v>
      </c>
      <c r="B28" s="284">
        <v>0</v>
      </c>
      <c r="C28" s="284">
        <v>-15952966.929557476</v>
      </c>
      <c r="D28" s="284">
        <v>15952966.929557476</v>
      </c>
    </row>
    <row r="29" spans="1:4" x14ac:dyDescent="0.25">
      <c r="A29" s="2" t="s">
        <v>196</v>
      </c>
      <c r="B29" s="284">
        <v>-210605885.11000007</v>
      </c>
      <c r="C29" s="284">
        <v>-231058978.11117983</v>
      </c>
      <c r="D29" s="284">
        <v>20453093.001179714</v>
      </c>
    </row>
    <row r="30" spans="1:4" x14ac:dyDescent="0.25">
      <c r="A30" s="263" t="s">
        <v>1123</v>
      </c>
      <c r="B30" s="284"/>
      <c r="C30" s="284"/>
      <c r="D30" s="284"/>
    </row>
    <row r="31" spans="1:4" x14ac:dyDescent="0.25">
      <c r="A31" s="264" t="s">
        <v>8</v>
      </c>
      <c r="B31" s="284">
        <v>1411391.3399999999</v>
      </c>
      <c r="C31" s="284">
        <v>1548399.999999996</v>
      </c>
      <c r="D31" s="284">
        <v>-137008.65999999619</v>
      </c>
    </row>
    <row r="32" spans="1:4" x14ac:dyDescent="0.25">
      <c r="A32" s="264" t="s">
        <v>1124</v>
      </c>
      <c r="B32" s="284">
        <v>-602052.64000000013</v>
      </c>
      <c r="C32" s="284">
        <v>0</v>
      </c>
      <c r="D32" s="284">
        <v>-602052.64000000013</v>
      </c>
    </row>
    <row r="33" spans="1:4" x14ac:dyDescent="0.25">
      <c r="A33" s="264" t="s">
        <v>1130</v>
      </c>
      <c r="B33" s="284">
        <v>-80981287.580000058</v>
      </c>
      <c r="C33" s="284">
        <v>-112076223.91261405</v>
      </c>
      <c r="D33" s="284">
        <v>31094936.33261399</v>
      </c>
    </row>
    <row r="34" spans="1:4" x14ac:dyDescent="0.25">
      <c r="A34" s="264" t="s">
        <v>1131</v>
      </c>
      <c r="B34" s="284">
        <v>-25978106.230000004</v>
      </c>
      <c r="C34" s="284">
        <v>-9705747.9190765247</v>
      </c>
      <c r="D34" s="284">
        <v>-16272358.310923481</v>
      </c>
    </row>
    <row r="35" spans="1:4" x14ac:dyDescent="0.25">
      <c r="A35" s="263" t="s">
        <v>1122</v>
      </c>
      <c r="B35" s="284"/>
      <c r="C35" s="284"/>
      <c r="D35" s="284"/>
    </row>
    <row r="36" spans="1:4" x14ac:dyDescent="0.25">
      <c r="A36" s="264" t="s">
        <v>1129</v>
      </c>
      <c r="B36" s="284">
        <v>-25815026.250000007</v>
      </c>
      <c r="C36" s="284">
        <v>0</v>
      </c>
      <c r="D36" s="284">
        <v>-25815026.250000007</v>
      </c>
    </row>
    <row r="37" spans="1:4" x14ac:dyDescent="0.25">
      <c r="A37" s="264" t="s">
        <v>1133</v>
      </c>
      <c r="B37" s="284">
        <v>-3900720.7699999996</v>
      </c>
      <c r="C37" s="284">
        <v>-4938754.5229263837</v>
      </c>
      <c r="D37" s="284">
        <v>1038033.7529263839</v>
      </c>
    </row>
    <row r="38" spans="1:4" x14ac:dyDescent="0.25">
      <c r="A38" s="264" t="s">
        <v>14</v>
      </c>
      <c r="B38" s="284">
        <v>-14673046.720000003</v>
      </c>
      <c r="C38" s="284">
        <v>-18021825.763684291</v>
      </c>
      <c r="D38" s="284">
        <v>3348779.0436842884</v>
      </c>
    </row>
    <row r="39" spans="1:4" x14ac:dyDescent="0.25">
      <c r="A39" s="264" t="s">
        <v>16</v>
      </c>
      <c r="B39" s="284">
        <v>-11783550.689999998</v>
      </c>
      <c r="C39" s="284">
        <v>-19964351.199199919</v>
      </c>
      <c r="D39" s="284">
        <v>8180800.5091999155</v>
      </c>
    </row>
    <row r="40" spans="1:4" x14ac:dyDescent="0.25">
      <c r="A40" s="264" t="s">
        <v>23</v>
      </c>
      <c r="B40" s="284">
        <v>0</v>
      </c>
      <c r="C40" s="284">
        <v>-3362349.7710726475</v>
      </c>
      <c r="D40" s="284">
        <v>3362349.7710726475</v>
      </c>
    </row>
    <row r="41" spans="1:4" x14ac:dyDescent="0.25">
      <c r="A41" s="264" t="s">
        <v>1132</v>
      </c>
      <c r="B41" s="284">
        <v>-40403893.57</v>
      </c>
      <c r="C41" s="284">
        <v>-53168011.54637076</v>
      </c>
      <c r="D41" s="284">
        <v>12764117.976370759</v>
      </c>
    </row>
    <row r="42" spans="1:4" x14ac:dyDescent="0.25">
      <c r="A42" s="263" t="s">
        <v>29</v>
      </c>
      <c r="B42" s="284"/>
      <c r="C42" s="284"/>
      <c r="D42" s="284"/>
    </row>
    <row r="43" spans="1:4" x14ac:dyDescent="0.25">
      <c r="A43" s="264" t="s">
        <v>29</v>
      </c>
      <c r="B43" s="284">
        <v>-7420951.9100000011</v>
      </c>
      <c r="C43" s="284">
        <v>-10113747.279958043</v>
      </c>
      <c r="D43" s="284">
        <v>2692795.3699580459</v>
      </c>
    </row>
    <row r="44" spans="1:4" x14ac:dyDescent="0.25">
      <c r="A44" s="263" t="s">
        <v>1121</v>
      </c>
      <c r="B44" s="284"/>
      <c r="C44" s="284"/>
      <c r="D44" s="284"/>
    </row>
    <row r="45" spans="1:4" x14ac:dyDescent="0.25">
      <c r="A45" s="264" t="s">
        <v>24</v>
      </c>
      <c r="B45" s="284">
        <v>-458640.08999999991</v>
      </c>
      <c r="C45" s="284">
        <v>-1256366.1962771674</v>
      </c>
      <c r="D45" s="284">
        <v>797726.10627716756</v>
      </c>
    </row>
    <row r="46" spans="1:4" x14ac:dyDescent="0.25">
      <c r="A46" s="2" t="s">
        <v>38</v>
      </c>
      <c r="B46" s="273">
        <v>-547344782.75999999</v>
      </c>
      <c r="C46" s="273">
        <v>-607715992.03341794</v>
      </c>
      <c r="D46" s="273">
        <v>60371209.273418024</v>
      </c>
    </row>
  </sheetData>
  <printOptions horizontalCentered="1"/>
  <pageMargins left="0.7" right="0.7" top="0.75" bottom="0.75" header="0.3" footer="0.3"/>
  <pageSetup scale="98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5" x14ac:dyDescent="0.25"/>
  <cols>
    <col min="1" max="1" width="33.140625" customWidth="1"/>
    <col min="2" max="2" width="17.85546875" customWidth="1"/>
    <col min="3" max="3" width="14" customWidth="1"/>
    <col min="4" max="4" width="15.42578125" customWidth="1"/>
  </cols>
  <sheetData>
    <row r="1" spans="1:4" x14ac:dyDescent="0.25">
      <c r="A1" s="247" t="s">
        <v>222</v>
      </c>
      <c r="B1" t="s">
        <v>1136</v>
      </c>
    </row>
    <row r="3" spans="1:4" ht="45" x14ac:dyDescent="0.25">
      <c r="A3" s="247" t="s">
        <v>204</v>
      </c>
      <c r="B3" s="229" t="s">
        <v>1108</v>
      </c>
      <c r="C3" s="229" t="s">
        <v>1109</v>
      </c>
      <c r="D3" s="229" t="s">
        <v>207</v>
      </c>
    </row>
    <row r="4" spans="1:4" x14ac:dyDescent="0.25">
      <c r="A4" s="2" t="s">
        <v>1107</v>
      </c>
      <c r="B4" s="284">
        <v>-9957164.3000000007</v>
      </c>
      <c r="C4" s="284">
        <v>-13392802.42354086</v>
      </c>
      <c r="D4" s="284">
        <v>3435638.1235408597</v>
      </c>
    </row>
    <row r="5" spans="1:4" x14ac:dyDescent="0.25">
      <c r="A5" s="263" t="s">
        <v>1126</v>
      </c>
      <c r="B5" s="284">
        <v>-3945897.5500000007</v>
      </c>
      <c r="C5" s="284">
        <v>-3072519.3168373057</v>
      </c>
      <c r="D5" s="284">
        <v>-873378.23316269508</v>
      </c>
    </row>
    <row r="6" spans="1:4" x14ac:dyDescent="0.25">
      <c r="A6" s="263" t="s">
        <v>1133</v>
      </c>
      <c r="B6" s="284">
        <v>-3900720.7699999996</v>
      </c>
      <c r="C6" s="284">
        <v>-4938754.5229263837</v>
      </c>
      <c r="D6" s="284">
        <v>1038033.7529263839</v>
      </c>
    </row>
    <row r="7" spans="1:4" x14ac:dyDescent="0.25">
      <c r="A7" s="263" t="s">
        <v>15</v>
      </c>
      <c r="B7" s="284">
        <v>-357666.64999999997</v>
      </c>
      <c r="C7" s="284">
        <v>0</v>
      </c>
      <c r="D7" s="284">
        <v>-357666.64999999997</v>
      </c>
    </row>
    <row r="8" spans="1:4" x14ac:dyDescent="0.25">
      <c r="A8" s="263" t="s">
        <v>1135</v>
      </c>
      <c r="B8" s="284"/>
      <c r="C8" s="284">
        <v>-3158695.7710000034</v>
      </c>
      <c r="D8" s="284">
        <v>3158695.7710000034</v>
      </c>
    </row>
    <row r="9" spans="1:4" x14ac:dyDescent="0.25">
      <c r="A9" s="263" t="s">
        <v>24</v>
      </c>
      <c r="B9" s="284">
        <v>-458640.08999999991</v>
      </c>
      <c r="C9" s="284">
        <v>-1256366.1962771674</v>
      </c>
      <c r="D9" s="284">
        <v>797726.10627716756</v>
      </c>
    </row>
    <row r="10" spans="1:4" x14ac:dyDescent="0.25">
      <c r="A10" s="263" t="s">
        <v>37</v>
      </c>
      <c r="B10" s="284">
        <v>-1294239.2399999998</v>
      </c>
      <c r="C10" s="284">
        <v>-966466.61649999989</v>
      </c>
      <c r="D10" s="284">
        <v>-327772.62349999987</v>
      </c>
    </row>
    <row r="11" spans="1:4" x14ac:dyDescent="0.25">
      <c r="A11" s="2" t="s">
        <v>1161</v>
      </c>
      <c r="B11" s="284">
        <v>-24543653.980000008</v>
      </c>
      <c r="C11" s="284">
        <v>-66290474.689021438</v>
      </c>
      <c r="D11" s="284">
        <v>41746820.709021449</v>
      </c>
    </row>
    <row r="12" spans="1:4" x14ac:dyDescent="0.25">
      <c r="A12" s="263" t="s">
        <v>29</v>
      </c>
      <c r="B12" s="284">
        <v>-24543653.980000008</v>
      </c>
      <c r="C12" s="284">
        <v>-66290474.689021438</v>
      </c>
      <c r="D12" s="284">
        <v>41746820.709021449</v>
      </c>
    </row>
    <row r="13" spans="1:4" x14ac:dyDescent="0.25">
      <c r="A13" s="2" t="s">
        <v>1164</v>
      </c>
      <c r="B13" s="284">
        <v>-115130677.49000001</v>
      </c>
      <c r="C13" s="284">
        <v>-141899986.64281133</v>
      </c>
      <c r="D13" s="284">
        <v>26769309.152811352</v>
      </c>
    </row>
    <row r="14" spans="1:4" x14ac:dyDescent="0.25">
      <c r="A14" s="263" t="s">
        <v>18</v>
      </c>
      <c r="B14" s="284">
        <v>-115130677.49000001</v>
      </c>
      <c r="C14" s="284">
        <v>-141899986.64281133</v>
      </c>
      <c r="D14" s="284">
        <v>26769309.152811352</v>
      </c>
    </row>
    <row r="15" spans="1:4" x14ac:dyDescent="0.25">
      <c r="A15" s="2" t="s">
        <v>1163</v>
      </c>
      <c r="B15" s="284">
        <v>-79497118.99999997</v>
      </c>
      <c r="C15" s="284">
        <v>-4064845.6680448372</v>
      </c>
      <c r="D15" s="284">
        <v>-75432273.331955135</v>
      </c>
    </row>
    <row r="16" spans="1:4" x14ac:dyDescent="0.25">
      <c r="A16" s="263" t="s">
        <v>7</v>
      </c>
      <c r="B16" s="284">
        <v>8593299.5</v>
      </c>
      <c r="C16" s="284">
        <v>17388699.999999959</v>
      </c>
      <c r="D16" s="284">
        <v>-8795400.499999959</v>
      </c>
    </row>
    <row r="17" spans="1:4" x14ac:dyDescent="0.25">
      <c r="A17" s="263" t="s">
        <v>1124</v>
      </c>
      <c r="B17" s="284">
        <v>-62625146.79999999</v>
      </c>
      <c r="C17" s="284">
        <v>-8026288.8031072477</v>
      </c>
      <c r="D17" s="284">
        <v>-54598857.99689275</v>
      </c>
    </row>
    <row r="18" spans="1:4" x14ac:dyDescent="0.25">
      <c r="A18" s="263" t="s">
        <v>1125</v>
      </c>
      <c r="B18" s="284">
        <v>-25465271.699999984</v>
      </c>
      <c r="C18" s="284">
        <v>-13427256.864937549</v>
      </c>
      <c r="D18" s="284">
        <v>-12038014.835062435</v>
      </c>
    </row>
    <row r="19" spans="1:4" x14ac:dyDescent="0.25">
      <c r="A19" s="2" t="s">
        <v>1162</v>
      </c>
      <c r="B19" s="284">
        <v>-106150055.11000006</v>
      </c>
      <c r="C19" s="284">
        <v>-120233571.83169058</v>
      </c>
      <c r="D19" s="284">
        <v>14083516.721690511</v>
      </c>
    </row>
    <row r="20" spans="1:4" x14ac:dyDescent="0.25">
      <c r="A20" s="263" t="s">
        <v>8</v>
      </c>
      <c r="B20" s="284">
        <v>1411391.3399999999</v>
      </c>
      <c r="C20" s="284">
        <v>1548399.999999996</v>
      </c>
      <c r="D20" s="284">
        <v>-137008.65999999619</v>
      </c>
    </row>
    <row r="21" spans="1:4" x14ac:dyDescent="0.25">
      <c r="A21" s="263" t="s">
        <v>1124</v>
      </c>
      <c r="B21" s="284">
        <v>-602052.64000000013</v>
      </c>
      <c r="C21" s="284">
        <v>0</v>
      </c>
      <c r="D21" s="284">
        <v>-602052.64000000013</v>
      </c>
    </row>
    <row r="22" spans="1:4" x14ac:dyDescent="0.25">
      <c r="A22" s="263" t="s">
        <v>1130</v>
      </c>
      <c r="B22" s="284">
        <v>-80981287.580000058</v>
      </c>
      <c r="C22" s="284">
        <v>-112076223.91261405</v>
      </c>
      <c r="D22" s="284">
        <v>31094936.33261399</v>
      </c>
    </row>
    <row r="23" spans="1:4" x14ac:dyDescent="0.25">
      <c r="A23" s="263" t="s">
        <v>1131</v>
      </c>
      <c r="B23" s="284">
        <v>-25978106.230000004</v>
      </c>
      <c r="C23" s="284">
        <v>-9705747.9190765247</v>
      </c>
      <c r="D23" s="284">
        <v>-16272358.310923481</v>
      </c>
    </row>
    <row r="24" spans="1:4" x14ac:dyDescent="0.25">
      <c r="A24" s="2" t="s">
        <v>1166</v>
      </c>
      <c r="B24" s="284">
        <v>-2444954</v>
      </c>
      <c r="C24" s="284">
        <v>-18519242.533312965</v>
      </c>
      <c r="D24" s="284">
        <v>16074288.533312967</v>
      </c>
    </row>
    <row r="25" spans="1:4" x14ac:dyDescent="0.25">
      <c r="A25" s="263" t="s">
        <v>22</v>
      </c>
      <c r="B25" s="284">
        <v>-2444954</v>
      </c>
      <c r="C25" s="284">
        <v>-18519242.533312965</v>
      </c>
      <c r="D25" s="284">
        <v>16074288.533312967</v>
      </c>
    </row>
    <row r="26" spans="1:4" x14ac:dyDescent="0.25">
      <c r="A26" s="2" t="s">
        <v>1159</v>
      </c>
      <c r="B26" s="284">
        <v>-87315975.869999975</v>
      </c>
      <c r="C26" s="284">
        <v>-76094469.071159199</v>
      </c>
      <c r="D26" s="284">
        <v>-11221506.798840787</v>
      </c>
    </row>
    <row r="27" spans="1:4" x14ac:dyDescent="0.25">
      <c r="A27" s="263" t="s">
        <v>13</v>
      </c>
      <c r="B27" s="284">
        <v>-72642929.149999976</v>
      </c>
      <c r="C27" s="284">
        <v>-58072643.307474904</v>
      </c>
      <c r="D27" s="284">
        <v>-14570285.842525076</v>
      </c>
    </row>
    <row r="28" spans="1:4" x14ac:dyDescent="0.25">
      <c r="A28" s="263" t="s">
        <v>14</v>
      </c>
      <c r="B28" s="284">
        <v>-14673046.720000003</v>
      </c>
      <c r="C28" s="284">
        <v>-18021825.763684291</v>
      </c>
      <c r="D28" s="284">
        <v>3348779.0436842884</v>
      </c>
    </row>
    <row r="29" spans="1:4" x14ac:dyDescent="0.25">
      <c r="A29" s="2" t="s">
        <v>1157</v>
      </c>
      <c r="B29" s="284">
        <v>-70117738.75</v>
      </c>
      <c r="C29" s="284">
        <v>-43815380.640624158</v>
      </c>
      <c r="D29" s="284">
        <v>-26302358.109375842</v>
      </c>
    </row>
    <row r="30" spans="1:4" x14ac:dyDescent="0.25">
      <c r="A30" s="263" t="s">
        <v>1127</v>
      </c>
      <c r="B30" s="284">
        <v>-3826724.8500000006</v>
      </c>
      <c r="C30" s="284">
        <v>-42532246.445002936</v>
      </c>
      <c r="D30" s="284">
        <v>38705521.595002934</v>
      </c>
    </row>
    <row r="31" spans="1:4" x14ac:dyDescent="0.25">
      <c r="A31" s="263" t="s">
        <v>1128</v>
      </c>
      <c r="B31" s="284">
        <v>-40475987.649999991</v>
      </c>
      <c r="C31" s="284">
        <v>-1283134.1956212255</v>
      </c>
      <c r="D31" s="284">
        <v>-39192853.454378769</v>
      </c>
    </row>
    <row r="32" spans="1:4" x14ac:dyDescent="0.25">
      <c r="A32" s="263" t="s">
        <v>1129</v>
      </c>
      <c r="B32" s="284">
        <v>-25815026.250000007</v>
      </c>
      <c r="C32" s="284">
        <v>0</v>
      </c>
      <c r="D32" s="284">
        <v>-25815026.250000007</v>
      </c>
    </row>
    <row r="33" spans="1:4" x14ac:dyDescent="0.25">
      <c r="A33" s="2" t="s">
        <v>1165</v>
      </c>
      <c r="B33" s="284">
        <v>-11783550.689999998</v>
      </c>
      <c r="C33" s="284">
        <v>-19964351.199199919</v>
      </c>
      <c r="D33" s="284">
        <v>8180800.5091999155</v>
      </c>
    </row>
    <row r="34" spans="1:4" x14ac:dyDescent="0.25">
      <c r="A34" s="263" t="s">
        <v>16</v>
      </c>
      <c r="B34" s="284">
        <v>-11783550.689999998</v>
      </c>
      <c r="C34" s="284">
        <v>-19964351.199199919</v>
      </c>
      <c r="D34" s="284">
        <v>8180800.5091999155</v>
      </c>
    </row>
    <row r="35" spans="1:4" x14ac:dyDescent="0.25">
      <c r="A35" s="2" t="s">
        <v>1167</v>
      </c>
      <c r="B35" s="284">
        <v>0</v>
      </c>
      <c r="C35" s="284">
        <v>-3362349.7710726475</v>
      </c>
      <c r="D35" s="284">
        <v>3362349.7710726475</v>
      </c>
    </row>
    <row r="36" spans="1:4" x14ac:dyDescent="0.25">
      <c r="A36" s="263" t="s">
        <v>23</v>
      </c>
      <c r="B36" s="284">
        <v>0</v>
      </c>
      <c r="C36" s="284">
        <v>-3362349.7710726475</v>
      </c>
      <c r="D36" s="284">
        <v>3362349.7710726475</v>
      </c>
    </row>
    <row r="37" spans="1:4" x14ac:dyDescent="0.25">
      <c r="A37" s="2" t="s">
        <v>1160</v>
      </c>
      <c r="B37" s="284">
        <v>-40403893.57</v>
      </c>
      <c r="C37" s="284">
        <v>-53168011.54637076</v>
      </c>
      <c r="D37" s="284">
        <v>12764117.976370759</v>
      </c>
    </row>
    <row r="38" spans="1:4" x14ac:dyDescent="0.25">
      <c r="A38" s="263" t="s">
        <v>1132</v>
      </c>
      <c r="B38" s="284">
        <v>-40403893.57</v>
      </c>
      <c r="C38" s="284">
        <v>-53168011.54637076</v>
      </c>
      <c r="D38" s="284">
        <v>12764117.976370759</v>
      </c>
    </row>
    <row r="39" spans="1:4" x14ac:dyDescent="0.25">
      <c r="A39" s="2" t="s">
        <v>1158</v>
      </c>
      <c r="B39" s="284">
        <v>0</v>
      </c>
      <c r="C39" s="284">
        <v>-7967622.301871445</v>
      </c>
      <c r="D39" s="284">
        <v>7967622.301871445</v>
      </c>
    </row>
    <row r="40" spans="1:4" x14ac:dyDescent="0.25">
      <c r="A40" s="263" t="s">
        <v>4</v>
      </c>
      <c r="B40" s="284">
        <v>0</v>
      </c>
      <c r="C40" s="284">
        <v>-7967622.301871445</v>
      </c>
      <c r="D40" s="284">
        <v>7967622.301871445</v>
      </c>
    </row>
    <row r="41" spans="1:4" x14ac:dyDescent="0.25">
      <c r="A41" s="2" t="s">
        <v>1168</v>
      </c>
      <c r="B41" s="284">
        <v>0</v>
      </c>
      <c r="C41" s="284">
        <v>-22989916.785140418</v>
      </c>
      <c r="D41" s="284">
        <v>22989916.785140418</v>
      </c>
    </row>
    <row r="42" spans="1:4" x14ac:dyDescent="0.25">
      <c r="A42" s="263" t="s">
        <v>1134</v>
      </c>
      <c r="B42" s="284">
        <v>0</v>
      </c>
      <c r="C42" s="284">
        <v>-22989916.785140418</v>
      </c>
      <c r="D42" s="284">
        <v>22989916.785140418</v>
      </c>
    </row>
    <row r="43" spans="1:4" x14ac:dyDescent="0.25">
      <c r="A43" s="2" t="s">
        <v>1169</v>
      </c>
      <c r="B43" s="284">
        <v>0</v>
      </c>
      <c r="C43" s="284">
        <v>-15952966.929557476</v>
      </c>
      <c r="D43" s="284">
        <v>15952966.929557476</v>
      </c>
    </row>
    <row r="44" spans="1:4" x14ac:dyDescent="0.25">
      <c r="A44" s="263" t="s">
        <v>32</v>
      </c>
      <c r="B44" s="284">
        <v>0</v>
      </c>
      <c r="C44" s="284">
        <v>-15952966.929557476</v>
      </c>
      <c r="D44" s="284">
        <v>15952966.929557476</v>
      </c>
    </row>
    <row r="45" spans="1:4" x14ac:dyDescent="0.25">
      <c r="A45" s="2" t="s">
        <v>38</v>
      </c>
      <c r="B45" s="284">
        <v>-547344782.76000011</v>
      </c>
      <c r="C45" s="284">
        <v>-607715992.03341794</v>
      </c>
      <c r="D45" s="284">
        <v>60371209.273418024</v>
      </c>
    </row>
    <row r="46" spans="1:4" x14ac:dyDescent="0.25">
      <c r="B46" s="275"/>
      <c r="C46" s="275"/>
      <c r="D46" s="275"/>
    </row>
    <row r="47" spans="1:4" x14ac:dyDescent="0.25">
      <c r="B47" s="275"/>
      <c r="C47" s="275"/>
      <c r="D47" s="275"/>
    </row>
    <row r="48" spans="1:4" x14ac:dyDescent="0.25">
      <c r="B48" s="275"/>
      <c r="C48" s="275"/>
      <c r="D48" s="27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85" zoomScaleNormal="85" workbookViewId="0">
      <selection activeCell="B23" sqref="B23"/>
    </sheetView>
  </sheetViews>
  <sheetFormatPr defaultRowHeight="15" x14ac:dyDescent="0.25"/>
  <cols>
    <col min="2" max="2" width="15.7109375" customWidth="1"/>
    <col min="3" max="3" width="12" bestFit="1" customWidth="1"/>
    <col min="4" max="4" width="15.5703125" bestFit="1" customWidth="1"/>
    <col min="5" max="5" width="14.28515625" bestFit="1" customWidth="1"/>
    <col min="6" max="6" width="16.5703125" bestFit="1" customWidth="1"/>
    <col min="7" max="7" width="12.85546875" bestFit="1" customWidth="1"/>
    <col min="8" max="8" width="16.42578125" bestFit="1" customWidth="1"/>
  </cols>
  <sheetData>
    <row r="2" spans="2:15" x14ac:dyDescent="0.25">
      <c r="B2" t="s">
        <v>1141</v>
      </c>
    </row>
    <row r="4" spans="2:15" x14ac:dyDescent="0.25">
      <c r="C4" s="300"/>
      <c r="D4" s="300"/>
      <c r="E4" s="300"/>
      <c r="F4" s="300"/>
      <c r="G4" s="300"/>
      <c r="H4" s="300"/>
    </row>
    <row r="5" spans="2:15" x14ac:dyDescent="0.25">
      <c r="B5" s="301" t="s">
        <v>1142</v>
      </c>
      <c r="C5" s="301" t="s">
        <v>1143</v>
      </c>
      <c r="D5" s="301">
        <v>2022</v>
      </c>
      <c r="E5" s="301">
        <v>2023</v>
      </c>
      <c r="F5" s="301">
        <v>2024</v>
      </c>
      <c r="G5" s="301">
        <v>2025</v>
      </c>
      <c r="H5" s="301" t="s">
        <v>1144</v>
      </c>
    </row>
    <row r="6" spans="2:15" x14ac:dyDescent="0.25">
      <c r="B6" s="302"/>
      <c r="C6" s="302"/>
      <c r="D6" s="302"/>
      <c r="E6" s="302"/>
      <c r="F6" s="302"/>
      <c r="G6" s="302"/>
      <c r="H6" s="302"/>
    </row>
    <row r="7" spans="2:15" x14ac:dyDescent="0.25">
      <c r="B7" s="302" t="s">
        <v>1145</v>
      </c>
      <c r="C7" s="303">
        <v>0</v>
      </c>
      <c r="D7" s="303">
        <v>-40119811.454329111</v>
      </c>
      <c r="E7" s="303">
        <v>0</v>
      </c>
      <c r="F7" s="303">
        <v>-256428722.37744194</v>
      </c>
      <c r="G7" s="303">
        <v>-254417.050227406</v>
      </c>
      <c r="H7" s="303">
        <v>-296802950.88199842</v>
      </c>
    </row>
    <row r="8" spans="2:15" x14ac:dyDescent="0.25">
      <c r="B8" s="302" t="s">
        <v>1146</v>
      </c>
      <c r="C8" s="304">
        <v>0</v>
      </c>
      <c r="D8" s="304">
        <v>0</v>
      </c>
      <c r="E8" s="304">
        <v>-40119811.454329111</v>
      </c>
      <c r="F8" s="304">
        <v>-256683139.42766923</v>
      </c>
      <c r="G8" s="304"/>
      <c r="H8" s="303">
        <v>-296802950.88199842</v>
      </c>
    </row>
    <row r="9" spans="2:15" ht="15.75" thickBot="1" x14ac:dyDescent="0.3">
      <c r="B9" s="302" t="s">
        <v>1147</v>
      </c>
      <c r="C9" s="305">
        <f>C7-C8</f>
        <v>0</v>
      </c>
      <c r="D9" s="305">
        <f t="shared" ref="D9:H9" si="0">D7-D8</f>
        <v>-40119811.454329111</v>
      </c>
      <c r="E9" s="305">
        <f t="shared" si="0"/>
        <v>40119811.454329111</v>
      </c>
      <c r="F9" s="305">
        <f t="shared" si="0"/>
        <v>254417.05022728443</v>
      </c>
      <c r="G9" s="305">
        <f t="shared" si="0"/>
        <v>-254417.050227406</v>
      </c>
      <c r="H9" s="305">
        <f t="shared" si="0"/>
        <v>0</v>
      </c>
    </row>
    <row r="10" spans="2:15" ht="15.75" thickTop="1" x14ac:dyDescent="0.25">
      <c r="B10" s="302"/>
      <c r="C10" s="309"/>
      <c r="D10" s="309"/>
      <c r="E10" s="309"/>
      <c r="F10" s="309"/>
      <c r="G10" s="309"/>
      <c r="H10" s="309"/>
    </row>
    <row r="11" spans="2:15" x14ac:dyDescent="0.25">
      <c r="B11" s="302"/>
      <c r="C11" s="309"/>
      <c r="D11" s="309"/>
      <c r="E11" s="309"/>
      <c r="F11" s="309"/>
      <c r="G11" s="309"/>
      <c r="H11" s="309"/>
    </row>
    <row r="15" spans="2:15" x14ac:dyDescent="0.25">
      <c r="D15" s="306" t="s">
        <v>1148</v>
      </c>
      <c r="O15" s="267" t="s">
        <v>1149</v>
      </c>
    </row>
    <row r="16" spans="2:15" x14ac:dyDescent="0.25">
      <c r="D16" s="307" t="s">
        <v>1150</v>
      </c>
    </row>
    <row r="17" spans="4:15" x14ac:dyDescent="0.25">
      <c r="D17" s="307" t="s">
        <v>1151</v>
      </c>
    </row>
    <row r="18" spans="4:15" x14ac:dyDescent="0.25">
      <c r="D18" s="307" t="s">
        <v>1152</v>
      </c>
      <c r="O18" s="308">
        <v>2.5100000000000001E-2</v>
      </c>
    </row>
    <row r="19" spans="4:15" x14ac:dyDescent="0.25">
      <c r="D19" s="307" t="s">
        <v>1153</v>
      </c>
      <c r="O19" s="308">
        <v>1.54E-2</v>
      </c>
    </row>
    <row r="20" spans="4:15" x14ac:dyDescent="0.25">
      <c r="D20" s="307" t="s">
        <v>1154</v>
      </c>
    </row>
    <row r="21" spans="4:15" x14ac:dyDescent="0.25">
      <c r="D21" s="83" t="s">
        <v>1155</v>
      </c>
    </row>
    <row r="29" spans="4:15" x14ac:dyDescent="0.25">
      <c r="E29" t="s">
        <v>1156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F19" sqref="F19"/>
    </sheetView>
  </sheetViews>
  <sheetFormatPr defaultColWidth="9.28515625" defaultRowHeight="12.75" x14ac:dyDescent="0.2"/>
  <cols>
    <col min="1" max="1" width="4.28515625" style="149" bestFit="1" customWidth="1"/>
    <col min="2" max="2" width="58.7109375" style="149" customWidth="1"/>
    <col min="3" max="3" width="15" style="149" bestFit="1" customWidth="1"/>
    <col min="4" max="4" width="15.28515625" style="149" bestFit="1" customWidth="1"/>
    <col min="5" max="6" width="16.42578125" style="149" bestFit="1" customWidth="1"/>
    <col min="7" max="9" width="15.28515625" style="149" bestFit="1" customWidth="1"/>
    <col min="10" max="10" width="16.85546875" style="149" bestFit="1" customWidth="1"/>
    <col min="11" max="16384" width="9.28515625" style="149"/>
  </cols>
  <sheetData>
    <row r="1" spans="1:10" x14ac:dyDescent="0.2">
      <c r="A1" s="148" t="s">
        <v>165</v>
      </c>
      <c r="E1" s="150" t="s">
        <v>166</v>
      </c>
    </row>
    <row r="2" spans="1:10" x14ac:dyDescent="0.2">
      <c r="A2" s="148" t="s">
        <v>167</v>
      </c>
    </row>
    <row r="3" spans="1:10" x14ac:dyDescent="0.2">
      <c r="A3" s="148" t="s">
        <v>168</v>
      </c>
    </row>
    <row r="4" spans="1:10" x14ac:dyDescent="0.2">
      <c r="A4" s="148"/>
    </row>
    <row r="5" spans="1:10" x14ac:dyDescent="0.2">
      <c r="A5" s="151" t="s">
        <v>169</v>
      </c>
    </row>
    <row r="7" spans="1:10" ht="15" x14ac:dyDescent="0.25">
      <c r="A7" s="152" t="s">
        <v>170</v>
      </c>
      <c r="B7" s="152" t="s">
        <v>171</v>
      </c>
      <c r="C7" s="152">
        <v>2022</v>
      </c>
      <c r="D7" s="152">
        <v>2023</v>
      </c>
      <c r="E7" s="152">
        <v>2024</v>
      </c>
      <c r="F7" s="153"/>
    </row>
    <row r="8" spans="1:10" ht="15" x14ac:dyDescent="0.25">
      <c r="F8" s="153"/>
    </row>
    <row r="9" spans="1:10" ht="15" x14ac:dyDescent="0.25">
      <c r="A9" s="329">
        <f>ROW()</f>
        <v>9</v>
      </c>
      <c r="B9" s="324" t="s">
        <v>96</v>
      </c>
      <c r="C9" s="155">
        <v>2.6200000000000001E-2</v>
      </c>
      <c r="D9" s="155">
        <v>2.5499999999999998E-2</v>
      </c>
      <c r="E9" s="155">
        <v>2.5499999999999998E-2</v>
      </c>
      <c r="F9" s="156"/>
      <c r="G9" s="156"/>
      <c r="H9" s="156"/>
    </row>
    <row r="10" spans="1:10" ht="15" x14ac:dyDescent="0.25">
      <c r="A10" s="329">
        <f>ROW()</f>
        <v>10</v>
      </c>
      <c r="B10" s="324" t="s">
        <v>97</v>
      </c>
      <c r="C10" s="155">
        <v>7.2300000000000003E-2</v>
      </c>
      <c r="D10" s="155">
        <v>7.1599999999999997E-2</v>
      </c>
      <c r="E10" s="155">
        <v>7.1599999999999997E-2</v>
      </c>
      <c r="F10" s="156"/>
      <c r="G10" s="156"/>
      <c r="H10" s="156"/>
    </row>
    <row r="11" spans="1:10" ht="15" x14ac:dyDescent="0.25">
      <c r="A11" s="329">
        <f>ROW()</f>
        <v>11</v>
      </c>
      <c r="B11" s="324" t="s">
        <v>98</v>
      </c>
      <c r="C11" s="155">
        <v>0.21</v>
      </c>
      <c r="D11" s="155">
        <v>0.21</v>
      </c>
      <c r="E11" s="155">
        <v>0.21</v>
      </c>
      <c r="F11" s="156"/>
      <c r="G11" s="156"/>
      <c r="H11" s="156"/>
    </row>
    <row r="12" spans="1:10" ht="15" x14ac:dyDescent="0.25">
      <c r="A12" s="329">
        <f>ROW()</f>
        <v>12</v>
      </c>
      <c r="B12" s="324" t="s">
        <v>99</v>
      </c>
      <c r="C12" s="155">
        <v>0.752355</v>
      </c>
      <c r="D12" s="155">
        <v>0.752355</v>
      </c>
      <c r="E12" s="155">
        <v>0.752355</v>
      </c>
      <c r="F12" s="156"/>
      <c r="G12" s="156"/>
      <c r="H12" s="156"/>
    </row>
    <row r="13" spans="1:10" ht="15" x14ac:dyDescent="0.25">
      <c r="A13" s="329">
        <f>ROW()</f>
        <v>13</v>
      </c>
      <c r="B13" s="324" t="s">
        <v>147</v>
      </c>
      <c r="C13" s="157">
        <v>466843558.72516948</v>
      </c>
      <c r="D13" s="157">
        <v>682036404.07630312</v>
      </c>
      <c r="E13" s="157">
        <v>1388026490.6517072</v>
      </c>
      <c r="F13" s="158"/>
      <c r="G13" s="158"/>
      <c r="H13" s="158"/>
      <c r="I13" s="158"/>
      <c r="J13" s="158"/>
    </row>
    <row r="14" spans="1:10" ht="15" x14ac:dyDescent="0.25">
      <c r="A14" s="329">
        <f>ROW()</f>
        <v>14</v>
      </c>
      <c r="B14" s="324"/>
      <c r="C14" s="157"/>
      <c r="D14" s="157"/>
      <c r="E14" s="157"/>
      <c r="F14" s="156"/>
      <c r="G14" s="156"/>
      <c r="H14" s="156"/>
      <c r="I14" s="156"/>
      <c r="J14" s="156"/>
    </row>
    <row r="15" spans="1:10" ht="15" x14ac:dyDescent="0.25">
      <c r="A15" s="329">
        <f>ROW()</f>
        <v>15</v>
      </c>
      <c r="B15" s="324" t="s">
        <v>172</v>
      </c>
      <c r="C15" s="157">
        <v>-7056541.818855999</v>
      </c>
      <c r="D15" s="157">
        <v>-30022505.538783982</v>
      </c>
      <c r="E15" s="157">
        <v>-72434981.631290019</v>
      </c>
      <c r="F15" s="158"/>
      <c r="G15" s="158"/>
      <c r="H15" s="158"/>
      <c r="I15" s="158"/>
      <c r="J15" s="158"/>
    </row>
    <row r="16" spans="1:10" ht="15" x14ac:dyDescent="0.25">
      <c r="A16" s="329">
        <f>ROW()</f>
        <v>16</v>
      </c>
      <c r="B16" s="324" t="s">
        <v>173</v>
      </c>
      <c r="C16" s="159">
        <v>1731154.2774910009</v>
      </c>
      <c r="D16" s="159">
        <v>6205711.5625445591</v>
      </c>
      <c r="E16" s="159">
        <v>15652329.743660886</v>
      </c>
      <c r="F16" s="158"/>
      <c r="G16" s="158"/>
      <c r="H16" s="158"/>
      <c r="I16" s="158"/>
      <c r="J16" s="158"/>
    </row>
    <row r="17" spans="1:9" ht="15" x14ac:dyDescent="0.25">
      <c r="A17" s="329">
        <f>ROW()</f>
        <v>17</v>
      </c>
      <c r="B17" s="324" t="s">
        <v>174</v>
      </c>
      <c r="C17" s="160">
        <f>SUM(C15:C16)</f>
        <v>-5325387.5413649976</v>
      </c>
      <c r="D17" s="160">
        <f>SUM(D15:D16)</f>
        <v>-23816793.976239424</v>
      </c>
      <c r="E17" s="160">
        <f>SUM(E15:E16)</f>
        <v>-56782651.887629136</v>
      </c>
      <c r="F17" s="156"/>
      <c r="G17" s="156"/>
      <c r="H17" s="156"/>
    </row>
    <row r="18" spans="1:9" ht="15" x14ac:dyDescent="0.25">
      <c r="A18" s="329">
        <f>ROW()</f>
        <v>18</v>
      </c>
      <c r="B18" s="324" t="s">
        <v>175</v>
      </c>
      <c r="C18" s="159">
        <f>C13*C9*C11</f>
        <v>2568573.2601058823</v>
      </c>
      <c r="D18" s="159">
        <f>D13*D9*D11</f>
        <v>3652304.9438286028</v>
      </c>
      <c r="E18" s="159">
        <f>E13*E9*E11</f>
        <v>7432881.8574398914</v>
      </c>
      <c r="F18" s="156"/>
      <c r="G18" s="156"/>
      <c r="H18" s="156"/>
    </row>
    <row r="19" spans="1:9" ht="15" x14ac:dyDescent="0.25">
      <c r="A19" s="329">
        <f>ROW()</f>
        <v>19</v>
      </c>
      <c r="B19" s="324" t="s">
        <v>176</v>
      </c>
      <c r="C19" s="160">
        <f>SUM(C17:C18)</f>
        <v>-2756814.2812591153</v>
      </c>
      <c r="D19" s="160">
        <f>SUM(D17:D18)</f>
        <v>-20164489.032410823</v>
      </c>
      <c r="E19" s="160">
        <f>SUM(E17:E18)</f>
        <v>-49349770.030189246</v>
      </c>
      <c r="F19" s="156"/>
      <c r="G19" s="156"/>
      <c r="H19" s="156"/>
    </row>
    <row r="20" spans="1:9" ht="15" x14ac:dyDescent="0.25">
      <c r="A20" s="329">
        <f>ROW()</f>
        <v>20</v>
      </c>
      <c r="B20" s="324" t="s">
        <v>177</v>
      </c>
      <c r="C20" s="159">
        <f>C13*C10</f>
        <v>33752789.295829758</v>
      </c>
      <c r="D20" s="159">
        <f>D13*D10</f>
        <v>48833806.531863302</v>
      </c>
      <c r="E20" s="159">
        <f>E13*E10</f>
        <v>99382696.730662227</v>
      </c>
      <c r="F20" s="156"/>
      <c r="G20" s="156"/>
      <c r="H20" s="156"/>
    </row>
    <row r="21" spans="1:9" ht="15" x14ac:dyDescent="0.25">
      <c r="A21" s="329">
        <f>ROW()</f>
        <v>21</v>
      </c>
      <c r="B21" s="324" t="s">
        <v>94</v>
      </c>
      <c r="C21" s="161">
        <f>C20-C19</f>
        <v>36509603.57708887</v>
      </c>
      <c r="D21" s="161">
        <f>D20-D19</f>
        <v>68998295.564274132</v>
      </c>
      <c r="E21" s="161">
        <f>E20-E19</f>
        <v>148732466.76085147</v>
      </c>
      <c r="F21" s="156"/>
      <c r="G21" s="156"/>
      <c r="H21" s="156"/>
    </row>
    <row r="22" spans="1:9" ht="15.75" thickBot="1" x14ac:dyDescent="0.3">
      <c r="A22" s="329">
        <f>ROW()</f>
        <v>22</v>
      </c>
      <c r="B22" s="324" t="s">
        <v>178</v>
      </c>
      <c r="C22" s="162">
        <f>C21/C12</f>
        <v>48527096.353568286</v>
      </c>
      <c r="D22" s="162">
        <f>D21/D12</f>
        <v>91709758.776474044</v>
      </c>
      <c r="E22" s="162">
        <f>E21/E12</f>
        <v>197689211.5568468</v>
      </c>
      <c r="F22" s="156"/>
      <c r="G22" s="156"/>
      <c r="H22" s="156"/>
      <c r="I22" s="163"/>
    </row>
    <row r="23" spans="1:9" ht="15.75" thickTop="1" x14ac:dyDescent="0.25">
      <c r="A23" s="329">
        <f>ROW()</f>
        <v>23</v>
      </c>
      <c r="B23" s="324" t="s">
        <v>179</v>
      </c>
      <c r="C23" s="157">
        <v>0</v>
      </c>
      <c r="D23" s="157">
        <f>D22</f>
        <v>91709758.776474044</v>
      </c>
      <c r="E23" s="157">
        <f>E22</f>
        <v>197689211.5568468</v>
      </c>
      <c r="F23" s="156"/>
      <c r="G23" s="156"/>
      <c r="H23" s="156"/>
      <c r="I23" s="163"/>
    </row>
    <row r="24" spans="1:9" ht="15" x14ac:dyDescent="0.25">
      <c r="A24" s="329">
        <f>ROW()</f>
        <v>24</v>
      </c>
      <c r="B24" s="324"/>
      <c r="C24" s="164"/>
      <c r="D24" s="157"/>
      <c r="E24" s="157"/>
      <c r="F24" s="156"/>
      <c r="G24" s="156"/>
      <c r="H24" s="156"/>
    </row>
    <row r="25" spans="1:9" ht="15.75" thickBot="1" x14ac:dyDescent="0.3">
      <c r="A25" s="329">
        <f>ROW()</f>
        <v>25</v>
      </c>
      <c r="B25" s="324" t="s">
        <v>180</v>
      </c>
      <c r="C25" s="165">
        <f>C23</f>
        <v>0</v>
      </c>
      <c r="D25" s="166">
        <f>D23-C23</f>
        <v>91709758.776474044</v>
      </c>
      <c r="E25" s="166">
        <f>E23-D23</f>
        <v>105979452.78037275</v>
      </c>
      <c r="F25" s="156"/>
      <c r="G25" s="156"/>
      <c r="H25" s="156"/>
    </row>
    <row r="26" spans="1:9" ht="15.75" thickTop="1" x14ac:dyDescent="0.25">
      <c r="A26" s="324"/>
      <c r="B26" s="324"/>
      <c r="C26" s="330"/>
      <c r="D26" s="330"/>
      <c r="E26" s="330"/>
    </row>
    <row r="27" spans="1:9" ht="15" x14ac:dyDescent="0.25">
      <c r="A27" s="324"/>
      <c r="B27" s="324"/>
      <c r="C27" s="330"/>
      <c r="D27" s="330"/>
      <c r="E27" s="330"/>
    </row>
    <row r="28" spans="1:9" ht="15" x14ac:dyDescent="0.25">
      <c r="A28" s="324"/>
      <c r="B28" s="324" t="s">
        <v>1183</v>
      </c>
      <c r="C28" s="331">
        <f>C22</f>
        <v>48527096.353568286</v>
      </c>
      <c r="D28" s="331">
        <f>D25-C28</f>
        <v>43182662.422905758</v>
      </c>
      <c r="E28" s="331">
        <f>E25</f>
        <v>105979452.78037275</v>
      </c>
      <c r="F28" s="173">
        <f>SUM(C28:E28)</f>
        <v>197689211.5568468</v>
      </c>
      <c r="G28" s="323">
        <f>F28-E23</f>
        <v>0</v>
      </c>
    </row>
    <row r="29" spans="1:9" ht="15" x14ac:dyDescent="0.25">
      <c r="A29" s="324"/>
      <c r="B29" s="324" t="s">
        <v>1184</v>
      </c>
      <c r="C29" s="325">
        <f>D29</f>
        <v>5.0000000000000001E-3</v>
      </c>
      <c r="D29" s="325">
        <f>'STR RR Recalc'!G22</f>
        <v>5.0000000000000001E-3</v>
      </c>
      <c r="E29" s="325">
        <f>D29</f>
        <v>5.0000000000000001E-3</v>
      </c>
      <c r="F29" s="153"/>
    </row>
    <row r="30" spans="1:9" ht="15" x14ac:dyDescent="0.25">
      <c r="A30" s="324"/>
      <c r="B30" s="324" t="s">
        <v>1185</v>
      </c>
      <c r="C30" s="326">
        <f>D30</f>
        <v>4532676.7554964293</v>
      </c>
      <c r="D30" s="327">
        <f>D13*D29/D12</f>
        <v>4532676.7554964293</v>
      </c>
      <c r="E30" s="327">
        <f>E13*E29/E12</f>
        <v>9224544.8667963073</v>
      </c>
      <c r="F30" s="153"/>
    </row>
    <row r="31" spans="1:9" ht="15" x14ac:dyDescent="0.25">
      <c r="A31" s="324"/>
      <c r="B31" s="324"/>
      <c r="C31" s="328">
        <f>C30/C22</f>
        <v>9.3405068427572083E-2</v>
      </c>
      <c r="D31" s="328">
        <f>D30/D28</f>
        <v>0.10496519902145084</v>
      </c>
      <c r="E31" s="328">
        <f>E30/E28</f>
        <v>8.7040880329065831E-2</v>
      </c>
      <c r="F31" s="153"/>
    </row>
    <row r="32" spans="1:9" ht="15" x14ac:dyDescent="0.25">
      <c r="B32" s="153"/>
      <c r="C32" s="153"/>
      <c r="D32" s="153"/>
      <c r="E32" s="153"/>
      <c r="F32" s="153"/>
    </row>
    <row r="33" spans="2:6" ht="15" x14ac:dyDescent="0.25">
      <c r="B33" s="153"/>
      <c r="C33" s="153"/>
      <c r="D33" s="153"/>
      <c r="E33" s="153"/>
      <c r="F33" s="153"/>
    </row>
    <row r="34" spans="2:6" ht="15" x14ac:dyDescent="0.25">
      <c r="B34" s="153"/>
      <c r="C34" s="153"/>
      <c r="D34" s="153"/>
      <c r="E34" s="153"/>
      <c r="F34" s="153"/>
    </row>
    <row r="35" spans="2:6" ht="15" x14ac:dyDescent="0.25">
      <c r="B35" s="153"/>
      <c r="C35" s="153"/>
      <c r="D35" s="153"/>
      <c r="E35" s="153"/>
      <c r="F35" s="153"/>
    </row>
    <row r="36" spans="2:6" ht="15" x14ac:dyDescent="0.25">
      <c r="B36" s="153"/>
      <c r="C36" s="153"/>
      <c r="D36" s="153"/>
      <c r="E36" s="153"/>
      <c r="F36" s="153"/>
    </row>
    <row r="37" spans="2:6" ht="15" x14ac:dyDescent="0.25">
      <c r="B37" s="153"/>
      <c r="C37" s="153"/>
      <c r="D37" s="153"/>
      <c r="E37" s="153"/>
      <c r="F37" s="153"/>
    </row>
    <row r="38" spans="2:6" ht="15" x14ac:dyDescent="0.25">
      <c r="B38" s="153"/>
      <c r="C38" s="153"/>
      <c r="D38" s="153"/>
      <c r="E38" s="153"/>
      <c r="F38" s="153"/>
    </row>
    <row r="39" spans="2:6" ht="15" x14ac:dyDescent="0.25">
      <c r="B39" s="153"/>
      <c r="C39" s="153"/>
      <c r="D39" s="153"/>
      <c r="E39" s="153"/>
      <c r="F39" s="153"/>
    </row>
    <row r="40" spans="2:6" ht="15" x14ac:dyDescent="0.25">
      <c r="B40" s="153"/>
      <c r="C40" s="153"/>
      <c r="D40" s="153"/>
      <c r="E40" s="153"/>
      <c r="F40" s="153"/>
    </row>
    <row r="41" spans="2:6" ht="15" x14ac:dyDescent="0.25">
      <c r="B41" s="153"/>
      <c r="C41" s="153"/>
      <c r="D41" s="153"/>
      <c r="E41" s="153"/>
      <c r="F41" s="153"/>
    </row>
    <row r="42" spans="2:6" ht="15" x14ac:dyDescent="0.25">
      <c r="B42" s="153"/>
      <c r="C42" s="153"/>
      <c r="D42" s="153"/>
      <c r="E42" s="153"/>
      <c r="F42" s="153"/>
    </row>
    <row r="43" spans="2:6" ht="15" x14ac:dyDescent="0.25">
      <c r="B43" s="153"/>
      <c r="C43" s="153"/>
      <c r="D43" s="153"/>
      <c r="E43" s="153"/>
      <c r="F43" s="153"/>
    </row>
    <row r="44" spans="2:6" ht="15" x14ac:dyDescent="0.25">
      <c r="B44" s="153"/>
      <c r="C44" s="153"/>
      <c r="D44" s="153"/>
      <c r="E44" s="153"/>
      <c r="F44" s="153"/>
    </row>
    <row r="45" spans="2:6" ht="15" x14ac:dyDescent="0.25">
      <c r="B45" s="153"/>
      <c r="C45" s="153"/>
      <c r="D45" s="153"/>
      <c r="E45" s="153"/>
      <c r="F45" s="153"/>
    </row>
    <row r="46" spans="2:6" ht="15" x14ac:dyDescent="0.25">
      <c r="B46" s="153"/>
      <c r="C46" s="153"/>
      <c r="D46" s="153"/>
      <c r="E46" s="153"/>
      <c r="F46" s="153"/>
    </row>
    <row r="47" spans="2:6" ht="15" x14ac:dyDescent="0.25">
      <c r="B47" s="153"/>
      <c r="C47" s="153"/>
      <c r="D47" s="153"/>
      <c r="E47" s="153"/>
      <c r="F47" s="153"/>
    </row>
    <row r="48" spans="2:6" ht="15" x14ac:dyDescent="0.25">
      <c r="B48" s="153"/>
      <c r="C48" s="153"/>
      <c r="D48" s="153"/>
      <c r="E48" s="153"/>
      <c r="F48" s="153"/>
    </row>
    <row r="49" spans="2:6" ht="15" x14ac:dyDescent="0.25">
      <c r="B49" s="153"/>
      <c r="C49" s="153"/>
      <c r="D49" s="153"/>
      <c r="E49" s="153"/>
      <c r="F49" s="153"/>
    </row>
    <row r="50" spans="2:6" ht="15" x14ac:dyDescent="0.25">
      <c r="B50" s="153"/>
      <c r="C50" s="153"/>
      <c r="D50" s="153"/>
      <c r="E50" s="153"/>
      <c r="F50" s="153"/>
    </row>
    <row r="51" spans="2:6" ht="15" x14ac:dyDescent="0.25">
      <c r="B51" s="153"/>
      <c r="C51" s="153"/>
      <c r="D51" s="153"/>
      <c r="E51" s="153"/>
      <c r="F51" s="153"/>
    </row>
    <row r="52" spans="2:6" ht="15" x14ac:dyDescent="0.25">
      <c r="B52" s="153"/>
      <c r="C52" s="153"/>
      <c r="D52" s="153"/>
      <c r="E52" s="153"/>
      <c r="F52" s="153"/>
    </row>
    <row r="53" spans="2:6" ht="15" x14ac:dyDescent="0.25">
      <c r="B53" s="153"/>
      <c r="C53" s="153"/>
      <c r="D53" s="153"/>
      <c r="E53" s="153"/>
      <c r="F53" s="153"/>
    </row>
    <row r="54" spans="2:6" ht="15" x14ac:dyDescent="0.25">
      <c r="B54" s="153"/>
      <c r="C54" s="153"/>
      <c r="D54" s="153"/>
      <c r="E54" s="153"/>
      <c r="F54" s="153"/>
    </row>
    <row r="55" spans="2:6" ht="15" x14ac:dyDescent="0.25">
      <c r="B55" s="153"/>
      <c r="C55" s="153"/>
      <c r="D55" s="153"/>
      <c r="E55" s="153"/>
      <c r="F55" s="153"/>
    </row>
    <row r="56" spans="2:6" ht="15" x14ac:dyDescent="0.25">
      <c r="B56" s="153"/>
      <c r="C56" s="153"/>
      <c r="D56" s="153"/>
      <c r="E56" s="153"/>
      <c r="F56" s="153"/>
    </row>
    <row r="57" spans="2:6" ht="15" x14ac:dyDescent="0.25">
      <c r="B57" s="153"/>
      <c r="C57" s="153"/>
      <c r="D57" s="153"/>
      <c r="E57" s="153"/>
      <c r="F57" s="153"/>
    </row>
    <row r="58" spans="2:6" ht="15" x14ac:dyDescent="0.25">
      <c r="B58" s="153"/>
      <c r="C58" s="153"/>
      <c r="D58" s="153"/>
      <c r="E58" s="153"/>
      <c r="F58" s="153"/>
    </row>
    <row r="59" spans="2:6" ht="15" x14ac:dyDescent="0.25">
      <c r="B59" s="153"/>
      <c r="C59" s="153"/>
      <c r="D59" s="153"/>
      <c r="E59" s="153"/>
      <c r="F59" s="153"/>
    </row>
    <row r="60" spans="2:6" ht="15" x14ac:dyDescent="0.25">
      <c r="B60" s="153"/>
      <c r="C60" s="153"/>
      <c r="D60" s="153"/>
      <c r="E60" s="153"/>
      <c r="F60" s="153"/>
    </row>
    <row r="61" spans="2:6" ht="15" x14ac:dyDescent="0.25">
      <c r="B61" s="153"/>
      <c r="C61" s="153"/>
      <c r="D61" s="153"/>
      <c r="E61" s="153"/>
      <c r="F61" s="153"/>
    </row>
    <row r="62" spans="2:6" ht="15" x14ac:dyDescent="0.25">
      <c r="B62" s="153"/>
      <c r="C62" s="153"/>
      <c r="D62" s="153"/>
      <c r="E62" s="153"/>
      <c r="F62" s="153"/>
    </row>
    <row r="63" spans="2:6" ht="15" x14ac:dyDescent="0.25">
      <c r="B63" s="153"/>
      <c r="C63" s="153"/>
      <c r="D63" s="153"/>
      <c r="E63" s="153"/>
      <c r="F63" s="153"/>
    </row>
    <row r="64" spans="2:6" ht="15" x14ac:dyDescent="0.25">
      <c r="B64" s="153"/>
      <c r="C64" s="153"/>
      <c r="D64" s="153"/>
      <c r="E64" s="153"/>
      <c r="F64" s="153"/>
    </row>
    <row r="65" spans="2:6" ht="15" x14ac:dyDescent="0.25">
      <c r="B65" s="153"/>
      <c r="C65" s="153"/>
      <c r="D65" s="153"/>
      <c r="E65" s="153"/>
      <c r="F65" s="153"/>
    </row>
    <row r="66" spans="2:6" ht="15" x14ac:dyDescent="0.25">
      <c r="B66" s="153"/>
      <c r="C66" s="153"/>
      <c r="D66" s="153"/>
      <c r="E66" s="153"/>
      <c r="F66" s="153"/>
    </row>
    <row r="67" spans="2:6" ht="15" x14ac:dyDescent="0.25">
      <c r="B67" s="153"/>
      <c r="C67" s="153"/>
      <c r="D67" s="153"/>
      <c r="E67" s="153"/>
      <c r="F67" s="153"/>
    </row>
    <row r="68" spans="2:6" ht="15" x14ac:dyDescent="0.25">
      <c r="B68" s="153"/>
      <c r="C68" s="153"/>
      <c r="D68" s="153"/>
      <c r="E68" s="153"/>
      <c r="F68" s="153"/>
    </row>
    <row r="69" spans="2:6" ht="15" x14ac:dyDescent="0.25">
      <c r="B69" s="153"/>
      <c r="C69" s="153"/>
      <c r="D69" s="153"/>
      <c r="E69" s="153"/>
      <c r="F69" s="153"/>
    </row>
    <row r="70" spans="2:6" ht="15" x14ac:dyDescent="0.25">
      <c r="B70" s="153"/>
      <c r="C70" s="153"/>
      <c r="D70" s="153"/>
      <c r="E70" s="153"/>
      <c r="F70" s="153"/>
    </row>
    <row r="71" spans="2:6" ht="15" x14ac:dyDescent="0.25">
      <c r="B71" s="153"/>
      <c r="C71" s="153"/>
      <c r="D71" s="153"/>
      <c r="E71" s="153"/>
      <c r="F71" s="153"/>
    </row>
    <row r="72" spans="2:6" ht="15" x14ac:dyDescent="0.25">
      <c r="B72" s="153"/>
      <c r="C72" s="153"/>
      <c r="D72" s="153"/>
      <c r="E72" s="153"/>
      <c r="F72" s="153"/>
    </row>
    <row r="73" spans="2:6" ht="15" x14ac:dyDescent="0.25">
      <c r="B73" s="153"/>
      <c r="C73" s="153"/>
      <c r="D73" s="153"/>
      <c r="E73" s="153"/>
      <c r="F73" s="153"/>
    </row>
    <row r="74" spans="2:6" ht="15" x14ac:dyDescent="0.25">
      <c r="B74" s="153"/>
      <c r="C74" s="153"/>
      <c r="D74" s="153"/>
      <c r="E74" s="153"/>
      <c r="F74" s="153"/>
    </row>
  </sheetData>
  <pageMargins left="0.7" right="0.7" top="0.75" bottom="0.75" header="0.3" footer="0.3"/>
  <pageSetup orientation="portrait" horizontalDpi="4294967293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C33" sqref="C33"/>
    </sheetView>
  </sheetViews>
  <sheetFormatPr defaultColWidth="9.28515625" defaultRowHeight="12.75" x14ac:dyDescent="0.2"/>
  <cols>
    <col min="1" max="1" width="6.28515625" style="149" customWidth="1"/>
    <col min="2" max="2" width="53.7109375" style="149" bestFit="1" customWidth="1"/>
    <col min="3" max="5" width="15.7109375" style="149" bestFit="1" customWidth="1"/>
    <col min="6" max="6" width="15.28515625" style="149" bestFit="1" customWidth="1"/>
    <col min="7" max="10" width="15" style="149" bestFit="1" customWidth="1"/>
    <col min="11" max="11" width="5.140625" style="149" bestFit="1" customWidth="1"/>
    <col min="12" max="16384" width="9.28515625" style="149"/>
  </cols>
  <sheetData>
    <row r="1" spans="1:11" x14ac:dyDescent="0.2">
      <c r="A1" s="148" t="s">
        <v>165</v>
      </c>
      <c r="E1" s="150" t="s">
        <v>166</v>
      </c>
    </row>
    <row r="2" spans="1:11" x14ac:dyDescent="0.2">
      <c r="A2" s="148" t="s">
        <v>167</v>
      </c>
    </row>
    <row r="3" spans="1:11" x14ac:dyDescent="0.2">
      <c r="A3" s="148" t="s">
        <v>168</v>
      </c>
    </row>
    <row r="4" spans="1:11" x14ac:dyDescent="0.2">
      <c r="A4" s="148"/>
    </row>
    <row r="5" spans="1:11" x14ac:dyDescent="0.2">
      <c r="A5" s="151" t="s">
        <v>181</v>
      </c>
    </row>
    <row r="7" spans="1:11" ht="15" x14ac:dyDescent="0.25">
      <c r="A7" s="152" t="s">
        <v>170</v>
      </c>
      <c r="B7" s="152" t="s">
        <v>171</v>
      </c>
      <c r="C7" s="152">
        <v>2022</v>
      </c>
      <c r="D7" s="152">
        <v>2023</v>
      </c>
      <c r="E7" s="152">
        <v>2024</v>
      </c>
      <c r="F7" s="153"/>
    </row>
    <row r="8" spans="1:11" ht="15" x14ac:dyDescent="0.25">
      <c r="F8" s="153"/>
    </row>
    <row r="9" spans="1:11" ht="15" x14ac:dyDescent="0.25">
      <c r="A9" s="154">
        <f>ROW()</f>
        <v>9</v>
      </c>
      <c r="B9" s="149" t="s">
        <v>96</v>
      </c>
      <c r="C9" s="167">
        <v>2.6200000000000001E-2</v>
      </c>
      <c r="D9" s="167">
        <v>2.5499999999999998E-2</v>
      </c>
      <c r="E9" s="167">
        <v>2.5499999999999998E-2</v>
      </c>
      <c r="F9" s="153"/>
    </row>
    <row r="10" spans="1:11" ht="15" x14ac:dyDescent="0.25">
      <c r="A10" s="154">
        <f>ROW()</f>
        <v>10</v>
      </c>
      <c r="B10" s="149" t="s">
        <v>97</v>
      </c>
      <c r="C10" s="167">
        <v>7.2300000000000003E-2</v>
      </c>
      <c r="D10" s="167">
        <v>7.1599999999999997E-2</v>
      </c>
      <c r="E10" s="167">
        <v>7.1599999999999997E-2</v>
      </c>
      <c r="F10" s="153"/>
    </row>
    <row r="11" spans="1:11" ht="15" x14ac:dyDescent="0.25">
      <c r="A11" s="154">
        <f>ROW()</f>
        <v>11</v>
      </c>
      <c r="B11" s="149" t="s">
        <v>98</v>
      </c>
      <c r="C11" s="167">
        <v>0.21</v>
      </c>
      <c r="D11" s="167">
        <v>0.21</v>
      </c>
      <c r="E11" s="167">
        <v>0.21</v>
      </c>
      <c r="F11" s="153"/>
    </row>
    <row r="12" spans="1:11" ht="15" x14ac:dyDescent="0.25">
      <c r="A12" s="154">
        <f>ROW()</f>
        <v>12</v>
      </c>
      <c r="B12" s="149" t="s">
        <v>99</v>
      </c>
      <c r="C12" s="167">
        <v>0.75480100000000006</v>
      </c>
      <c r="D12" s="167">
        <v>0.75480100000000006</v>
      </c>
      <c r="E12" s="167">
        <v>0.75480100000000006</v>
      </c>
      <c r="F12" s="153"/>
    </row>
    <row r="13" spans="1:11" ht="15" x14ac:dyDescent="0.25">
      <c r="A13" s="154">
        <f>ROW()</f>
        <v>13</v>
      </c>
      <c r="B13" s="149" t="s">
        <v>147</v>
      </c>
      <c r="C13" s="168">
        <v>263916344.05486456</v>
      </c>
      <c r="D13" s="168">
        <v>334493403.3409487</v>
      </c>
      <c r="E13" s="168">
        <v>644810592.53539729</v>
      </c>
      <c r="F13" s="158"/>
      <c r="G13" s="158"/>
      <c r="H13" s="158"/>
      <c r="I13" s="169"/>
      <c r="J13" s="169"/>
    </row>
    <row r="14" spans="1:11" ht="15" x14ac:dyDescent="0.25">
      <c r="A14" s="154">
        <f>ROW()</f>
        <v>14</v>
      </c>
      <c r="C14" s="168"/>
      <c r="D14" s="170"/>
      <c r="E14" s="170"/>
      <c r="F14" s="153"/>
      <c r="I14" s="169"/>
      <c r="J14" s="169"/>
    </row>
    <row r="15" spans="1:11" ht="15" x14ac:dyDescent="0.25">
      <c r="A15" s="154">
        <f>ROW()</f>
        <v>15</v>
      </c>
      <c r="B15" s="149" t="s">
        <v>172</v>
      </c>
      <c r="C15" s="168">
        <v>-4562846.2311439998</v>
      </c>
      <c r="D15" s="168">
        <v>-15825245.001215998</v>
      </c>
      <c r="E15" s="168">
        <v>-35109891.338709995</v>
      </c>
      <c r="F15" s="158"/>
      <c r="G15" s="158"/>
      <c r="H15" s="158"/>
      <c r="I15" s="158"/>
      <c r="J15" s="158"/>
      <c r="K15" s="158"/>
    </row>
    <row r="16" spans="1:11" ht="15" x14ac:dyDescent="0.25">
      <c r="A16" s="154">
        <f>ROW()</f>
        <v>16</v>
      </c>
      <c r="B16" s="149" t="s">
        <v>173</v>
      </c>
      <c r="C16" s="159">
        <v>1296670.5468090023</v>
      </c>
      <c r="D16" s="159">
        <v>3645192.0389554403</v>
      </c>
      <c r="E16" s="159">
        <v>7766732.2376391236</v>
      </c>
      <c r="F16" s="158"/>
      <c r="G16" s="158"/>
      <c r="H16" s="158"/>
      <c r="I16" s="158"/>
      <c r="J16" s="158"/>
    </row>
    <row r="17" spans="1:10" ht="15" x14ac:dyDescent="0.25">
      <c r="A17" s="154">
        <f>ROW()</f>
        <v>17</v>
      </c>
      <c r="B17" s="149" t="s">
        <v>174</v>
      </c>
      <c r="C17" s="160">
        <f>SUM(C15:C16)</f>
        <v>-3266175.6843349976</v>
      </c>
      <c r="D17" s="160">
        <f>SUM(D15:D16)</f>
        <v>-12180052.962260557</v>
      </c>
      <c r="E17" s="160">
        <f>SUM(E15:E16)</f>
        <v>-27343159.101070873</v>
      </c>
      <c r="F17" s="153"/>
      <c r="I17" s="169"/>
      <c r="J17" s="169"/>
    </row>
    <row r="18" spans="1:10" ht="15" x14ac:dyDescent="0.25">
      <c r="A18" s="154">
        <f>ROW()</f>
        <v>18</v>
      </c>
      <c r="B18" s="149" t="s">
        <v>175</v>
      </c>
      <c r="C18" s="159">
        <f>C13*C9*C11</f>
        <v>1452067.7249898647</v>
      </c>
      <c r="D18" s="159">
        <f>D13*D9*D11</f>
        <v>1791212.1748907804</v>
      </c>
      <c r="E18" s="159">
        <f>E13*E9*E11</f>
        <v>3452960.7230270519</v>
      </c>
      <c r="F18" s="153"/>
      <c r="I18" s="169"/>
      <c r="J18" s="169"/>
    </row>
    <row r="19" spans="1:10" ht="15" x14ac:dyDescent="0.25">
      <c r="A19" s="154">
        <f>ROW()</f>
        <v>19</v>
      </c>
      <c r="B19" s="149" t="s">
        <v>176</v>
      </c>
      <c r="C19" s="160">
        <f>SUM(C17:C18)</f>
        <v>-1814107.9593451328</v>
      </c>
      <c r="D19" s="160">
        <f>SUM(D17:D18)</f>
        <v>-10388840.787369777</v>
      </c>
      <c r="E19" s="160">
        <f>SUM(E17:E18)</f>
        <v>-23890198.378043823</v>
      </c>
      <c r="F19" s="153"/>
      <c r="I19" s="169"/>
      <c r="J19" s="169"/>
    </row>
    <row r="20" spans="1:10" ht="15" x14ac:dyDescent="0.25">
      <c r="A20" s="154">
        <f>ROW()</f>
        <v>20</v>
      </c>
      <c r="B20" s="149" t="s">
        <v>177</v>
      </c>
      <c r="C20" s="159">
        <f>C13*C10</f>
        <v>19081151.675166707</v>
      </c>
      <c r="D20" s="159">
        <f>D13*D10</f>
        <v>23949727.679211926</v>
      </c>
      <c r="E20" s="159">
        <f>E13*E10</f>
        <v>46168438.425534442</v>
      </c>
      <c r="F20" s="153"/>
      <c r="I20" s="169"/>
      <c r="J20" s="169"/>
    </row>
    <row r="21" spans="1:10" ht="15" x14ac:dyDescent="0.25">
      <c r="A21" s="154">
        <f>ROW()</f>
        <v>21</v>
      </c>
      <c r="B21" s="149" t="s">
        <v>94</v>
      </c>
      <c r="C21" s="161">
        <f>C20-C19</f>
        <v>20895259.63451184</v>
      </c>
      <c r="D21" s="161">
        <f>D20-D19</f>
        <v>34338568.466581702</v>
      </c>
      <c r="E21" s="161">
        <f>E20-E19</f>
        <v>70058636.803578258</v>
      </c>
      <c r="F21" s="153"/>
      <c r="I21" s="169"/>
      <c r="J21" s="169"/>
    </row>
    <row r="22" spans="1:10" ht="15" x14ac:dyDescent="0.25">
      <c r="A22" s="154">
        <f>ROW()</f>
        <v>22</v>
      </c>
      <c r="B22" s="149" t="s">
        <v>178</v>
      </c>
      <c r="C22" s="171">
        <f>C21/C12</f>
        <v>27683137.190480456</v>
      </c>
      <c r="D22" s="171">
        <f>D21/D12</f>
        <v>45493538.650030538</v>
      </c>
      <c r="E22" s="171">
        <f>E21/E12</f>
        <v>92817360.872042105</v>
      </c>
      <c r="F22" s="153"/>
      <c r="I22" s="169"/>
      <c r="J22" s="169"/>
    </row>
    <row r="23" spans="1:10" ht="15" x14ac:dyDescent="0.25">
      <c r="A23" s="154">
        <f>ROW()</f>
        <v>23</v>
      </c>
      <c r="B23" s="149" t="s">
        <v>179</v>
      </c>
      <c r="C23" s="161">
        <v>0</v>
      </c>
      <c r="D23" s="161">
        <f>D22</f>
        <v>45493538.650030538</v>
      </c>
      <c r="E23" s="161">
        <f>E22</f>
        <v>92817360.872042105</v>
      </c>
      <c r="F23" s="153"/>
    </row>
    <row r="24" spans="1:10" ht="15" x14ac:dyDescent="0.25">
      <c r="A24" s="154">
        <f>ROW()</f>
        <v>24</v>
      </c>
      <c r="C24" s="164"/>
      <c r="D24" s="157"/>
      <c r="E24" s="157"/>
      <c r="F24" s="153"/>
    </row>
    <row r="25" spans="1:10" ht="15.75" thickBot="1" x14ac:dyDescent="0.3">
      <c r="A25" s="154">
        <f>ROW()</f>
        <v>25</v>
      </c>
      <c r="B25" s="149" t="s">
        <v>180</v>
      </c>
      <c r="C25" s="165">
        <f>C23</f>
        <v>0</v>
      </c>
      <c r="D25" s="166">
        <f>D23-C23</f>
        <v>45493538.650030538</v>
      </c>
      <c r="E25" s="166">
        <f>E23-D23</f>
        <v>47323822.222011566</v>
      </c>
      <c r="F25" s="153"/>
    </row>
    <row r="26" spans="1:10" ht="15.75" thickTop="1" x14ac:dyDescent="0.25">
      <c r="F26" s="153"/>
    </row>
    <row r="27" spans="1:10" ht="15" x14ac:dyDescent="0.25">
      <c r="B27" s="172"/>
      <c r="C27" s="173"/>
      <c r="D27" s="173"/>
      <c r="E27" s="173"/>
      <c r="F27" s="153"/>
    </row>
    <row r="28" spans="1:10" ht="15" x14ac:dyDescent="0.25">
      <c r="B28" s="324" t="s">
        <v>1183</v>
      </c>
      <c r="C28" s="331">
        <f>C22</f>
        <v>27683137.190480456</v>
      </c>
      <c r="D28" s="331">
        <f>D25-C28</f>
        <v>17810401.459550083</v>
      </c>
      <c r="E28" s="331">
        <f>E25</f>
        <v>47323822.222011566</v>
      </c>
      <c r="F28" s="173">
        <f>SUM(C28:E28)</f>
        <v>92817360.872042105</v>
      </c>
      <c r="G28" s="323">
        <f>F28-E23</f>
        <v>0</v>
      </c>
    </row>
    <row r="29" spans="1:10" ht="15" x14ac:dyDescent="0.25">
      <c r="B29" s="324" t="s">
        <v>1184</v>
      </c>
      <c r="C29" s="325">
        <f>D29</f>
        <v>5.0000000000000001E-3</v>
      </c>
      <c r="D29" s="325">
        <f>'STR RR Recalc'!G22</f>
        <v>5.0000000000000001E-3</v>
      </c>
      <c r="E29" s="325">
        <f>D29</f>
        <v>5.0000000000000001E-3</v>
      </c>
      <c r="F29" s="153"/>
    </row>
    <row r="30" spans="1:10" ht="15" x14ac:dyDescent="0.25">
      <c r="B30" s="324" t="s">
        <v>1185</v>
      </c>
      <c r="C30" s="326">
        <f>D30</f>
        <v>2215772.1263018246</v>
      </c>
      <c r="D30" s="327">
        <f>D13*D29/D12</f>
        <v>2215772.1263018246</v>
      </c>
      <c r="E30" s="327">
        <f>E13*E29/E12</f>
        <v>4271394.6625362001</v>
      </c>
      <c r="F30" s="153"/>
    </row>
    <row r="31" spans="1:10" ht="15" x14ac:dyDescent="0.25">
      <c r="B31" s="324"/>
      <c r="C31" s="328">
        <f>C30/C22</f>
        <v>8.0040499422289954E-2</v>
      </c>
      <c r="D31" s="328">
        <f>D30/D28</f>
        <v>0.12440888159282393</v>
      </c>
      <c r="E31" s="328">
        <f>E30/E28</f>
        <v>9.0258868831382372E-2</v>
      </c>
      <c r="F31" s="153"/>
    </row>
    <row r="32" spans="1:10" x14ac:dyDescent="0.2">
      <c r="C32" s="173"/>
      <c r="D32" s="173"/>
      <c r="E32" s="173"/>
      <c r="F32" s="173"/>
    </row>
    <row r="33" spans="3:6" x14ac:dyDescent="0.2">
      <c r="C33" s="173"/>
      <c r="D33" s="173"/>
      <c r="E33" s="173"/>
      <c r="F33" s="173"/>
    </row>
    <row r="34" spans="3:6" x14ac:dyDescent="0.2">
      <c r="C34" s="173"/>
      <c r="D34" s="173"/>
      <c r="E34" s="173"/>
      <c r="F34" s="173"/>
    </row>
    <row r="35" spans="3:6" x14ac:dyDescent="0.2">
      <c r="C35" s="173"/>
      <c r="D35" s="173"/>
      <c r="E35" s="173"/>
      <c r="F35" s="173"/>
    </row>
    <row r="36" spans="3:6" x14ac:dyDescent="0.2">
      <c r="C36" s="173"/>
      <c r="D36" s="173"/>
      <c r="E36" s="173"/>
      <c r="F36" s="173"/>
    </row>
    <row r="37" spans="3:6" x14ac:dyDescent="0.2">
      <c r="C37" s="173"/>
      <c r="D37" s="173"/>
      <c r="E37" s="173"/>
      <c r="F37" s="173"/>
    </row>
    <row r="38" spans="3:6" x14ac:dyDescent="0.2">
      <c r="C38" s="173"/>
      <c r="D38" s="173"/>
      <c r="E38" s="173"/>
      <c r="F38" s="173"/>
    </row>
    <row r="39" spans="3:6" x14ac:dyDescent="0.2">
      <c r="C39" s="173"/>
      <c r="D39" s="173"/>
      <c r="E39" s="173"/>
      <c r="F39" s="173"/>
    </row>
    <row r="41" spans="3:6" x14ac:dyDescent="0.2">
      <c r="C41" s="174"/>
      <c r="D41" s="174"/>
      <c r="E41" s="174"/>
      <c r="F41" s="174"/>
    </row>
    <row r="42" spans="3:6" x14ac:dyDescent="0.2">
      <c r="C42" s="174"/>
      <c r="D42" s="174"/>
      <c r="E42" s="174"/>
      <c r="F42" s="174"/>
    </row>
    <row r="43" spans="3:6" x14ac:dyDescent="0.2">
      <c r="C43" s="174"/>
      <c r="D43" s="174"/>
      <c r="E43" s="174"/>
      <c r="F43" s="174"/>
    </row>
    <row r="44" spans="3:6" x14ac:dyDescent="0.2">
      <c r="C44" s="174"/>
      <c r="D44" s="174"/>
      <c r="E44" s="174"/>
      <c r="F44" s="174"/>
    </row>
    <row r="45" spans="3:6" x14ac:dyDescent="0.2">
      <c r="C45" s="174"/>
      <c r="D45" s="174"/>
      <c r="E45" s="174"/>
      <c r="F45" s="174"/>
    </row>
    <row r="46" spans="3:6" x14ac:dyDescent="0.2">
      <c r="C46" s="174"/>
      <c r="D46" s="174"/>
      <c r="E46" s="174"/>
      <c r="F46" s="174"/>
    </row>
    <row r="47" spans="3:6" x14ac:dyDescent="0.2">
      <c r="C47" s="174"/>
      <c r="D47" s="174"/>
      <c r="E47" s="174"/>
      <c r="F47" s="174"/>
    </row>
    <row r="48" spans="3:6" x14ac:dyDescent="0.2">
      <c r="C48" s="174"/>
      <c r="D48" s="174"/>
      <c r="E48" s="174"/>
      <c r="F48" s="174"/>
    </row>
    <row r="49" spans="3:6" x14ac:dyDescent="0.2">
      <c r="C49" s="174"/>
      <c r="D49" s="174"/>
      <c r="E49" s="174"/>
      <c r="F49" s="174"/>
    </row>
    <row r="50" spans="3:6" x14ac:dyDescent="0.2">
      <c r="C50" s="174"/>
      <c r="D50" s="174"/>
      <c r="E50" s="174"/>
      <c r="F50" s="174"/>
    </row>
    <row r="51" spans="3:6" x14ac:dyDescent="0.2">
      <c r="C51" s="174"/>
      <c r="D51" s="174"/>
      <c r="E51" s="174"/>
      <c r="F51" s="174"/>
    </row>
    <row r="52" spans="3:6" x14ac:dyDescent="0.2">
      <c r="C52" s="174"/>
      <c r="D52" s="174"/>
      <c r="E52" s="174"/>
      <c r="F52" s="174"/>
    </row>
    <row r="53" spans="3:6" x14ac:dyDescent="0.2">
      <c r="C53" s="174"/>
      <c r="D53" s="174"/>
      <c r="E53" s="174"/>
      <c r="F53" s="174"/>
    </row>
    <row r="54" spans="3:6" x14ac:dyDescent="0.2">
      <c r="C54" s="169"/>
    </row>
    <row r="55" spans="3:6" x14ac:dyDescent="0.2">
      <c r="C55" s="169"/>
    </row>
    <row r="56" spans="3:6" x14ac:dyDescent="0.2">
      <c r="C56" s="169"/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pane xSplit="2" ySplit="5" topLeftCell="C18" activePane="bottomRight" state="frozen"/>
      <selection activeCell="I36" sqref="I36"/>
      <selection pane="topRight" activeCell="I36" sqref="I36"/>
      <selection pane="bottomLeft" activeCell="I36" sqref="I36"/>
      <selection pane="bottomRight" activeCell="C41" sqref="C41"/>
    </sheetView>
  </sheetViews>
  <sheetFormatPr defaultRowHeight="15" x14ac:dyDescent="0.25"/>
  <cols>
    <col min="2" max="2" width="41.5703125" bestFit="1" customWidth="1"/>
    <col min="3" max="3" width="25.42578125" bestFit="1" customWidth="1"/>
    <col min="4" max="4" width="9.140625" bestFit="1" customWidth="1"/>
    <col min="5" max="5" width="19.85546875" bestFit="1" customWidth="1"/>
    <col min="7" max="7" width="41.5703125" bestFit="1" customWidth="1"/>
    <col min="8" max="8" width="25.42578125" bestFit="1" customWidth="1"/>
    <col min="9" max="9" width="9.140625" bestFit="1" customWidth="1"/>
    <col min="10" max="10" width="17.140625" customWidth="1"/>
  </cols>
  <sheetData>
    <row r="2" spans="1:10" ht="18.75" x14ac:dyDescent="0.3">
      <c r="B2" s="81" t="s">
        <v>43</v>
      </c>
      <c r="F2" s="82"/>
      <c r="G2" s="81" t="s">
        <v>44</v>
      </c>
    </row>
    <row r="3" spans="1:10" x14ac:dyDescent="0.25">
      <c r="F3" s="82"/>
    </row>
    <row r="4" spans="1:10" x14ac:dyDescent="0.25">
      <c r="A4" s="76" t="s">
        <v>60</v>
      </c>
      <c r="F4" s="82"/>
    </row>
    <row r="5" spans="1:10" x14ac:dyDescent="0.25">
      <c r="A5" s="34" t="s">
        <v>66</v>
      </c>
      <c r="B5" s="13" t="s">
        <v>0</v>
      </c>
      <c r="C5" s="13" t="s">
        <v>45</v>
      </c>
      <c r="D5" s="13" t="s">
        <v>46</v>
      </c>
      <c r="E5" s="13" t="s">
        <v>139</v>
      </c>
      <c r="F5" s="83"/>
      <c r="G5" s="13" t="s">
        <v>0</v>
      </c>
      <c r="H5" s="13" t="s">
        <v>45</v>
      </c>
      <c r="I5" s="13" t="s">
        <v>46</v>
      </c>
      <c r="J5" s="13" t="s">
        <v>139</v>
      </c>
    </row>
    <row r="6" spans="1:10" x14ac:dyDescent="0.25">
      <c r="A6" s="41">
        <v>1</v>
      </c>
      <c r="B6" t="s">
        <v>1</v>
      </c>
      <c r="C6" t="s">
        <v>47</v>
      </c>
      <c r="D6" t="s">
        <v>48</v>
      </c>
      <c r="E6" s="7">
        <v>2518116.9441959998</v>
      </c>
      <c r="F6" s="82"/>
      <c r="G6" t="s">
        <v>1</v>
      </c>
      <c r="H6" t="s">
        <v>47</v>
      </c>
      <c r="I6" t="s">
        <v>48</v>
      </c>
      <c r="J6" s="7">
        <v>1300683.3958040001</v>
      </c>
    </row>
    <row r="7" spans="1:10" s="8" customFormat="1" x14ac:dyDescent="0.25">
      <c r="A7" s="41">
        <f>A6+1</f>
        <v>2</v>
      </c>
      <c r="B7" t="s">
        <v>1</v>
      </c>
      <c r="C7" t="s">
        <v>47</v>
      </c>
      <c r="D7" t="s">
        <v>49</v>
      </c>
      <c r="E7" s="7">
        <v>7924.51</v>
      </c>
      <c r="F7" s="82"/>
      <c r="G7" t="s">
        <v>1</v>
      </c>
      <c r="H7" t="s">
        <v>47</v>
      </c>
      <c r="I7" t="s">
        <v>49</v>
      </c>
      <c r="J7" s="7">
        <v>0</v>
      </c>
    </row>
    <row r="8" spans="1:10" s="8" customFormat="1" x14ac:dyDescent="0.25">
      <c r="A8" s="41">
        <f t="shared" ref="A8:A64" si="0">A7+1</f>
        <v>3</v>
      </c>
      <c r="B8" t="s">
        <v>2</v>
      </c>
      <c r="C8" t="s">
        <v>47</v>
      </c>
      <c r="D8" t="s">
        <v>49</v>
      </c>
      <c r="E8" s="7">
        <v>12890449.059999999</v>
      </c>
      <c r="F8" s="82"/>
      <c r="G8" t="s">
        <v>2</v>
      </c>
      <c r="H8" t="s">
        <v>47</v>
      </c>
      <c r="I8" t="s">
        <v>49</v>
      </c>
      <c r="J8" s="7">
        <v>0</v>
      </c>
    </row>
    <row r="9" spans="1:10" s="8" customFormat="1" x14ac:dyDescent="0.25">
      <c r="A9" s="4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82"/>
      <c r="G9" t="s">
        <v>3</v>
      </c>
      <c r="H9" t="s">
        <v>47</v>
      </c>
      <c r="I9" t="s">
        <v>50</v>
      </c>
      <c r="J9" s="7">
        <v>8909147.4300000016</v>
      </c>
    </row>
    <row r="10" spans="1:10" s="8" customFormat="1" x14ac:dyDescent="0.25">
      <c r="A10" s="4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82"/>
      <c r="G10" t="s">
        <v>4</v>
      </c>
      <c r="H10" t="s">
        <v>51</v>
      </c>
      <c r="I10" t="s">
        <v>49</v>
      </c>
      <c r="J10" s="7">
        <v>0</v>
      </c>
    </row>
    <row r="11" spans="1:10" s="8" customFormat="1" x14ac:dyDescent="0.25">
      <c r="A11" s="41">
        <f t="shared" si="0"/>
        <v>6</v>
      </c>
      <c r="B11" t="s">
        <v>5</v>
      </c>
      <c r="C11" t="s">
        <v>47</v>
      </c>
      <c r="D11" t="s">
        <v>49</v>
      </c>
      <c r="E11" s="7">
        <v>3919269.0800000005</v>
      </c>
      <c r="F11" s="82"/>
      <c r="G11" t="s">
        <v>5</v>
      </c>
      <c r="H11" t="s">
        <v>47</v>
      </c>
      <c r="I11" t="s">
        <v>49</v>
      </c>
      <c r="J11" s="7">
        <v>0</v>
      </c>
    </row>
    <row r="12" spans="1:10" s="8" customFormat="1" x14ac:dyDescent="0.25">
      <c r="A12" s="4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82"/>
      <c r="G12" t="s">
        <v>6</v>
      </c>
      <c r="H12" t="s">
        <v>47</v>
      </c>
      <c r="I12" t="s">
        <v>50</v>
      </c>
      <c r="J12" s="7">
        <v>3848339.8700000006</v>
      </c>
    </row>
    <row r="13" spans="1:10" s="8" customFormat="1" x14ac:dyDescent="0.25">
      <c r="A13" s="41">
        <f t="shared" si="0"/>
        <v>8</v>
      </c>
      <c r="B13" t="s">
        <v>7</v>
      </c>
      <c r="C13" t="s">
        <v>52</v>
      </c>
      <c r="D13" t="s">
        <v>49</v>
      </c>
      <c r="E13" s="7">
        <v>-8593299.5</v>
      </c>
      <c r="F13" s="82"/>
      <c r="G13" t="s">
        <v>7</v>
      </c>
      <c r="H13" t="s">
        <v>52</v>
      </c>
      <c r="I13" t="s">
        <v>49</v>
      </c>
      <c r="J13" s="7">
        <v>0</v>
      </c>
    </row>
    <row r="14" spans="1:10" s="8" customFormat="1" x14ac:dyDescent="0.25">
      <c r="A14" s="4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82"/>
      <c r="G14" t="s">
        <v>8</v>
      </c>
      <c r="H14" t="s">
        <v>52</v>
      </c>
      <c r="I14" t="s">
        <v>50</v>
      </c>
      <c r="J14" s="7">
        <v>-1411391.3399999999</v>
      </c>
    </row>
    <row r="15" spans="1:10" s="8" customFormat="1" x14ac:dyDescent="0.25">
      <c r="A15" s="41">
        <f t="shared" si="0"/>
        <v>10</v>
      </c>
      <c r="B15" t="s">
        <v>9</v>
      </c>
      <c r="C15" t="s">
        <v>52</v>
      </c>
      <c r="D15" t="s">
        <v>49</v>
      </c>
      <c r="E15" s="7">
        <v>51393138.970000006</v>
      </c>
      <c r="F15" s="82"/>
      <c r="G15" t="s">
        <v>9</v>
      </c>
      <c r="H15" t="s">
        <v>52</v>
      </c>
      <c r="I15" t="s">
        <v>49</v>
      </c>
      <c r="J15" s="7">
        <v>0</v>
      </c>
    </row>
    <row r="16" spans="1:10" s="8" customFormat="1" x14ac:dyDescent="0.25">
      <c r="A16" s="4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82"/>
      <c r="G16" t="s">
        <v>9</v>
      </c>
      <c r="H16" t="s">
        <v>52</v>
      </c>
      <c r="I16" t="s">
        <v>50</v>
      </c>
      <c r="J16" s="7">
        <v>13555.330000000004</v>
      </c>
    </row>
    <row r="17" spans="1:10" s="8" customFormat="1" x14ac:dyDescent="0.25">
      <c r="A17" s="41">
        <f t="shared" si="0"/>
        <v>12</v>
      </c>
      <c r="B17" t="s">
        <v>10</v>
      </c>
      <c r="C17" t="s">
        <v>52</v>
      </c>
      <c r="D17" t="s">
        <v>49</v>
      </c>
      <c r="E17" s="7">
        <v>2746.36</v>
      </c>
      <c r="F17" s="82"/>
      <c r="G17" t="s">
        <v>10</v>
      </c>
      <c r="H17" t="s">
        <v>52</v>
      </c>
      <c r="I17" t="s">
        <v>49</v>
      </c>
      <c r="J17" s="7">
        <v>0</v>
      </c>
    </row>
    <row r="18" spans="1:10" s="8" customFormat="1" x14ac:dyDescent="0.25">
      <c r="A18" s="4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82"/>
      <c r="G18" t="s">
        <v>10</v>
      </c>
      <c r="H18" t="s">
        <v>52</v>
      </c>
      <c r="I18" t="s">
        <v>50</v>
      </c>
      <c r="J18" s="7">
        <v>77503498.00999999</v>
      </c>
    </row>
    <row r="19" spans="1:10" s="8" customFormat="1" x14ac:dyDescent="0.25">
      <c r="A19" s="41">
        <f t="shared" si="0"/>
        <v>14</v>
      </c>
      <c r="B19" t="s">
        <v>11</v>
      </c>
      <c r="C19" t="s">
        <v>47</v>
      </c>
      <c r="D19" t="s">
        <v>49</v>
      </c>
      <c r="E19" s="7">
        <v>164512.43</v>
      </c>
      <c r="F19" s="82"/>
      <c r="G19" t="s">
        <v>11</v>
      </c>
      <c r="H19" t="s">
        <v>47</v>
      </c>
      <c r="I19" t="s">
        <v>49</v>
      </c>
      <c r="J19" s="7">
        <v>0</v>
      </c>
    </row>
    <row r="20" spans="1:10" s="8" customFormat="1" x14ac:dyDescent="0.25">
      <c r="A20" s="41">
        <f t="shared" si="0"/>
        <v>15</v>
      </c>
      <c r="B20" t="s">
        <v>12</v>
      </c>
      <c r="C20" t="s">
        <v>47</v>
      </c>
      <c r="D20" t="s">
        <v>48</v>
      </c>
      <c r="E20" s="7">
        <v>4925831.1266639996</v>
      </c>
      <c r="F20" s="82"/>
      <c r="G20" t="s">
        <v>12</v>
      </c>
      <c r="H20" t="s">
        <v>47</v>
      </c>
      <c r="I20" t="s">
        <v>48</v>
      </c>
      <c r="J20" s="7">
        <v>2544340.433336</v>
      </c>
    </row>
    <row r="21" spans="1:10" s="8" customFormat="1" x14ac:dyDescent="0.25">
      <c r="A21" s="41">
        <f t="shared" si="0"/>
        <v>16</v>
      </c>
      <c r="B21" t="s">
        <v>13</v>
      </c>
      <c r="C21" t="s">
        <v>47</v>
      </c>
      <c r="D21" t="s">
        <v>49</v>
      </c>
      <c r="E21" s="7">
        <v>67761721.420000017</v>
      </c>
      <c r="F21" s="82"/>
      <c r="G21" t="s">
        <v>13</v>
      </c>
      <c r="H21" t="s">
        <v>47</v>
      </c>
      <c r="I21" t="s">
        <v>49</v>
      </c>
      <c r="J21" s="7">
        <v>0</v>
      </c>
    </row>
    <row r="22" spans="1:10" s="8" customFormat="1" x14ac:dyDescent="0.25">
      <c r="A22" s="4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82"/>
      <c r="G22" t="s">
        <v>14</v>
      </c>
      <c r="H22" t="s">
        <v>47</v>
      </c>
      <c r="I22" t="s">
        <v>50</v>
      </c>
      <c r="J22" s="7">
        <v>14576020.680000002</v>
      </c>
    </row>
    <row r="23" spans="1:10" s="8" customFormat="1" x14ac:dyDescent="0.25">
      <c r="A23" s="41">
        <f t="shared" si="0"/>
        <v>18</v>
      </c>
      <c r="B23" t="s">
        <v>15</v>
      </c>
      <c r="C23" t="s">
        <v>51</v>
      </c>
      <c r="D23" t="s">
        <v>49</v>
      </c>
      <c r="E23" s="7">
        <v>355337.97</v>
      </c>
      <c r="F23" s="82"/>
      <c r="G23" t="s">
        <v>15</v>
      </c>
      <c r="H23" t="s">
        <v>51</v>
      </c>
      <c r="I23" t="s">
        <v>49</v>
      </c>
      <c r="J23" s="7">
        <v>0</v>
      </c>
    </row>
    <row r="24" spans="1:10" s="8" customFormat="1" x14ac:dyDescent="0.25">
      <c r="A24" s="4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82"/>
      <c r="G24" t="s">
        <v>16</v>
      </c>
      <c r="H24" t="s">
        <v>47</v>
      </c>
      <c r="I24" t="s">
        <v>50</v>
      </c>
      <c r="J24" s="7">
        <v>11563966.49</v>
      </c>
    </row>
    <row r="25" spans="1:10" s="8" customFormat="1" x14ac:dyDescent="0.25">
      <c r="A25" s="41">
        <f t="shared" si="0"/>
        <v>20</v>
      </c>
      <c r="B25" t="s">
        <v>17</v>
      </c>
      <c r="C25" t="s">
        <v>51</v>
      </c>
      <c r="D25" t="s">
        <v>49</v>
      </c>
      <c r="E25" s="7">
        <v>-3595.8600000000006</v>
      </c>
      <c r="F25" s="82"/>
      <c r="G25" t="s">
        <v>17</v>
      </c>
      <c r="H25" t="s">
        <v>51</v>
      </c>
      <c r="I25" t="s">
        <v>49</v>
      </c>
      <c r="J25" s="7">
        <v>0</v>
      </c>
    </row>
    <row r="26" spans="1:10" s="8" customFormat="1" x14ac:dyDescent="0.25">
      <c r="A26" s="41">
        <f t="shared" si="0"/>
        <v>21</v>
      </c>
      <c r="B26" t="s">
        <v>18</v>
      </c>
      <c r="C26" t="s">
        <v>47</v>
      </c>
      <c r="D26" t="s">
        <v>49</v>
      </c>
      <c r="E26" s="7">
        <v>114323518.38</v>
      </c>
      <c r="F26" s="82"/>
      <c r="G26" t="s">
        <v>18</v>
      </c>
      <c r="H26" t="s">
        <v>47</v>
      </c>
      <c r="I26" t="s">
        <v>49</v>
      </c>
      <c r="J26" s="7">
        <v>0</v>
      </c>
    </row>
    <row r="27" spans="1:10" s="8" customFormat="1" x14ac:dyDescent="0.25">
      <c r="A27" s="41">
        <f t="shared" si="0"/>
        <v>22</v>
      </c>
      <c r="B27" t="s">
        <v>19</v>
      </c>
      <c r="C27" t="s">
        <v>47</v>
      </c>
      <c r="D27" t="s">
        <v>49</v>
      </c>
      <c r="E27" s="7">
        <v>-100729.54</v>
      </c>
      <c r="F27" s="82"/>
      <c r="G27" t="s">
        <v>19</v>
      </c>
      <c r="H27" t="s">
        <v>47</v>
      </c>
      <c r="I27" t="s">
        <v>49</v>
      </c>
      <c r="J27" s="7">
        <v>0</v>
      </c>
    </row>
    <row r="28" spans="1:10" s="8" customFormat="1" x14ac:dyDescent="0.25">
      <c r="A28" s="41">
        <f t="shared" si="0"/>
        <v>23</v>
      </c>
      <c r="B28" t="s">
        <v>20</v>
      </c>
      <c r="C28" t="s">
        <v>47</v>
      </c>
      <c r="D28" t="s">
        <v>48</v>
      </c>
      <c r="E28" s="7">
        <v>6047821.1626139991</v>
      </c>
      <c r="F28" s="82"/>
      <c r="G28" t="s">
        <v>20</v>
      </c>
      <c r="H28" t="s">
        <v>47</v>
      </c>
      <c r="I28" t="s">
        <v>48</v>
      </c>
      <c r="J28" s="7">
        <v>3123882.1473859996</v>
      </c>
    </row>
    <row r="29" spans="1:10" s="8" customFormat="1" x14ac:dyDescent="0.25">
      <c r="A29" s="41">
        <f t="shared" si="0"/>
        <v>24</v>
      </c>
      <c r="B29" t="s">
        <v>20</v>
      </c>
      <c r="C29" t="s">
        <v>47</v>
      </c>
      <c r="D29" t="s">
        <v>49</v>
      </c>
      <c r="E29" s="7">
        <v>232924.97</v>
      </c>
      <c r="F29" s="82"/>
      <c r="G29" t="s">
        <v>20</v>
      </c>
      <c r="H29" t="s">
        <v>47</v>
      </c>
      <c r="I29" t="s">
        <v>49</v>
      </c>
      <c r="J29" s="7">
        <v>0</v>
      </c>
    </row>
    <row r="30" spans="1:10" s="8" customFormat="1" x14ac:dyDescent="0.25">
      <c r="A30" s="4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82"/>
      <c r="G30" t="s">
        <v>20</v>
      </c>
      <c r="H30" t="s">
        <v>47</v>
      </c>
      <c r="I30" t="s">
        <v>50</v>
      </c>
      <c r="J30" s="7">
        <v>154464.01</v>
      </c>
    </row>
    <row r="31" spans="1:10" s="8" customFormat="1" x14ac:dyDescent="0.25">
      <c r="A31" s="4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82"/>
      <c r="G31" t="s">
        <v>21</v>
      </c>
      <c r="H31" t="s">
        <v>51</v>
      </c>
      <c r="I31" t="s">
        <v>49</v>
      </c>
      <c r="J31" s="7">
        <v>0</v>
      </c>
    </row>
    <row r="32" spans="1:10" s="8" customFormat="1" x14ac:dyDescent="0.25">
      <c r="A32" s="41">
        <f t="shared" si="0"/>
        <v>27</v>
      </c>
      <c r="B32" t="s">
        <v>22</v>
      </c>
      <c r="C32" t="s">
        <v>47</v>
      </c>
      <c r="D32" t="s">
        <v>49</v>
      </c>
      <c r="E32" s="7">
        <v>2360772.77</v>
      </c>
      <c r="F32" s="82"/>
      <c r="G32" t="s">
        <v>22</v>
      </c>
      <c r="H32" t="s">
        <v>47</v>
      </c>
      <c r="I32" t="s">
        <v>49</v>
      </c>
      <c r="J32" s="7">
        <v>0</v>
      </c>
    </row>
    <row r="33" spans="1:10" s="8" customFormat="1" x14ac:dyDescent="0.25">
      <c r="A33" s="4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82"/>
      <c r="G33" t="s">
        <v>23</v>
      </c>
      <c r="H33" t="s">
        <v>47</v>
      </c>
      <c r="I33" t="s">
        <v>50</v>
      </c>
      <c r="J33" s="7">
        <v>0</v>
      </c>
    </row>
    <row r="34" spans="1:10" s="8" customFormat="1" x14ac:dyDescent="0.25">
      <c r="A34" s="4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82"/>
      <c r="G34" t="s">
        <v>24</v>
      </c>
      <c r="H34" t="s">
        <v>51</v>
      </c>
      <c r="I34" t="s">
        <v>50</v>
      </c>
      <c r="J34" s="7">
        <v>458640.08999999991</v>
      </c>
    </row>
    <row r="35" spans="1:10" s="8" customFormat="1" x14ac:dyDescent="0.25">
      <c r="A35" s="41">
        <f t="shared" si="0"/>
        <v>30</v>
      </c>
      <c r="B35" t="s">
        <v>25</v>
      </c>
      <c r="C35" t="s">
        <v>51</v>
      </c>
      <c r="D35" t="s">
        <v>49</v>
      </c>
      <c r="E35" s="7">
        <v>14435849.020000001</v>
      </c>
      <c r="F35" s="82"/>
      <c r="G35" t="s">
        <v>25</v>
      </c>
      <c r="H35" t="s">
        <v>51</v>
      </c>
      <c r="I35" t="s">
        <v>49</v>
      </c>
      <c r="J35" s="7">
        <v>0</v>
      </c>
    </row>
    <row r="36" spans="1:10" s="8" customFormat="1" x14ac:dyDescent="0.25">
      <c r="A36" s="41">
        <f t="shared" si="0"/>
        <v>31</v>
      </c>
      <c r="B36" t="s">
        <v>26</v>
      </c>
      <c r="C36" t="s">
        <v>52</v>
      </c>
      <c r="D36" t="s">
        <v>49</v>
      </c>
      <c r="E36" s="7">
        <v>24973114.409999985</v>
      </c>
      <c r="F36" s="82"/>
      <c r="G36" t="s">
        <v>26</v>
      </c>
      <c r="H36" t="s">
        <v>52</v>
      </c>
      <c r="I36" t="s">
        <v>49</v>
      </c>
      <c r="J36" s="7">
        <v>0</v>
      </c>
    </row>
    <row r="37" spans="1:10" s="8" customFormat="1" x14ac:dyDescent="0.25">
      <c r="A37" s="4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82"/>
      <c r="G37" t="s">
        <v>27</v>
      </c>
      <c r="H37" t="s">
        <v>52</v>
      </c>
      <c r="I37" t="s">
        <v>50</v>
      </c>
      <c r="J37" s="7">
        <v>25969979.530000005</v>
      </c>
    </row>
    <row r="38" spans="1:10" s="8" customFormat="1" x14ac:dyDescent="0.25">
      <c r="A38" s="4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82"/>
      <c r="G38" t="s">
        <v>28</v>
      </c>
      <c r="H38" t="s">
        <v>47</v>
      </c>
      <c r="I38" t="s">
        <v>50</v>
      </c>
      <c r="J38" s="7">
        <v>39772155.309999995</v>
      </c>
    </row>
    <row r="39" spans="1:10" s="8" customFormat="1" x14ac:dyDescent="0.25">
      <c r="A39" s="4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82"/>
      <c r="G39" t="s">
        <v>29</v>
      </c>
      <c r="H39" t="s">
        <v>53</v>
      </c>
      <c r="I39" t="s">
        <v>49</v>
      </c>
      <c r="J39" s="7">
        <v>0</v>
      </c>
    </row>
    <row r="40" spans="1:10" s="8" customFormat="1" x14ac:dyDescent="0.25">
      <c r="A40" s="41">
        <f t="shared" si="0"/>
        <v>35</v>
      </c>
      <c r="B40" t="s">
        <v>29</v>
      </c>
      <c r="C40" t="s">
        <v>51</v>
      </c>
      <c r="D40" t="s">
        <v>48</v>
      </c>
      <c r="E40" s="7">
        <v>15294889.440347994</v>
      </c>
      <c r="F40" s="82"/>
      <c r="G40" t="s">
        <v>29</v>
      </c>
      <c r="H40" t="s">
        <v>51</v>
      </c>
      <c r="I40" t="s">
        <v>48</v>
      </c>
      <c r="J40" s="7">
        <v>7900271.9796519969</v>
      </c>
    </row>
    <row r="41" spans="1:10" s="8" customFormat="1" x14ac:dyDescent="0.25">
      <c r="A41" s="41">
        <f t="shared" si="0"/>
        <v>36</v>
      </c>
      <c r="B41" t="s">
        <v>29</v>
      </c>
      <c r="C41" t="s">
        <v>51</v>
      </c>
      <c r="D41" t="s">
        <v>49</v>
      </c>
      <c r="E41" s="7">
        <v>19154523.429999996</v>
      </c>
      <c r="F41" s="82"/>
      <c r="G41" t="s">
        <v>29</v>
      </c>
      <c r="H41" t="s">
        <v>51</v>
      </c>
      <c r="I41" t="s">
        <v>49</v>
      </c>
      <c r="J41" s="7">
        <v>0</v>
      </c>
    </row>
    <row r="42" spans="1:10" s="8" customFormat="1" x14ac:dyDescent="0.25">
      <c r="A42" s="4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82"/>
      <c r="G42" t="s">
        <v>29</v>
      </c>
      <c r="H42" t="s">
        <v>51</v>
      </c>
      <c r="I42" t="s">
        <v>50</v>
      </c>
      <c r="J42" s="7">
        <v>1459120.35</v>
      </c>
    </row>
    <row r="43" spans="1:10" s="8" customFormat="1" x14ac:dyDescent="0.25">
      <c r="A43" s="41">
        <f t="shared" si="0"/>
        <v>38</v>
      </c>
      <c r="B43" t="s">
        <v>29</v>
      </c>
      <c r="C43" t="s">
        <v>47</v>
      </c>
      <c r="D43" t="s">
        <v>48</v>
      </c>
      <c r="E43" s="7">
        <v>10099877.768735996</v>
      </c>
      <c r="F43" s="82"/>
      <c r="G43" t="s">
        <v>29</v>
      </c>
      <c r="H43" t="s">
        <v>47</v>
      </c>
      <c r="I43" t="s">
        <v>48</v>
      </c>
      <c r="J43" s="7">
        <v>5216891.6712639984</v>
      </c>
    </row>
    <row r="44" spans="1:10" s="8" customFormat="1" x14ac:dyDescent="0.25">
      <c r="A44" s="41">
        <f t="shared" si="0"/>
        <v>39</v>
      </c>
      <c r="B44" t="s">
        <v>29</v>
      </c>
      <c r="C44" t="s">
        <v>47</v>
      </c>
      <c r="D44" t="s">
        <v>49</v>
      </c>
      <c r="E44" s="7">
        <v>83933043.740000039</v>
      </c>
      <c r="F44" s="82"/>
      <c r="G44" t="s">
        <v>29</v>
      </c>
      <c r="H44" t="s">
        <v>47</v>
      </c>
      <c r="I44" t="s">
        <v>49</v>
      </c>
      <c r="J44" s="7">
        <v>0</v>
      </c>
    </row>
    <row r="45" spans="1:10" s="8" customFormat="1" x14ac:dyDescent="0.25">
      <c r="A45" s="4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82"/>
      <c r="G45" t="s">
        <v>29</v>
      </c>
      <c r="H45" t="s">
        <v>47</v>
      </c>
      <c r="I45" t="s">
        <v>50</v>
      </c>
      <c r="J45" s="7">
        <v>7498381.0900000017</v>
      </c>
    </row>
    <row r="46" spans="1:10" s="8" customFormat="1" x14ac:dyDescent="0.25">
      <c r="A46" s="41">
        <f t="shared" si="0"/>
        <v>41</v>
      </c>
      <c r="B46" t="s">
        <v>29</v>
      </c>
      <c r="C46" t="s">
        <v>52</v>
      </c>
      <c r="D46" t="s">
        <v>49</v>
      </c>
      <c r="E46" s="7">
        <v>12294122.489999998</v>
      </c>
      <c r="F46" s="82"/>
      <c r="G46" t="s">
        <v>29</v>
      </c>
      <c r="H46" t="s">
        <v>52</v>
      </c>
      <c r="I46" t="s">
        <v>49</v>
      </c>
      <c r="J46" s="7">
        <v>0</v>
      </c>
    </row>
    <row r="47" spans="1:10" s="8" customFormat="1" x14ac:dyDescent="0.25">
      <c r="A47" s="4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82"/>
      <c r="G47" t="s">
        <v>29</v>
      </c>
      <c r="H47" t="s">
        <v>52</v>
      </c>
      <c r="I47" t="s">
        <v>50</v>
      </c>
      <c r="J47" s="7">
        <v>2164557.9699999997</v>
      </c>
    </row>
    <row r="48" spans="1:10" s="8" customFormat="1" x14ac:dyDescent="0.25">
      <c r="A48" s="41">
        <f t="shared" si="0"/>
        <v>43</v>
      </c>
      <c r="B48" t="s">
        <v>30</v>
      </c>
      <c r="C48" t="s">
        <v>51</v>
      </c>
      <c r="D48" t="s">
        <v>49</v>
      </c>
      <c r="E48" s="7">
        <v>0</v>
      </c>
      <c r="F48" s="82"/>
      <c r="G48" t="s">
        <v>30</v>
      </c>
      <c r="H48" t="s">
        <v>51</v>
      </c>
      <c r="I48" t="s">
        <v>49</v>
      </c>
      <c r="J48" s="7">
        <v>0</v>
      </c>
    </row>
    <row r="49" spans="1:13" s="8" customFormat="1" x14ac:dyDescent="0.25">
      <c r="A49" s="41">
        <f t="shared" si="0"/>
        <v>44</v>
      </c>
      <c r="B49" t="s">
        <v>30</v>
      </c>
      <c r="C49" t="s">
        <v>51</v>
      </c>
      <c r="D49" t="s">
        <v>50</v>
      </c>
      <c r="E49" s="7">
        <v>0</v>
      </c>
      <c r="F49" s="82"/>
      <c r="G49" t="s">
        <v>30</v>
      </c>
      <c r="H49" t="s">
        <v>51</v>
      </c>
      <c r="I49" t="s">
        <v>50</v>
      </c>
      <c r="J49" s="7">
        <v>0</v>
      </c>
    </row>
    <row r="50" spans="1:13" s="8" customFormat="1" x14ac:dyDescent="0.25">
      <c r="A50" s="41">
        <f t="shared" si="0"/>
        <v>45</v>
      </c>
      <c r="B50" t="s">
        <v>30</v>
      </c>
      <c r="C50" t="s">
        <v>47</v>
      </c>
      <c r="D50" t="s">
        <v>48</v>
      </c>
      <c r="E50" s="7">
        <v>0</v>
      </c>
      <c r="F50" s="82"/>
      <c r="G50" t="s">
        <v>30</v>
      </c>
      <c r="H50" t="s">
        <v>47</v>
      </c>
      <c r="I50" t="s">
        <v>48</v>
      </c>
      <c r="J50" s="7">
        <v>0</v>
      </c>
    </row>
    <row r="51" spans="1:13" s="8" customFormat="1" x14ac:dyDescent="0.25">
      <c r="A51" s="41">
        <f t="shared" si="0"/>
        <v>46</v>
      </c>
      <c r="B51" t="s">
        <v>30</v>
      </c>
      <c r="C51" t="s">
        <v>47</v>
      </c>
      <c r="D51" t="s">
        <v>49</v>
      </c>
      <c r="E51" s="7">
        <v>0</v>
      </c>
      <c r="F51" s="82"/>
      <c r="G51" t="s">
        <v>30</v>
      </c>
      <c r="H51" t="s">
        <v>47</v>
      </c>
      <c r="I51" t="s">
        <v>49</v>
      </c>
      <c r="J51" s="7">
        <v>0</v>
      </c>
    </row>
    <row r="52" spans="1:13" s="8" customFormat="1" x14ac:dyDescent="0.25">
      <c r="A52" s="41">
        <f t="shared" si="0"/>
        <v>47</v>
      </c>
      <c r="B52" t="s">
        <v>30</v>
      </c>
      <c r="C52" t="s">
        <v>47</v>
      </c>
      <c r="D52" t="s">
        <v>50</v>
      </c>
      <c r="E52" s="7">
        <v>0</v>
      </c>
      <c r="F52" s="82"/>
      <c r="G52" t="s">
        <v>30</v>
      </c>
      <c r="H52" t="s">
        <v>47</v>
      </c>
      <c r="I52" t="s">
        <v>50</v>
      </c>
      <c r="J52" s="7">
        <v>0</v>
      </c>
    </row>
    <row r="53" spans="1:13" s="8" customFormat="1" x14ac:dyDescent="0.25">
      <c r="A53" s="41">
        <f t="shared" si="0"/>
        <v>48</v>
      </c>
      <c r="B53" t="s">
        <v>31</v>
      </c>
      <c r="C53" t="s">
        <v>51</v>
      </c>
      <c r="D53" t="s">
        <v>49</v>
      </c>
      <c r="E53" s="7">
        <v>0</v>
      </c>
      <c r="F53" s="82"/>
      <c r="G53" t="s">
        <v>31</v>
      </c>
      <c r="H53" t="s">
        <v>51</v>
      </c>
      <c r="I53" t="s">
        <v>49</v>
      </c>
      <c r="J53" s="7">
        <v>0</v>
      </c>
    </row>
    <row r="54" spans="1:13" s="8" customFormat="1" x14ac:dyDescent="0.25">
      <c r="A54" s="41">
        <f t="shared" si="0"/>
        <v>49</v>
      </c>
      <c r="B54" t="s">
        <v>32</v>
      </c>
      <c r="C54" t="s">
        <v>51</v>
      </c>
      <c r="D54" t="s">
        <v>49</v>
      </c>
      <c r="E54" s="7">
        <v>0</v>
      </c>
      <c r="F54" s="82"/>
      <c r="G54" t="s">
        <v>32</v>
      </c>
      <c r="H54" t="s">
        <v>51</v>
      </c>
      <c r="I54" t="s">
        <v>49</v>
      </c>
      <c r="J54" s="7">
        <v>0</v>
      </c>
    </row>
    <row r="55" spans="1:13" s="8" customFormat="1" x14ac:dyDescent="0.25">
      <c r="A55" s="41">
        <f t="shared" si="0"/>
        <v>50</v>
      </c>
      <c r="B55" t="s">
        <v>33</v>
      </c>
      <c r="C55" t="s">
        <v>51</v>
      </c>
      <c r="D55" t="s">
        <v>48</v>
      </c>
      <c r="E55" s="7">
        <v>1046696.4139800001</v>
      </c>
      <c r="F55" s="82"/>
      <c r="G55" t="s">
        <v>33</v>
      </c>
      <c r="H55" t="s">
        <v>51</v>
      </c>
      <c r="I55" t="s">
        <v>48</v>
      </c>
      <c r="J55" s="7">
        <v>540650.28602000012</v>
      </c>
    </row>
    <row r="56" spans="1:13" s="8" customFormat="1" x14ac:dyDescent="0.25">
      <c r="A56" s="41">
        <f t="shared" si="0"/>
        <v>51</v>
      </c>
      <c r="B56" t="s">
        <v>34</v>
      </c>
      <c r="C56" t="s">
        <v>51</v>
      </c>
      <c r="D56" t="s">
        <v>48</v>
      </c>
      <c r="E56" s="7">
        <v>0</v>
      </c>
      <c r="F56" s="82"/>
      <c r="G56" t="s">
        <v>34</v>
      </c>
      <c r="H56" t="s">
        <v>51</v>
      </c>
      <c r="I56" t="s">
        <v>48</v>
      </c>
      <c r="J56" s="7">
        <v>0</v>
      </c>
    </row>
    <row r="57" spans="1:13" s="8" customFormat="1" x14ac:dyDescent="0.25">
      <c r="A57" s="41">
        <f t="shared" si="0"/>
        <v>52</v>
      </c>
      <c r="B57" t="s">
        <v>35</v>
      </c>
      <c r="C57" t="s">
        <v>47</v>
      </c>
      <c r="D57" t="s">
        <v>50</v>
      </c>
      <c r="E57" s="7">
        <v>0</v>
      </c>
      <c r="F57" s="82"/>
      <c r="G57" t="s">
        <v>35</v>
      </c>
      <c r="H57" t="s">
        <v>47</v>
      </c>
      <c r="I57" t="s">
        <v>50</v>
      </c>
      <c r="J57" s="7">
        <v>0</v>
      </c>
    </row>
    <row r="58" spans="1:13" s="8" customFormat="1" x14ac:dyDescent="0.25">
      <c r="A58" s="41">
        <f t="shared" si="0"/>
        <v>53</v>
      </c>
      <c r="B58" t="s">
        <v>36</v>
      </c>
      <c r="C58" t="s">
        <v>47</v>
      </c>
      <c r="D58" t="s">
        <v>49</v>
      </c>
      <c r="E58" s="7">
        <v>0</v>
      </c>
      <c r="F58" s="82"/>
      <c r="G58" t="s">
        <v>36</v>
      </c>
      <c r="H58" t="s">
        <v>47</v>
      </c>
      <c r="I58" t="s">
        <v>49</v>
      </c>
      <c r="J58" s="7">
        <v>0</v>
      </c>
    </row>
    <row r="59" spans="1:13" x14ac:dyDescent="0.25">
      <c r="A59" s="41">
        <f t="shared" si="0"/>
        <v>54</v>
      </c>
      <c r="B59" t="s">
        <v>37</v>
      </c>
      <c r="C59" t="s">
        <v>47</v>
      </c>
      <c r="D59" t="s">
        <v>49</v>
      </c>
      <c r="E59" s="7">
        <v>1294239.2399999998</v>
      </c>
      <c r="F59" s="82"/>
      <c r="G59" t="s">
        <v>37</v>
      </c>
      <c r="H59" t="s">
        <v>47</v>
      </c>
      <c r="I59" t="s">
        <v>49</v>
      </c>
      <c r="J59" s="7">
        <v>0</v>
      </c>
      <c r="K59" s="8"/>
      <c r="L59" s="8"/>
      <c r="M59" s="8"/>
    </row>
    <row r="60" spans="1:13" x14ac:dyDescent="0.25">
      <c r="A60" s="41">
        <f t="shared" si="0"/>
        <v>55</v>
      </c>
      <c r="B60" t="s">
        <v>114</v>
      </c>
      <c r="C60" t="s">
        <v>114</v>
      </c>
      <c r="D60" t="s">
        <v>48</v>
      </c>
      <c r="E60" s="7">
        <v>20516808.337787993</v>
      </c>
      <c r="F60" s="82"/>
      <c r="G60" t="s">
        <v>114</v>
      </c>
      <c r="H60" t="s">
        <v>114</v>
      </c>
      <c r="I60" t="s">
        <v>48</v>
      </c>
      <c r="J60" s="7">
        <v>10597550.682211997</v>
      </c>
      <c r="K60" s="8"/>
      <c r="L60" s="8"/>
      <c r="M60" s="8"/>
    </row>
    <row r="61" spans="1:13" x14ac:dyDescent="0.25">
      <c r="A61" s="41">
        <f t="shared" si="0"/>
        <v>56</v>
      </c>
      <c r="B61" t="s">
        <v>114</v>
      </c>
      <c r="C61" t="s">
        <v>114</v>
      </c>
      <c r="D61" t="s">
        <v>49</v>
      </c>
      <c r="E61" s="7">
        <v>715592.20999999717</v>
      </c>
      <c r="F61" s="82"/>
      <c r="G61" t="s">
        <v>114</v>
      </c>
      <c r="H61" t="s">
        <v>114</v>
      </c>
      <c r="I61" t="s">
        <v>49</v>
      </c>
      <c r="J61" s="7">
        <v>0</v>
      </c>
      <c r="K61" s="8"/>
      <c r="L61" s="8"/>
      <c r="M61" s="8"/>
    </row>
    <row r="62" spans="1:13" x14ac:dyDescent="0.25">
      <c r="A62" s="41">
        <f t="shared" si="0"/>
        <v>57</v>
      </c>
      <c r="B62" t="s">
        <v>114</v>
      </c>
      <c r="C62" t="s">
        <v>114</v>
      </c>
      <c r="D62" t="s">
        <v>50</v>
      </c>
      <c r="E62" s="7">
        <v>0</v>
      </c>
      <c r="F62" s="82"/>
      <c r="G62" t="s">
        <v>114</v>
      </c>
      <c r="H62" t="s">
        <v>114</v>
      </c>
      <c r="I62" t="s">
        <v>50</v>
      </c>
      <c r="J62" s="7">
        <v>568273.46000000008</v>
      </c>
      <c r="K62" s="8"/>
      <c r="L62" s="8"/>
      <c r="M62" s="8"/>
    </row>
    <row r="63" spans="1:13" x14ac:dyDescent="0.25">
      <c r="A63" s="41">
        <f t="shared" si="0"/>
        <v>58</v>
      </c>
      <c r="E63" s="7"/>
      <c r="F63" s="82"/>
      <c r="J63" s="7"/>
      <c r="K63" s="8"/>
      <c r="L63" s="8"/>
      <c r="M63" s="8"/>
    </row>
    <row r="64" spans="1:13" ht="15.75" thickBot="1" x14ac:dyDescent="0.3">
      <c r="A64" s="41">
        <f t="shared" si="0"/>
        <v>59</v>
      </c>
      <c r="B64" s="84" t="s">
        <v>38</v>
      </c>
      <c r="C64" s="85"/>
      <c r="D64" s="85"/>
      <c r="E64" s="86">
        <f>SUM(E6:E63)</f>
        <v>461965216.75432593</v>
      </c>
      <c r="F64" s="87"/>
      <c r="G64" s="84" t="s">
        <v>38</v>
      </c>
      <c r="H64" s="85"/>
      <c r="I64" s="85"/>
      <c r="J64" s="86">
        <f>SUM(J6:J63)</f>
        <v>224272978.87567401</v>
      </c>
      <c r="K64" s="8"/>
      <c r="L64" s="8"/>
      <c r="M64" s="8"/>
    </row>
    <row r="65" spans="2:13" x14ac:dyDescent="0.25">
      <c r="B65" s="9"/>
      <c r="C65" s="8"/>
      <c r="D65" s="8"/>
      <c r="E65" s="10"/>
      <c r="F65" s="8"/>
      <c r="G65" s="9"/>
      <c r="H65" s="8"/>
      <c r="I65" s="8"/>
      <c r="J65" s="10"/>
      <c r="K65" s="8"/>
      <c r="L65" s="8"/>
      <c r="M65" s="8"/>
    </row>
    <row r="66" spans="2:13" x14ac:dyDescent="0.25">
      <c r="B66" s="9"/>
      <c r="C66" s="8"/>
      <c r="D66" s="8"/>
      <c r="E66" s="10"/>
      <c r="F66" s="8"/>
      <c r="G66" s="9"/>
      <c r="H66" s="8"/>
      <c r="I66" s="8"/>
      <c r="J66" s="10"/>
    </row>
    <row r="67" spans="2:13" x14ac:dyDescent="0.25">
      <c r="B67" s="9"/>
      <c r="C67" s="8"/>
      <c r="D67" s="8"/>
      <c r="E67" s="10"/>
      <c r="F67" s="8"/>
      <c r="G67" s="9"/>
      <c r="H67" s="8"/>
      <c r="I67" s="8"/>
      <c r="J67" s="10"/>
    </row>
    <row r="68" spans="2:13" x14ac:dyDescent="0.25">
      <c r="B68" s="9"/>
      <c r="C68" s="8"/>
      <c r="D68" s="8"/>
      <c r="E68" s="10"/>
      <c r="F68" s="8"/>
      <c r="G68" s="9"/>
      <c r="H68" s="8"/>
      <c r="I68" s="8"/>
      <c r="J68" s="10"/>
    </row>
  </sheetData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pane xSplit="2" ySplit="5" topLeftCell="C6" activePane="bottomRight" state="frozen"/>
      <selection activeCell="I36" sqref="I36"/>
      <selection pane="topRight" activeCell="I36" sqref="I36"/>
      <selection pane="bottomLeft" activeCell="I36" sqref="I36"/>
      <selection pane="bottomRight" activeCell="C6" sqref="C6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8554687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85546875" bestFit="1" customWidth="1"/>
  </cols>
  <sheetData>
    <row r="1" spans="1:10" x14ac:dyDescent="0.25">
      <c r="B1" s="4"/>
      <c r="F1" s="82"/>
    </row>
    <row r="2" spans="1:10" ht="18.75" x14ac:dyDescent="0.3">
      <c r="B2" s="81" t="s">
        <v>43</v>
      </c>
      <c r="C2" s="88"/>
      <c r="D2" s="88"/>
      <c r="E2" s="88"/>
      <c r="F2" s="89"/>
      <c r="G2" s="81" t="s">
        <v>44</v>
      </c>
    </row>
    <row r="3" spans="1:10" x14ac:dyDescent="0.25">
      <c r="F3" s="82"/>
    </row>
    <row r="4" spans="1:10" x14ac:dyDescent="0.25">
      <c r="A4" s="76" t="s">
        <v>60</v>
      </c>
      <c r="E4" s="5"/>
      <c r="F4" s="82"/>
    </row>
    <row r="5" spans="1:10" x14ac:dyDescent="0.25">
      <c r="A5" s="34" t="s">
        <v>66</v>
      </c>
      <c r="B5" s="13" t="s">
        <v>0</v>
      </c>
      <c r="C5" s="13" t="s">
        <v>45</v>
      </c>
      <c r="D5" s="13" t="s">
        <v>46</v>
      </c>
      <c r="E5" s="13" t="s">
        <v>140</v>
      </c>
      <c r="F5" s="83"/>
      <c r="G5" s="13" t="s">
        <v>0</v>
      </c>
      <c r="H5" s="13" t="s">
        <v>45</v>
      </c>
      <c r="I5" s="13" t="s">
        <v>46</v>
      </c>
      <c r="J5" s="13" t="s">
        <v>140</v>
      </c>
    </row>
    <row r="6" spans="1:10" x14ac:dyDescent="0.25">
      <c r="A6" s="41">
        <v>1</v>
      </c>
      <c r="B6" t="s">
        <v>1</v>
      </c>
      <c r="C6" t="s">
        <v>47</v>
      </c>
      <c r="D6" t="s">
        <v>48</v>
      </c>
      <c r="E6" s="7">
        <v>90841.079669280851</v>
      </c>
      <c r="F6" s="82"/>
      <c r="G6" t="s">
        <v>1</v>
      </c>
      <c r="H6" t="s">
        <v>47</v>
      </c>
      <c r="I6" t="s">
        <v>48</v>
      </c>
      <c r="J6" s="7">
        <v>46922.159137635819</v>
      </c>
    </row>
    <row r="7" spans="1:10" s="8" customFormat="1" x14ac:dyDescent="0.25">
      <c r="A7" s="41">
        <f>A6+1</f>
        <v>2</v>
      </c>
      <c r="B7" t="s">
        <v>1</v>
      </c>
      <c r="C7" t="s">
        <v>47</v>
      </c>
      <c r="D7" t="s">
        <v>49</v>
      </c>
      <c r="E7" s="7">
        <v>11.375967916666667</v>
      </c>
      <c r="F7" s="82"/>
      <c r="G7" t="s">
        <v>1</v>
      </c>
      <c r="H7" t="s">
        <v>47</v>
      </c>
      <c r="I7" t="s">
        <v>49</v>
      </c>
      <c r="J7" s="7">
        <v>0</v>
      </c>
    </row>
    <row r="8" spans="1:10" s="8" customFormat="1" x14ac:dyDescent="0.25">
      <c r="A8" s="41">
        <f t="shared" ref="A8:A59" si="0">A7+1</f>
        <v>3</v>
      </c>
      <c r="B8" t="s">
        <v>2</v>
      </c>
      <c r="C8" t="s">
        <v>47</v>
      </c>
      <c r="D8" t="s">
        <v>49</v>
      </c>
      <c r="E8" s="7">
        <v>84715.075362118252</v>
      </c>
      <c r="F8" s="82"/>
      <c r="G8" t="s">
        <v>2</v>
      </c>
      <c r="H8" t="s">
        <v>47</v>
      </c>
      <c r="I8" t="s">
        <v>49</v>
      </c>
      <c r="J8" s="7">
        <v>0</v>
      </c>
    </row>
    <row r="9" spans="1:10" s="8" customFormat="1" x14ac:dyDescent="0.25">
      <c r="A9" s="4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82"/>
      <c r="G9" t="s">
        <v>3</v>
      </c>
      <c r="H9" t="s">
        <v>47</v>
      </c>
      <c r="I9" t="s">
        <v>50</v>
      </c>
      <c r="J9" s="7">
        <v>15378.108803436426</v>
      </c>
    </row>
    <row r="10" spans="1:10" s="8" customFormat="1" x14ac:dyDescent="0.25">
      <c r="A10" s="4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82"/>
      <c r="G10" t="s">
        <v>4</v>
      </c>
      <c r="H10" t="s">
        <v>51</v>
      </c>
      <c r="I10" t="s">
        <v>49</v>
      </c>
      <c r="J10" s="7">
        <v>0</v>
      </c>
    </row>
    <row r="11" spans="1:10" s="8" customFormat="1" x14ac:dyDescent="0.25">
      <c r="A11" s="41">
        <f t="shared" si="0"/>
        <v>6</v>
      </c>
      <c r="B11" t="s">
        <v>5</v>
      </c>
      <c r="C11" t="s">
        <v>47</v>
      </c>
      <c r="D11" t="s">
        <v>49</v>
      </c>
      <c r="E11" s="7">
        <v>8527.7309690022066</v>
      </c>
      <c r="F11" s="82"/>
      <c r="G11" t="s">
        <v>5</v>
      </c>
      <c r="H11" t="s">
        <v>47</v>
      </c>
      <c r="I11" t="s">
        <v>49</v>
      </c>
      <c r="J11" s="7">
        <v>0</v>
      </c>
    </row>
    <row r="12" spans="1:10" s="8" customFormat="1" x14ac:dyDescent="0.25">
      <c r="A12" s="4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82"/>
      <c r="G12" t="s">
        <v>6</v>
      </c>
      <c r="H12" t="s">
        <v>47</v>
      </c>
      <c r="I12" t="s">
        <v>50</v>
      </c>
      <c r="J12" s="7">
        <v>49422.315506603642</v>
      </c>
    </row>
    <row r="13" spans="1:10" s="8" customFormat="1" x14ac:dyDescent="0.25">
      <c r="A13" s="41">
        <f t="shared" si="0"/>
        <v>8</v>
      </c>
      <c r="B13" t="s">
        <v>7</v>
      </c>
      <c r="C13" t="s">
        <v>52</v>
      </c>
      <c r="D13" t="s">
        <v>49</v>
      </c>
      <c r="E13" s="7">
        <v>-134395.29357176655</v>
      </c>
      <c r="F13" s="82"/>
      <c r="G13" t="s">
        <v>7</v>
      </c>
      <c r="H13" t="s">
        <v>52</v>
      </c>
      <c r="I13" t="s">
        <v>49</v>
      </c>
      <c r="J13" s="7">
        <v>0</v>
      </c>
    </row>
    <row r="14" spans="1:10" s="8" customFormat="1" x14ac:dyDescent="0.25">
      <c r="A14" s="4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82"/>
      <c r="G14" t="s">
        <v>8</v>
      </c>
      <c r="H14" t="s">
        <v>52</v>
      </c>
      <c r="I14" t="s">
        <v>50</v>
      </c>
      <c r="J14" s="7">
        <v>-24971.386520759104</v>
      </c>
    </row>
    <row r="15" spans="1:10" s="8" customFormat="1" x14ac:dyDescent="0.25">
      <c r="A15" s="41">
        <f t="shared" si="0"/>
        <v>10</v>
      </c>
      <c r="B15" t="s">
        <v>9</v>
      </c>
      <c r="C15" t="s">
        <v>52</v>
      </c>
      <c r="D15" t="s">
        <v>49</v>
      </c>
      <c r="E15" s="7">
        <v>770628.48511262692</v>
      </c>
      <c r="F15" s="82"/>
      <c r="G15" t="s">
        <v>9</v>
      </c>
      <c r="H15" t="s">
        <v>52</v>
      </c>
      <c r="I15" t="s">
        <v>49</v>
      </c>
      <c r="J15" s="7">
        <v>0</v>
      </c>
    </row>
    <row r="16" spans="1:10" s="8" customFormat="1" x14ac:dyDescent="0.25">
      <c r="A16" s="4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82"/>
      <c r="G16" t="s">
        <v>9</v>
      </c>
      <c r="H16" t="s">
        <v>52</v>
      </c>
      <c r="I16" t="s">
        <v>50</v>
      </c>
      <c r="J16" s="7">
        <v>242.48172473255948</v>
      </c>
    </row>
    <row r="17" spans="1:10" s="8" customFormat="1" x14ac:dyDescent="0.25">
      <c r="A17" s="41">
        <f t="shared" si="0"/>
        <v>12</v>
      </c>
      <c r="B17" t="s">
        <v>10</v>
      </c>
      <c r="C17" t="s">
        <v>52</v>
      </c>
      <c r="D17" t="s">
        <v>49</v>
      </c>
      <c r="E17" s="7">
        <v>183.42901755383792</v>
      </c>
      <c r="F17" s="82"/>
      <c r="G17" t="s">
        <v>10</v>
      </c>
      <c r="H17" t="s">
        <v>52</v>
      </c>
      <c r="I17" t="s">
        <v>49</v>
      </c>
      <c r="J17" s="7">
        <v>0</v>
      </c>
    </row>
    <row r="18" spans="1:10" s="8" customFormat="1" x14ac:dyDescent="0.25">
      <c r="A18" s="4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82"/>
      <c r="G18" t="s">
        <v>10</v>
      </c>
      <c r="H18" t="s">
        <v>52</v>
      </c>
      <c r="I18" t="s">
        <v>50</v>
      </c>
      <c r="J18" s="7">
        <v>1161317.7066769691</v>
      </c>
    </row>
    <row r="19" spans="1:10" s="8" customFormat="1" x14ac:dyDescent="0.25">
      <c r="A19" s="41">
        <f t="shared" si="0"/>
        <v>14</v>
      </c>
      <c r="B19" t="s">
        <v>11</v>
      </c>
      <c r="C19" t="s">
        <v>47</v>
      </c>
      <c r="D19" t="s">
        <v>49</v>
      </c>
      <c r="E19" s="7">
        <v>2519.1565208333341</v>
      </c>
      <c r="F19" s="82"/>
      <c r="G19" t="s">
        <v>11</v>
      </c>
      <c r="H19" t="s">
        <v>47</v>
      </c>
      <c r="I19" t="s">
        <v>49</v>
      </c>
      <c r="J19" s="7">
        <v>0</v>
      </c>
    </row>
    <row r="20" spans="1:10" s="8" customFormat="1" x14ac:dyDescent="0.25">
      <c r="A20" s="41">
        <f t="shared" si="0"/>
        <v>15</v>
      </c>
      <c r="B20" t="s">
        <v>12</v>
      </c>
      <c r="C20" t="s">
        <v>47</v>
      </c>
      <c r="D20" t="s">
        <v>48</v>
      </c>
      <c r="E20" s="7">
        <v>432347.69207629998</v>
      </c>
      <c r="F20" s="82"/>
      <c r="G20" t="s">
        <v>12</v>
      </c>
      <c r="H20" t="s">
        <v>47</v>
      </c>
      <c r="I20" t="s">
        <v>48</v>
      </c>
      <c r="J20" s="7">
        <v>223320.63075703333</v>
      </c>
    </row>
    <row r="21" spans="1:10" s="8" customFormat="1" x14ac:dyDescent="0.25">
      <c r="A21" s="41">
        <f t="shared" si="0"/>
        <v>16</v>
      </c>
      <c r="B21" t="s">
        <v>13</v>
      </c>
      <c r="C21" t="s">
        <v>47</v>
      </c>
      <c r="D21" t="s">
        <v>49</v>
      </c>
      <c r="E21" s="7">
        <v>1053709.5300484311</v>
      </c>
      <c r="F21" s="82"/>
      <c r="G21" t="s">
        <v>13</v>
      </c>
      <c r="H21" t="s">
        <v>47</v>
      </c>
      <c r="I21" t="s">
        <v>49</v>
      </c>
      <c r="J21" s="7">
        <v>0</v>
      </c>
    </row>
    <row r="22" spans="1:10" s="8" customFormat="1" x14ac:dyDescent="0.25">
      <c r="A22" s="4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82"/>
      <c r="G22" t="s">
        <v>14</v>
      </c>
      <c r="H22" t="s">
        <v>47</v>
      </c>
      <c r="I22" t="s">
        <v>50</v>
      </c>
      <c r="J22" s="7">
        <v>199605.38516592441</v>
      </c>
    </row>
    <row r="23" spans="1:10" s="8" customFormat="1" x14ac:dyDescent="0.25">
      <c r="A23" s="41">
        <f t="shared" si="0"/>
        <v>18</v>
      </c>
      <c r="B23" t="s">
        <v>15</v>
      </c>
      <c r="C23" t="s">
        <v>51</v>
      </c>
      <c r="D23" t="s">
        <v>49</v>
      </c>
      <c r="E23" s="7">
        <v>1818.3768294092063</v>
      </c>
      <c r="F23" s="82"/>
      <c r="G23" t="s">
        <v>15</v>
      </c>
      <c r="H23" t="s">
        <v>51</v>
      </c>
      <c r="I23" t="s">
        <v>49</v>
      </c>
      <c r="J23" s="7">
        <v>0</v>
      </c>
    </row>
    <row r="24" spans="1:10" s="8" customFormat="1" x14ac:dyDescent="0.25">
      <c r="A24" s="4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82"/>
      <c r="G24" t="s">
        <v>16</v>
      </c>
      <c r="H24" t="s">
        <v>47</v>
      </c>
      <c r="I24" t="s">
        <v>50</v>
      </c>
      <c r="J24" s="7">
        <v>170815.67126011377</v>
      </c>
    </row>
    <row r="25" spans="1:10" s="8" customFormat="1" x14ac:dyDescent="0.25">
      <c r="A25" s="41">
        <f t="shared" si="0"/>
        <v>20</v>
      </c>
      <c r="B25" t="s">
        <v>17</v>
      </c>
      <c r="C25" t="s">
        <v>51</v>
      </c>
      <c r="D25" t="s">
        <v>49</v>
      </c>
      <c r="E25" s="7">
        <v>-183.14169933333338</v>
      </c>
      <c r="F25" s="82"/>
      <c r="G25" t="s">
        <v>17</v>
      </c>
      <c r="H25" t="s">
        <v>51</v>
      </c>
      <c r="I25" t="s">
        <v>49</v>
      </c>
      <c r="J25" s="7">
        <v>0</v>
      </c>
    </row>
    <row r="26" spans="1:10" s="8" customFormat="1" x14ac:dyDescent="0.25">
      <c r="A26" s="41">
        <f t="shared" si="0"/>
        <v>21</v>
      </c>
      <c r="B26" t="s">
        <v>18</v>
      </c>
      <c r="C26" t="s">
        <v>47</v>
      </c>
      <c r="D26" t="s">
        <v>49</v>
      </c>
      <c r="E26" s="7">
        <v>1723430.535882418</v>
      </c>
      <c r="F26" s="82"/>
      <c r="G26" t="s">
        <v>18</v>
      </c>
      <c r="H26" t="s">
        <v>47</v>
      </c>
      <c r="I26" t="s">
        <v>49</v>
      </c>
      <c r="J26" s="7">
        <v>0</v>
      </c>
    </row>
    <row r="27" spans="1:10" s="8" customFormat="1" x14ac:dyDescent="0.25">
      <c r="A27" s="41">
        <f t="shared" si="0"/>
        <v>22</v>
      </c>
      <c r="B27" t="s">
        <v>19</v>
      </c>
      <c r="C27" t="s">
        <v>47</v>
      </c>
      <c r="D27" t="s">
        <v>49</v>
      </c>
      <c r="E27" s="7">
        <v>-14818.4095</v>
      </c>
      <c r="F27" s="82"/>
      <c r="G27" t="s">
        <v>19</v>
      </c>
      <c r="H27" t="s">
        <v>47</v>
      </c>
      <c r="I27" t="s">
        <v>49</v>
      </c>
      <c r="J27" s="7">
        <v>0</v>
      </c>
    </row>
    <row r="28" spans="1:10" s="8" customFormat="1" x14ac:dyDescent="0.25">
      <c r="A28" s="41">
        <f t="shared" si="0"/>
        <v>23</v>
      </c>
      <c r="B28" t="s">
        <v>20</v>
      </c>
      <c r="C28" t="s">
        <v>47</v>
      </c>
      <c r="D28" t="s">
        <v>48</v>
      </c>
      <c r="E28" s="7">
        <v>955654.87914591096</v>
      </c>
      <c r="F28" s="82"/>
      <c r="G28" t="s">
        <v>20</v>
      </c>
      <c r="H28" t="s">
        <v>47</v>
      </c>
      <c r="I28" t="s">
        <v>48</v>
      </c>
      <c r="J28" s="7">
        <v>493624.58574021427</v>
      </c>
    </row>
    <row r="29" spans="1:10" s="8" customFormat="1" x14ac:dyDescent="0.25">
      <c r="A29" s="41">
        <f t="shared" si="0"/>
        <v>24</v>
      </c>
      <c r="B29" t="s">
        <v>20</v>
      </c>
      <c r="C29" t="s">
        <v>47</v>
      </c>
      <c r="D29" t="s">
        <v>49</v>
      </c>
      <c r="E29" s="7">
        <v>46718.079685249999</v>
      </c>
      <c r="F29" s="82"/>
      <c r="G29" t="s">
        <v>20</v>
      </c>
      <c r="H29" t="s">
        <v>47</v>
      </c>
      <c r="I29" t="s">
        <v>49</v>
      </c>
      <c r="J29" s="7">
        <v>0</v>
      </c>
    </row>
    <row r="30" spans="1:10" s="8" customFormat="1" x14ac:dyDescent="0.25">
      <c r="A30" s="4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82"/>
      <c r="G30" t="s">
        <v>20</v>
      </c>
      <c r="H30" t="s">
        <v>47</v>
      </c>
      <c r="I30" t="s">
        <v>50</v>
      </c>
      <c r="J30" s="7">
        <v>30660.60191666667</v>
      </c>
    </row>
    <row r="31" spans="1:10" s="8" customFormat="1" x14ac:dyDescent="0.25">
      <c r="A31" s="4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82"/>
      <c r="G31" t="s">
        <v>21</v>
      </c>
      <c r="H31" t="s">
        <v>51</v>
      </c>
      <c r="I31" t="s">
        <v>49</v>
      </c>
      <c r="J31" s="7">
        <v>0</v>
      </c>
    </row>
    <row r="32" spans="1:10" s="8" customFormat="1" x14ac:dyDescent="0.25">
      <c r="A32" s="41">
        <f t="shared" si="0"/>
        <v>27</v>
      </c>
      <c r="B32" t="s">
        <v>22</v>
      </c>
      <c r="C32" t="s">
        <v>47</v>
      </c>
      <c r="D32" t="s">
        <v>49</v>
      </c>
      <c r="E32" s="7">
        <v>30041.506028060419</v>
      </c>
      <c r="F32" s="82"/>
      <c r="G32" t="s">
        <v>22</v>
      </c>
      <c r="H32" t="s">
        <v>47</v>
      </c>
      <c r="I32" t="s">
        <v>49</v>
      </c>
      <c r="J32" s="7">
        <v>0</v>
      </c>
    </row>
    <row r="33" spans="1:10" s="8" customFormat="1" x14ac:dyDescent="0.25">
      <c r="A33" s="4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82"/>
      <c r="G33" t="s">
        <v>23</v>
      </c>
      <c r="H33" t="s">
        <v>47</v>
      </c>
      <c r="I33" t="s">
        <v>50</v>
      </c>
      <c r="J33" s="7">
        <v>0</v>
      </c>
    </row>
    <row r="34" spans="1:10" s="8" customFormat="1" x14ac:dyDescent="0.25">
      <c r="A34" s="4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82"/>
      <c r="G34" t="s">
        <v>24</v>
      </c>
      <c r="H34" t="s">
        <v>51</v>
      </c>
      <c r="I34" t="s">
        <v>50</v>
      </c>
      <c r="J34" s="7">
        <v>12141.904233791665</v>
      </c>
    </row>
    <row r="35" spans="1:10" s="8" customFormat="1" x14ac:dyDescent="0.25">
      <c r="A35" s="41">
        <f t="shared" si="0"/>
        <v>30</v>
      </c>
      <c r="B35" t="s">
        <v>25</v>
      </c>
      <c r="C35" t="s">
        <v>51</v>
      </c>
      <c r="D35" t="s">
        <v>49</v>
      </c>
      <c r="E35" s="7">
        <v>439385.58197333338</v>
      </c>
      <c r="F35" s="82"/>
      <c r="G35" t="s">
        <v>25</v>
      </c>
      <c r="H35" t="s">
        <v>51</v>
      </c>
      <c r="I35" t="s">
        <v>49</v>
      </c>
      <c r="J35" s="7">
        <v>0</v>
      </c>
    </row>
    <row r="36" spans="1:10" s="8" customFormat="1" x14ac:dyDescent="0.25">
      <c r="A36" s="41">
        <f t="shared" si="0"/>
        <v>31</v>
      </c>
      <c r="B36" t="s">
        <v>26</v>
      </c>
      <c r="C36" t="s">
        <v>52</v>
      </c>
      <c r="D36" t="s">
        <v>49</v>
      </c>
      <c r="E36" s="7">
        <v>147256.44366499665</v>
      </c>
      <c r="F36" s="82"/>
      <c r="G36" t="s">
        <v>26</v>
      </c>
      <c r="H36" t="s">
        <v>52</v>
      </c>
      <c r="I36" t="s">
        <v>49</v>
      </c>
      <c r="J36" s="7">
        <v>0</v>
      </c>
    </row>
    <row r="37" spans="1:10" s="8" customFormat="1" x14ac:dyDescent="0.25">
      <c r="A37" s="4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82"/>
      <c r="G37" t="s">
        <v>27</v>
      </c>
      <c r="H37" t="s">
        <v>52</v>
      </c>
      <c r="I37" t="s">
        <v>50</v>
      </c>
      <c r="J37" s="7">
        <v>190042.14845561283</v>
      </c>
    </row>
    <row r="38" spans="1:10" s="8" customFormat="1" x14ac:dyDescent="0.25">
      <c r="A38" s="4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82"/>
      <c r="G38" t="s">
        <v>28</v>
      </c>
      <c r="H38" t="s">
        <v>47</v>
      </c>
      <c r="I38" t="s">
        <v>50</v>
      </c>
      <c r="J38" s="7">
        <v>447662.99560022721</v>
      </c>
    </row>
    <row r="39" spans="1:10" s="8" customFormat="1" x14ac:dyDescent="0.25">
      <c r="A39" s="4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82"/>
      <c r="G39" t="s">
        <v>29</v>
      </c>
      <c r="H39" t="s">
        <v>53</v>
      </c>
      <c r="I39" t="s">
        <v>49</v>
      </c>
      <c r="J39" s="7">
        <v>0</v>
      </c>
    </row>
    <row r="40" spans="1:10" s="8" customFormat="1" x14ac:dyDescent="0.25">
      <c r="A40" s="41">
        <f t="shared" si="0"/>
        <v>35</v>
      </c>
      <c r="B40" t="s">
        <v>29</v>
      </c>
      <c r="C40" t="s">
        <v>51</v>
      </c>
      <c r="D40" t="s">
        <v>48</v>
      </c>
      <c r="E40" s="7">
        <v>1013428.782384138</v>
      </c>
      <c r="F40" s="82"/>
      <c r="G40" t="s">
        <v>29</v>
      </c>
      <c r="H40" t="s">
        <v>51</v>
      </c>
      <c r="I40" t="s">
        <v>48</v>
      </c>
      <c r="J40" s="7">
        <v>523466.55031852808</v>
      </c>
    </row>
    <row r="41" spans="1:10" s="8" customFormat="1" x14ac:dyDescent="0.25">
      <c r="A41" s="41">
        <f t="shared" si="0"/>
        <v>36</v>
      </c>
      <c r="B41" t="s">
        <v>29</v>
      </c>
      <c r="C41" t="s">
        <v>51</v>
      </c>
      <c r="D41" t="s">
        <v>49</v>
      </c>
      <c r="E41" s="7">
        <v>501664.31452934863</v>
      </c>
      <c r="F41" s="82"/>
      <c r="G41" t="s">
        <v>29</v>
      </c>
      <c r="H41" t="s">
        <v>51</v>
      </c>
      <c r="I41" t="s">
        <v>49</v>
      </c>
      <c r="J41" s="7">
        <v>0</v>
      </c>
    </row>
    <row r="42" spans="1:10" s="8" customFormat="1" x14ac:dyDescent="0.25">
      <c r="A42" s="4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82"/>
      <c r="G42" t="s">
        <v>29</v>
      </c>
      <c r="H42" t="s">
        <v>51</v>
      </c>
      <c r="I42" t="s">
        <v>50</v>
      </c>
      <c r="J42" s="7">
        <v>24484.334769374997</v>
      </c>
    </row>
    <row r="43" spans="1:10" s="8" customFormat="1" x14ac:dyDescent="0.25">
      <c r="A43" s="41">
        <f t="shared" si="0"/>
        <v>38</v>
      </c>
      <c r="B43" t="s">
        <v>29</v>
      </c>
      <c r="C43" t="s">
        <v>47</v>
      </c>
      <c r="D43" t="s">
        <v>48</v>
      </c>
      <c r="E43" s="7">
        <v>957993.20263303642</v>
      </c>
      <c r="F43" s="82"/>
      <c r="G43" t="s">
        <v>29</v>
      </c>
      <c r="H43" t="s">
        <v>47</v>
      </c>
      <c r="I43" t="s">
        <v>48</v>
      </c>
      <c r="J43" s="7">
        <v>494832.40038946352</v>
      </c>
    </row>
    <row r="44" spans="1:10" s="8" customFormat="1" x14ac:dyDescent="0.25">
      <c r="A44" s="41">
        <f t="shared" si="0"/>
        <v>39</v>
      </c>
      <c r="B44" t="s">
        <v>29</v>
      </c>
      <c r="C44" t="s">
        <v>47</v>
      </c>
      <c r="D44" t="s">
        <v>49</v>
      </c>
      <c r="E44" s="7">
        <v>2071920.936864313</v>
      </c>
      <c r="F44" s="82"/>
      <c r="G44" t="s">
        <v>29</v>
      </c>
      <c r="H44" t="s">
        <v>47</v>
      </c>
      <c r="I44" t="s">
        <v>49</v>
      </c>
      <c r="J44" s="7">
        <v>0</v>
      </c>
    </row>
    <row r="45" spans="1:10" s="8" customFormat="1" x14ac:dyDescent="0.25">
      <c r="A45" s="4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82"/>
      <c r="G45" t="s">
        <v>29</v>
      </c>
      <c r="H45" t="s">
        <v>47</v>
      </c>
      <c r="I45" t="s">
        <v>50</v>
      </c>
      <c r="J45" s="7">
        <v>111697.81837454683</v>
      </c>
    </row>
    <row r="46" spans="1:10" s="8" customFormat="1" x14ac:dyDescent="0.25">
      <c r="A46" s="41">
        <f t="shared" si="0"/>
        <v>41</v>
      </c>
      <c r="B46" t="s">
        <v>29</v>
      </c>
      <c r="C46" t="s">
        <v>52</v>
      </c>
      <c r="D46" t="s">
        <v>49</v>
      </c>
      <c r="E46" s="7">
        <v>235128.47559976325</v>
      </c>
      <c r="F46" s="82"/>
      <c r="G46" t="s">
        <v>29</v>
      </c>
      <c r="H46" t="s">
        <v>52</v>
      </c>
      <c r="I46" t="s">
        <v>49</v>
      </c>
      <c r="J46" s="7">
        <v>0</v>
      </c>
    </row>
    <row r="47" spans="1:10" s="8" customFormat="1" x14ac:dyDescent="0.25">
      <c r="A47" s="4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82"/>
      <c r="G47" t="s">
        <v>29</v>
      </c>
      <c r="H47" t="s">
        <v>52</v>
      </c>
      <c r="I47" t="s">
        <v>50</v>
      </c>
      <c r="J47" s="7">
        <v>28774.337618167439</v>
      </c>
    </row>
    <row r="48" spans="1:10" s="8" customFormat="1" x14ac:dyDescent="0.25">
      <c r="A48" s="41">
        <f t="shared" si="0"/>
        <v>43</v>
      </c>
      <c r="B48" t="s">
        <v>31</v>
      </c>
      <c r="C48" t="s">
        <v>51</v>
      </c>
      <c r="D48" t="s">
        <v>49</v>
      </c>
      <c r="E48" s="7">
        <v>0</v>
      </c>
      <c r="F48" s="82"/>
      <c r="G48" t="s">
        <v>31</v>
      </c>
      <c r="H48" t="s">
        <v>51</v>
      </c>
      <c r="I48" t="s">
        <v>49</v>
      </c>
      <c r="J48" s="7">
        <v>0</v>
      </c>
    </row>
    <row r="49" spans="1:10" s="8" customFormat="1" x14ac:dyDescent="0.25">
      <c r="A49" s="41">
        <f t="shared" si="0"/>
        <v>44</v>
      </c>
      <c r="B49" t="s">
        <v>32</v>
      </c>
      <c r="C49" t="s">
        <v>51</v>
      </c>
      <c r="D49" t="s">
        <v>49</v>
      </c>
      <c r="E49" s="7">
        <v>0</v>
      </c>
      <c r="F49" s="82"/>
      <c r="G49" t="s">
        <v>32</v>
      </c>
      <c r="H49" t="s">
        <v>51</v>
      </c>
      <c r="I49" t="s">
        <v>49</v>
      </c>
      <c r="J49" s="7">
        <v>0</v>
      </c>
    </row>
    <row r="50" spans="1:10" x14ac:dyDescent="0.25">
      <c r="A50" s="41">
        <f t="shared" si="0"/>
        <v>45</v>
      </c>
      <c r="B50" t="s">
        <v>33</v>
      </c>
      <c r="C50" t="s">
        <v>51</v>
      </c>
      <c r="D50" t="s">
        <v>48</v>
      </c>
      <c r="E50" s="7">
        <v>74946.592113475257</v>
      </c>
      <c r="F50" s="82"/>
      <c r="G50" t="s">
        <v>33</v>
      </c>
      <c r="H50" t="s">
        <v>51</v>
      </c>
      <c r="I50" t="s">
        <v>48</v>
      </c>
      <c r="J50" s="7">
        <v>38712.176636108088</v>
      </c>
    </row>
    <row r="51" spans="1:10" x14ac:dyDescent="0.25">
      <c r="A51" s="41">
        <f t="shared" si="0"/>
        <v>46</v>
      </c>
      <c r="B51" t="s">
        <v>34</v>
      </c>
      <c r="C51" t="s">
        <v>51</v>
      </c>
      <c r="D51" t="s">
        <v>48</v>
      </c>
      <c r="E51" s="7">
        <v>0</v>
      </c>
      <c r="F51" s="82"/>
      <c r="G51" t="s">
        <v>34</v>
      </c>
      <c r="H51" t="s">
        <v>51</v>
      </c>
      <c r="I51" t="s">
        <v>48</v>
      </c>
      <c r="J51" s="7">
        <v>0</v>
      </c>
    </row>
    <row r="52" spans="1:10" x14ac:dyDescent="0.25">
      <c r="A52" s="41">
        <f t="shared" si="0"/>
        <v>47</v>
      </c>
      <c r="B52" t="s">
        <v>35</v>
      </c>
      <c r="C52" t="s">
        <v>47</v>
      </c>
      <c r="D52" t="s">
        <v>50</v>
      </c>
      <c r="E52" s="7">
        <v>0</v>
      </c>
      <c r="F52" s="82"/>
      <c r="G52" t="s">
        <v>35</v>
      </c>
      <c r="H52" t="s">
        <v>47</v>
      </c>
      <c r="I52" t="s">
        <v>50</v>
      </c>
      <c r="J52" s="7">
        <v>0</v>
      </c>
    </row>
    <row r="53" spans="1:10" x14ac:dyDescent="0.25">
      <c r="A53" s="41">
        <f t="shared" si="0"/>
        <v>48</v>
      </c>
      <c r="B53" t="s">
        <v>36</v>
      </c>
      <c r="C53" t="s">
        <v>47</v>
      </c>
      <c r="D53" t="s">
        <v>49</v>
      </c>
      <c r="E53" s="7">
        <v>0</v>
      </c>
      <c r="F53" s="82"/>
      <c r="G53" t="s">
        <v>36</v>
      </c>
      <c r="H53" t="s">
        <v>47</v>
      </c>
      <c r="I53" t="s">
        <v>49</v>
      </c>
      <c r="J53" s="7">
        <v>0</v>
      </c>
    </row>
    <row r="54" spans="1:10" x14ac:dyDescent="0.25">
      <c r="A54" s="41">
        <f t="shared" si="0"/>
        <v>49</v>
      </c>
      <c r="B54" t="s">
        <v>37</v>
      </c>
      <c r="C54" t="s">
        <v>47</v>
      </c>
      <c r="D54" t="s">
        <v>49</v>
      </c>
      <c r="E54" s="7">
        <v>1100.1033539999996</v>
      </c>
      <c r="F54" s="82"/>
      <c r="G54" t="s">
        <v>37</v>
      </c>
      <c r="H54" t="s">
        <v>47</v>
      </c>
      <c r="I54" t="s">
        <v>49</v>
      </c>
      <c r="J54" s="7">
        <v>0</v>
      </c>
    </row>
    <row r="55" spans="1:10" x14ac:dyDescent="0.25">
      <c r="A55" s="41">
        <f t="shared" si="0"/>
        <v>50</v>
      </c>
      <c r="B55" t="s">
        <v>114</v>
      </c>
      <c r="C55" t="s">
        <v>114</v>
      </c>
      <c r="D55" t="s">
        <v>48</v>
      </c>
      <c r="E55" s="7">
        <v>240512.88889877999</v>
      </c>
      <c r="F55" s="82"/>
      <c r="G55" t="s">
        <v>114</v>
      </c>
      <c r="H55" t="s">
        <v>114</v>
      </c>
      <c r="I55" t="s">
        <v>48</v>
      </c>
      <c r="J55" s="7">
        <v>124232.16554280325</v>
      </c>
    </row>
    <row r="56" spans="1:10" x14ac:dyDescent="0.25">
      <c r="A56" s="41">
        <f t="shared" si="0"/>
        <v>51</v>
      </c>
      <c r="B56" t="s">
        <v>114</v>
      </c>
      <c r="C56" t="s">
        <v>114</v>
      </c>
      <c r="D56" t="s">
        <v>49</v>
      </c>
      <c r="E56" s="7">
        <v>24876.943438209128</v>
      </c>
      <c r="F56" s="82"/>
      <c r="G56" t="s">
        <v>114</v>
      </c>
      <c r="H56" t="s">
        <v>114</v>
      </c>
      <c r="I56" t="s">
        <v>49</v>
      </c>
      <c r="J56" s="7">
        <v>0</v>
      </c>
    </row>
    <row r="57" spans="1:10" x14ac:dyDescent="0.25">
      <c r="A57" s="41">
        <f t="shared" si="0"/>
        <v>52</v>
      </c>
      <c r="B57" t="s">
        <v>114</v>
      </c>
      <c r="C57" t="s">
        <v>114</v>
      </c>
      <c r="D57" t="s">
        <v>50</v>
      </c>
      <c r="E57" s="7">
        <v>0</v>
      </c>
      <c r="F57" s="82"/>
      <c r="G57" t="s">
        <v>114</v>
      </c>
      <c r="H57" t="s">
        <v>114</v>
      </c>
      <c r="I57" t="s">
        <v>50</v>
      </c>
      <c r="J57" s="7">
        <v>4919.0535592971301</v>
      </c>
    </row>
    <row r="58" spans="1:10" x14ac:dyDescent="0.25">
      <c r="A58" s="41">
        <f t="shared" si="0"/>
        <v>53</v>
      </c>
      <c r="E58" s="7"/>
      <c r="F58" s="82"/>
      <c r="J58" s="7"/>
    </row>
    <row r="59" spans="1:10" ht="15.75" thickBot="1" x14ac:dyDescent="0.3">
      <c r="A59" s="41">
        <f t="shared" si="0"/>
        <v>54</v>
      </c>
      <c r="B59" s="84" t="s">
        <v>38</v>
      </c>
      <c r="C59" s="85"/>
      <c r="D59" s="85"/>
      <c r="E59" s="86">
        <f>SUM(E6:E58)</f>
        <v>10759964.352997405</v>
      </c>
      <c r="F59" s="87"/>
      <c r="G59" s="84" t="s">
        <v>38</v>
      </c>
      <c r="H59" s="85"/>
      <c r="I59" s="85"/>
      <c r="J59" s="86">
        <f>SUM(J6:J58)</f>
        <v>4367304.1456664922</v>
      </c>
    </row>
    <row r="60" spans="1:10" x14ac:dyDescent="0.25">
      <c r="B60" s="9"/>
      <c r="E60" s="11"/>
      <c r="G60" s="9"/>
      <c r="J60" s="11"/>
    </row>
    <row r="61" spans="1:10" x14ac:dyDescent="0.25">
      <c r="B61" s="9"/>
      <c r="E61" s="11"/>
      <c r="G61" s="9"/>
      <c r="J61" s="11"/>
    </row>
    <row r="62" spans="1:10" x14ac:dyDescent="0.25">
      <c r="B62" s="9"/>
      <c r="E62" s="11"/>
      <c r="G62" s="9"/>
      <c r="J62" s="11"/>
    </row>
    <row r="63" spans="1:10" x14ac:dyDescent="0.25">
      <c r="B63" s="9"/>
      <c r="E63" s="11"/>
      <c r="G63" s="9"/>
      <c r="J63" s="1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N15" sqref="N15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  <c r="F1" s="82"/>
    </row>
    <row r="2" spans="1:10" ht="18.75" x14ac:dyDescent="0.3">
      <c r="B2" s="81" t="s">
        <v>43</v>
      </c>
      <c r="C2" s="88"/>
      <c r="D2" s="88"/>
      <c r="E2" s="88"/>
      <c r="F2" s="89"/>
      <c r="G2" s="81" t="s">
        <v>44</v>
      </c>
    </row>
    <row r="3" spans="1:10" x14ac:dyDescent="0.25">
      <c r="F3" s="82"/>
    </row>
    <row r="4" spans="1:10" x14ac:dyDescent="0.25">
      <c r="A4" s="76" t="s">
        <v>60</v>
      </c>
      <c r="F4" s="82"/>
    </row>
    <row r="5" spans="1:10" x14ac:dyDescent="0.25">
      <c r="A5" s="34" t="s">
        <v>66</v>
      </c>
      <c r="B5" s="13" t="s">
        <v>0</v>
      </c>
      <c r="C5" s="13" t="s">
        <v>45</v>
      </c>
      <c r="D5" s="13" t="s">
        <v>46</v>
      </c>
      <c r="E5" s="13" t="s">
        <v>141</v>
      </c>
      <c r="F5" s="83"/>
      <c r="G5" s="13" t="s">
        <v>0</v>
      </c>
      <c r="H5" s="13" t="s">
        <v>45</v>
      </c>
      <c r="I5" s="13" t="s">
        <v>46</v>
      </c>
      <c r="J5" s="13" t="s">
        <v>141</v>
      </c>
    </row>
    <row r="6" spans="1:10" x14ac:dyDescent="0.25">
      <c r="A6" s="41">
        <v>1</v>
      </c>
      <c r="B6" t="s">
        <v>1</v>
      </c>
      <c r="C6" t="s">
        <v>47</v>
      </c>
      <c r="D6" t="s">
        <v>48</v>
      </c>
      <c r="E6" s="7">
        <v>370668.04614595772</v>
      </c>
      <c r="F6" s="82"/>
      <c r="G6" t="s">
        <v>1</v>
      </c>
      <c r="H6" t="s">
        <v>47</v>
      </c>
      <c r="I6" t="s">
        <v>48</v>
      </c>
      <c r="J6" s="7">
        <v>191461.23220702639</v>
      </c>
    </row>
    <row r="7" spans="1:10" s="8" customFormat="1" x14ac:dyDescent="0.25">
      <c r="A7" s="41">
        <f>A6+1</f>
        <v>2</v>
      </c>
      <c r="B7" t="s">
        <v>1</v>
      </c>
      <c r="C7" t="s">
        <v>47</v>
      </c>
      <c r="D7" t="s">
        <v>49</v>
      </c>
      <c r="E7" s="7">
        <v>300.49261480868284</v>
      </c>
      <c r="F7" s="82"/>
      <c r="G7" t="s">
        <v>1</v>
      </c>
      <c r="H7" t="s">
        <v>47</v>
      </c>
      <c r="I7" t="s">
        <v>49</v>
      </c>
      <c r="J7" s="7">
        <v>0</v>
      </c>
    </row>
    <row r="8" spans="1:10" s="8" customFormat="1" x14ac:dyDescent="0.25">
      <c r="A8" s="41">
        <f t="shared" ref="A8:A59" si="0">A7+1</f>
        <v>3</v>
      </c>
      <c r="B8" t="s">
        <v>2</v>
      </c>
      <c r="C8" t="s">
        <v>47</v>
      </c>
      <c r="D8" t="s">
        <v>49</v>
      </c>
      <c r="E8" s="7">
        <v>482384.37813299225</v>
      </c>
      <c r="F8" s="82"/>
      <c r="G8" t="s">
        <v>2</v>
      </c>
      <c r="H8" t="s">
        <v>47</v>
      </c>
      <c r="I8" t="s">
        <v>49</v>
      </c>
      <c r="J8" s="7">
        <v>0</v>
      </c>
    </row>
    <row r="9" spans="1:10" s="8" customFormat="1" x14ac:dyDescent="0.25">
      <c r="A9" s="4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82"/>
      <c r="G9" t="s">
        <v>3</v>
      </c>
      <c r="H9" t="s">
        <v>47</v>
      </c>
      <c r="I9" t="s">
        <v>50</v>
      </c>
      <c r="J9" s="7">
        <v>362799.91256122629</v>
      </c>
    </row>
    <row r="10" spans="1:10" s="8" customFormat="1" x14ac:dyDescent="0.25">
      <c r="A10" s="4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82"/>
      <c r="G10" t="s">
        <v>4</v>
      </c>
      <c r="H10" t="s">
        <v>51</v>
      </c>
      <c r="I10" t="s">
        <v>49</v>
      </c>
      <c r="J10" s="7">
        <v>0</v>
      </c>
    </row>
    <row r="11" spans="1:10" s="8" customFormat="1" x14ac:dyDescent="0.25">
      <c r="A11" s="41">
        <f t="shared" si="0"/>
        <v>6</v>
      </c>
      <c r="B11" t="s">
        <v>5</v>
      </c>
      <c r="C11" t="s">
        <v>47</v>
      </c>
      <c r="D11" t="s">
        <v>49</v>
      </c>
      <c r="E11" s="7">
        <v>136510.58944470927</v>
      </c>
      <c r="F11" s="82"/>
      <c r="G11" t="s">
        <v>5</v>
      </c>
      <c r="H11" t="s">
        <v>47</v>
      </c>
      <c r="I11" t="s">
        <v>49</v>
      </c>
      <c r="J11" s="7">
        <v>0</v>
      </c>
    </row>
    <row r="12" spans="1:10" s="8" customFormat="1" x14ac:dyDescent="0.25">
      <c r="A12" s="4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82"/>
      <c r="G12" t="s">
        <v>6</v>
      </c>
      <c r="H12" t="s">
        <v>47</v>
      </c>
      <c r="I12" t="s">
        <v>50</v>
      </c>
      <c r="J12" s="7">
        <v>62413.28951603164</v>
      </c>
    </row>
    <row r="13" spans="1:10" s="8" customFormat="1" x14ac:dyDescent="0.25">
      <c r="A13" s="41">
        <f t="shared" si="0"/>
        <v>8</v>
      </c>
      <c r="B13" t="s">
        <v>7</v>
      </c>
      <c r="C13" t="s">
        <v>52</v>
      </c>
      <c r="D13" t="s">
        <v>49</v>
      </c>
      <c r="E13" s="7">
        <v>-308573.7755109492</v>
      </c>
      <c r="F13" s="82"/>
      <c r="G13" t="s">
        <v>7</v>
      </c>
      <c r="H13" t="s">
        <v>52</v>
      </c>
      <c r="I13" t="s">
        <v>49</v>
      </c>
      <c r="J13" s="7">
        <v>0</v>
      </c>
    </row>
    <row r="14" spans="1:10" s="8" customFormat="1" x14ac:dyDescent="0.25">
      <c r="A14" s="4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82"/>
      <c r="G14" t="s">
        <v>8</v>
      </c>
      <c r="H14" t="s">
        <v>52</v>
      </c>
      <c r="I14" t="s">
        <v>50</v>
      </c>
      <c r="J14" s="7">
        <v>-25005.136669758933</v>
      </c>
    </row>
    <row r="15" spans="1:10" s="8" customFormat="1" x14ac:dyDescent="0.25">
      <c r="A15" s="41">
        <f t="shared" si="0"/>
        <v>10</v>
      </c>
      <c r="B15" t="s">
        <v>9</v>
      </c>
      <c r="C15" t="s">
        <v>52</v>
      </c>
      <c r="D15" t="s">
        <v>49</v>
      </c>
      <c r="E15" s="7">
        <v>1828784.4614643694</v>
      </c>
      <c r="F15" s="82"/>
      <c r="G15" t="s">
        <v>9</v>
      </c>
      <c r="H15" t="s">
        <v>52</v>
      </c>
      <c r="I15" t="s">
        <v>49</v>
      </c>
      <c r="J15" s="7">
        <v>0</v>
      </c>
    </row>
    <row r="16" spans="1:10" s="8" customFormat="1" x14ac:dyDescent="0.25">
      <c r="A16" s="4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82"/>
      <c r="G16" t="s">
        <v>9</v>
      </c>
      <c r="H16" t="s">
        <v>52</v>
      </c>
      <c r="I16" t="s">
        <v>50</v>
      </c>
      <c r="J16" s="7">
        <v>243.13846600774417</v>
      </c>
    </row>
    <row r="17" spans="1:10" s="8" customFormat="1" x14ac:dyDescent="0.25">
      <c r="A17" s="41">
        <f t="shared" si="0"/>
        <v>12</v>
      </c>
      <c r="B17" t="s">
        <v>10</v>
      </c>
      <c r="C17" t="s">
        <v>52</v>
      </c>
      <c r="D17" t="s">
        <v>49</v>
      </c>
      <c r="E17" s="7">
        <v>70.569036296616673</v>
      </c>
      <c r="F17" s="82"/>
      <c r="G17" t="s">
        <v>10</v>
      </c>
      <c r="H17" t="s">
        <v>52</v>
      </c>
      <c r="I17" t="s">
        <v>49</v>
      </c>
      <c r="J17" s="7">
        <v>0</v>
      </c>
    </row>
    <row r="18" spans="1:10" s="8" customFormat="1" x14ac:dyDescent="0.25">
      <c r="A18" s="4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82"/>
      <c r="G18" t="s">
        <v>10</v>
      </c>
      <c r="H18" t="s">
        <v>52</v>
      </c>
      <c r="I18" t="s">
        <v>50</v>
      </c>
      <c r="J18" s="7">
        <v>1425947.7030838949</v>
      </c>
    </row>
    <row r="19" spans="1:10" s="8" customFormat="1" x14ac:dyDescent="0.25">
      <c r="A19" s="41">
        <f t="shared" si="0"/>
        <v>14</v>
      </c>
      <c r="B19" t="s">
        <v>11</v>
      </c>
      <c r="C19" t="s">
        <v>47</v>
      </c>
      <c r="D19" t="s">
        <v>49</v>
      </c>
      <c r="E19" s="7">
        <v>4406.4487380829996</v>
      </c>
      <c r="F19" s="82"/>
      <c r="G19" t="s">
        <v>11</v>
      </c>
      <c r="H19" t="s">
        <v>47</v>
      </c>
      <c r="I19" t="s">
        <v>49</v>
      </c>
      <c r="J19" s="7">
        <v>0</v>
      </c>
    </row>
    <row r="20" spans="1:10" s="8" customFormat="1" x14ac:dyDescent="0.25">
      <c r="A20" s="41">
        <f t="shared" si="0"/>
        <v>15</v>
      </c>
      <c r="B20" t="s">
        <v>12</v>
      </c>
      <c r="C20" t="s">
        <v>47</v>
      </c>
      <c r="D20" t="s">
        <v>48</v>
      </c>
      <c r="E20" s="7">
        <v>111156.13124635944</v>
      </c>
      <c r="F20" s="82"/>
      <c r="G20" t="s">
        <v>12</v>
      </c>
      <c r="H20" t="s">
        <v>47</v>
      </c>
      <c r="I20" t="s">
        <v>48</v>
      </c>
      <c r="J20" s="7">
        <v>57415.496364134102</v>
      </c>
    </row>
    <row r="21" spans="1:10" s="8" customFormat="1" x14ac:dyDescent="0.25">
      <c r="A21" s="41">
        <f t="shared" si="0"/>
        <v>16</v>
      </c>
      <c r="B21" t="s">
        <v>13</v>
      </c>
      <c r="C21" t="s">
        <v>47</v>
      </c>
      <c r="D21" t="s">
        <v>49</v>
      </c>
      <c r="E21" s="7">
        <v>2251546.4797992073</v>
      </c>
      <c r="F21" s="82"/>
      <c r="G21" t="s">
        <v>13</v>
      </c>
      <c r="H21" t="s">
        <v>47</v>
      </c>
      <c r="I21" t="s">
        <v>49</v>
      </c>
      <c r="J21" s="7">
        <v>0</v>
      </c>
    </row>
    <row r="22" spans="1:10" s="8" customFormat="1" x14ac:dyDescent="0.25">
      <c r="A22" s="4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82"/>
      <c r="G22" t="s">
        <v>14</v>
      </c>
      <c r="H22" t="s">
        <v>47</v>
      </c>
      <c r="I22" t="s">
        <v>50</v>
      </c>
      <c r="J22" s="7">
        <v>265409.40652960073</v>
      </c>
    </row>
    <row r="23" spans="1:10" s="8" customFormat="1" x14ac:dyDescent="0.25">
      <c r="A23" s="41">
        <f t="shared" si="0"/>
        <v>18</v>
      </c>
      <c r="B23" t="s">
        <v>15</v>
      </c>
      <c r="C23" t="s">
        <v>51</v>
      </c>
      <c r="D23" t="s">
        <v>49</v>
      </c>
      <c r="E23" s="7">
        <v>4942.2241539532106</v>
      </c>
      <c r="F23" s="82"/>
      <c r="G23" t="s">
        <v>15</v>
      </c>
      <c r="H23" t="s">
        <v>51</v>
      </c>
      <c r="I23" t="s">
        <v>49</v>
      </c>
      <c r="J23" s="7">
        <v>0</v>
      </c>
    </row>
    <row r="24" spans="1:10" s="8" customFormat="1" x14ac:dyDescent="0.25">
      <c r="A24" s="4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82"/>
      <c r="G24" t="s">
        <v>16</v>
      </c>
      <c r="H24" t="s">
        <v>47</v>
      </c>
      <c r="I24" t="s">
        <v>50</v>
      </c>
      <c r="J24" s="7">
        <v>207728.43923199398</v>
      </c>
    </row>
    <row r="25" spans="1:10" s="8" customFormat="1" x14ac:dyDescent="0.25">
      <c r="A25" s="41">
        <f t="shared" si="0"/>
        <v>20</v>
      </c>
      <c r="B25" t="s">
        <v>17</v>
      </c>
      <c r="C25" t="s">
        <v>51</v>
      </c>
      <c r="D25" t="s">
        <v>49</v>
      </c>
      <c r="E25" s="7">
        <v>-5.9716927549999994</v>
      </c>
      <c r="F25" s="82"/>
      <c r="G25" t="s">
        <v>17</v>
      </c>
      <c r="H25" t="s">
        <v>51</v>
      </c>
      <c r="I25" t="s">
        <v>49</v>
      </c>
      <c r="J25" s="7">
        <v>0</v>
      </c>
    </row>
    <row r="26" spans="1:10" s="8" customFormat="1" x14ac:dyDescent="0.25">
      <c r="A26" s="41">
        <f t="shared" si="0"/>
        <v>21</v>
      </c>
      <c r="B26" t="s">
        <v>18</v>
      </c>
      <c r="C26" t="s">
        <v>47</v>
      </c>
      <c r="D26" t="s">
        <v>49</v>
      </c>
      <c r="E26" s="7">
        <v>3611681.6414824557</v>
      </c>
      <c r="F26" s="82"/>
      <c r="G26" t="s">
        <v>18</v>
      </c>
      <c r="H26" t="s">
        <v>47</v>
      </c>
      <c r="I26" t="s">
        <v>49</v>
      </c>
      <c r="J26" s="7">
        <v>0</v>
      </c>
    </row>
    <row r="27" spans="1:10" s="8" customFormat="1" x14ac:dyDescent="0.25">
      <c r="A27" s="41">
        <f t="shared" si="0"/>
        <v>22</v>
      </c>
      <c r="B27" t="s">
        <v>19</v>
      </c>
      <c r="C27" t="s">
        <v>47</v>
      </c>
      <c r="D27" t="s">
        <v>49</v>
      </c>
      <c r="E27" s="7">
        <v>-844.0233397679998</v>
      </c>
      <c r="F27" s="82"/>
      <c r="G27" t="s">
        <v>19</v>
      </c>
      <c r="H27" t="s">
        <v>47</v>
      </c>
      <c r="I27" t="s">
        <v>49</v>
      </c>
      <c r="J27" s="7">
        <v>0</v>
      </c>
    </row>
    <row r="28" spans="1:10" s="8" customFormat="1" x14ac:dyDescent="0.25">
      <c r="A28" s="41">
        <f t="shared" si="0"/>
        <v>23</v>
      </c>
      <c r="B28" t="s">
        <v>20</v>
      </c>
      <c r="C28" t="s">
        <v>47</v>
      </c>
      <c r="D28" t="s">
        <v>48</v>
      </c>
      <c r="E28" s="7">
        <v>96132.478257414812</v>
      </c>
      <c r="F28" s="82"/>
      <c r="G28" t="s">
        <v>20</v>
      </c>
      <c r="H28" t="s">
        <v>47</v>
      </c>
      <c r="I28" t="s">
        <v>48</v>
      </c>
      <c r="J28" s="7">
        <v>49655.326197263399</v>
      </c>
    </row>
    <row r="29" spans="1:10" s="8" customFormat="1" x14ac:dyDescent="0.25">
      <c r="A29" s="41">
        <f t="shared" si="0"/>
        <v>24</v>
      </c>
      <c r="B29" t="s">
        <v>20</v>
      </c>
      <c r="C29" t="s">
        <v>47</v>
      </c>
      <c r="D29" t="s">
        <v>49</v>
      </c>
      <c r="E29" s="7">
        <v>-711.08720970794548</v>
      </c>
      <c r="F29" s="82"/>
      <c r="G29" t="s">
        <v>20</v>
      </c>
      <c r="H29" t="s">
        <v>47</v>
      </c>
      <c r="I29" t="s">
        <v>49</v>
      </c>
      <c r="J29" s="7">
        <v>0</v>
      </c>
    </row>
    <row r="30" spans="1:10" s="8" customFormat="1" x14ac:dyDescent="0.25">
      <c r="A30" s="4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82"/>
      <c r="G30" t="s">
        <v>20</v>
      </c>
      <c r="H30" t="s">
        <v>47</v>
      </c>
      <c r="I30" t="s">
        <v>50</v>
      </c>
      <c r="J30" s="7">
        <v>-182.9482382416503</v>
      </c>
    </row>
    <row r="31" spans="1:10" s="8" customFormat="1" x14ac:dyDescent="0.25">
      <c r="A31" s="4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82"/>
      <c r="G31" t="s">
        <v>21</v>
      </c>
      <c r="H31" t="s">
        <v>51</v>
      </c>
      <c r="I31" t="s">
        <v>49</v>
      </c>
      <c r="J31" s="7">
        <v>0</v>
      </c>
    </row>
    <row r="32" spans="1:10" s="8" customFormat="1" x14ac:dyDescent="0.25">
      <c r="A32" s="41">
        <f t="shared" si="0"/>
        <v>27</v>
      </c>
      <c r="B32" t="s">
        <v>22</v>
      </c>
      <c r="C32" t="s">
        <v>47</v>
      </c>
      <c r="D32" t="s">
        <v>49</v>
      </c>
      <c r="E32" s="7">
        <v>37127.610081209474</v>
      </c>
      <c r="F32" s="82"/>
      <c r="G32" t="s">
        <v>22</v>
      </c>
      <c r="H32" t="s">
        <v>47</v>
      </c>
      <c r="I32" t="s">
        <v>49</v>
      </c>
      <c r="J32" s="7">
        <v>0</v>
      </c>
    </row>
    <row r="33" spans="1:10" s="8" customFormat="1" x14ac:dyDescent="0.25">
      <c r="A33" s="4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82"/>
      <c r="G33" t="s">
        <v>23</v>
      </c>
      <c r="H33" t="s">
        <v>47</v>
      </c>
      <c r="I33" t="s">
        <v>50</v>
      </c>
      <c r="J33" s="7">
        <v>0</v>
      </c>
    </row>
    <row r="34" spans="1:10" s="8" customFormat="1" x14ac:dyDescent="0.25">
      <c r="A34" s="4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82"/>
      <c r="G34" t="s">
        <v>24</v>
      </c>
      <c r="H34" t="s">
        <v>51</v>
      </c>
      <c r="I34" t="s">
        <v>50</v>
      </c>
      <c r="J34" s="7">
        <v>7355.9965613194927</v>
      </c>
    </row>
    <row r="35" spans="1:10" s="8" customFormat="1" x14ac:dyDescent="0.25">
      <c r="A35" s="41">
        <f t="shared" si="0"/>
        <v>30</v>
      </c>
      <c r="B35" t="s">
        <v>25</v>
      </c>
      <c r="C35" t="s">
        <v>51</v>
      </c>
      <c r="D35" t="s">
        <v>49</v>
      </c>
      <c r="E35" s="7">
        <v>64895.522117316468</v>
      </c>
      <c r="F35" s="82"/>
      <c r="G35" t="s">
        <v>25</v>
      </c>
      <c r="H35" t="s">
        <v>51</v>
      </c>
      <c r="I35" t="s">
        <v>49</v>
      </c>
      <c r="J35" s="7">
        <v>0</v>
      </c>
    </row>
    <row r="36" spans="1:10" s="8" customFormat="1" x14ac:dyDescent="0.25">
      <c r="A36" s="41">
        <f t="shared" si="0"/>
        <v>31</v>
      </c>
      <c r="B36" t="s">
        <v>26</v>
      </c>
      <c r="C36" t="s">
        <v>52</v>
      </c>
      <c r="D36" t="s">
        <v>49</v>
      </c>
      <c r="E36" s="7">
        <v>934985.46777879633</v>
      </c>
      <c r="F36" s="82"/>
      <c r="G36" t="s">
        <v>26</v>
      </c>
      <c r="H36" t="s">
        <v>52</v>
      </c>
      <c r="I36" t="s">
        <v>49</v>
      </c>
      <c r="J36" s="7">
        <v>0</v>
      </c>
    </row>
    <row r="37" spans="1:10" s="8" customFormat="1" x14ac:dyDescent="0.25">
      <c r="A37" s="4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82"/>
      <c r="G37" t="s">
        <v>27</v>
      </c>
      <c r="H37" t="s">
        <v>52</v>
      </c>
      <c r="I37" t="s">
        <v>50</v>
      </c>
      <c r="J37" s="7">
        <v>491711.43093152024</v>
      </c>
    </row>
    <row r="38" spans="1:10" s="8" customFormat="1" x14ac:dyDescent="0.25">
      <c r="A38" s="4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82"/>
      <c r="G38" t="s">
        <v>28</v>
      </c>
      <c r="H38" t="s">
        <v>47</v>
      </c>
      <c r="I38" t="s">
        <v>50</v>
      </c>
      <c r="J38" s="7">
        <v>733477.36568307935</v>
      </c>
    </row>
    <row r="39" spans="1:10" s="8" customFormat="1" x14ac:dyDescent="0.25">
      <c r="A39" s="4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82"/>
      <c r="G39" t="s">
        <v>29</v>
      </c>
      <c r="H39" t="s">
        <v>53</v>
      </c>
      <c r="I39" t="s">
        <v>49</v>
      </c>
      <c r="J39" s="7">
        <v>0</v>
      </c>
    </row>
    <row r="40" spans="1:10" s="8" customFormat="1" x14ac:dyDescent="0.25">
      <c r="A40" s="41">
        <f t="shared" si="0"/>
        <v>35</v>
      </c>
      <c r="B40" t="s">
        <v>29</v>
      </c>
      <c r="C40" t="s">
        <v>51</v>
      </c>
      <c r="D40" t="s">
        <v>48</v>
      </c>
      <c r="E40" s="7">
        <v>484697.7613165002</v>
      </c>
      <c r="F40" s="82"/>
      <c r="G40" t="s">
        <v>29</v>
      </c>
      <c r="H40" t="s">
        <v>51</v>
      </c>
      <c r="I40" t="s">
        <v>48</v>
      </c>
      <c r="J40" s="7">
        <v>250361.02138974823</v>
      </c>
    </row>
    <row r="41" spans="1:10" s="8" customFormat="1" x14ac:dyDescent="0.25">
      <c r="A41" s="41">
        <f t="shared" si="0"/>
        <v>36</v>
      </c>
      <c r="B41" t="s">
        <v>29</v>
      </c>
      <c r="C41" t="s">
        <v>51</v>
      </c>
      <c r="D41" t="s">
        <v>49</v>
      </c>
      <c r="E41" s="7">
        <v>452787.33190999582</v>
      </c>
      <c r="F41" s="82"/>
      <c r="G41" t="s">
        <v>29</v>
      </c>
      <c r="H41" t="s">
        <v>51</v>
      </c>
      <c r="I41" t="s">
        <v>49</v>
      </c>
      <c r="J41" s="7">
        <v>0</v>
      </c>
    </row>
    <row r="42" spans="1:10" s="8" customFormat="1" x14ac:dyDescent="0.25">
      <c r="A42" s="4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82"/>
      <c r="G42" t="s">
        <v>29</v>
      </c>
      <c r="H42" t="s">
        <v>51</v>
      </c>
      <c r="I42" t="s">
        <v>50</v>
      </c>
      <c r="J42" s="7">
        <v>36596.579742661546</v>
      </c>
    </row>
    <row r="43" spans="1:10" s="8" customFormat="1" x14ac:dyDescent="0.25">
      <c r="A43" s="41">
        <f t="shared" si="0"/>
        <v>38</v>
      </c>
      <c r="B43" t="s">
        <v>29</v>
      </c>
      <c r="C43" t="s">
        <v>47</v>
      </c>
      <c r="D43" t="s">
        <v>48</v>
      </c>
      <c r="E43" s="7">
        <v>88412.992869195659</v>
      </c>
      <c r="F43" s="82"/>
      <c r="G43" t="s">
        <v>29</v>
      </c>
      <c r="H43" t="s">
        <v>47</v>
      </c>
      <c r="I43" t="s">
        <v>48</v>
      </c>
      <c r="J43" s="7">
        <v>45667.979028280315</v>
      </c>
    </row>
    <row r="44" spans="1:10" s="8" customFormat="1" x14ac:dyDescent="0.25">
      <c r="A44" s="41">
        <f t="shared" si="0"/>
        <v>39</v>
      </c>
      <c r="B44" t="s">
        <v>29</v>
      </c>
      <c r="C44" t="s">
        <v>47</v>
      </c>
      <c r="D44" t="s">
        <v>49</v>
      </c>
      <c r="E44" s="7">
        <v>1164368.1261791082</v>
      </c>
      <c r="F44" s="82"/>
      <c r="G44" t="s">
        <v>29</v>
      </c>
      <c r="H44" t="s">
        <v>47</v>
      </c>
      <c r="I44" t="s">
        <v>49</v>
      </c>
      <c r="J44" s="7">
        <v>0</v>
      </c>
    </row>
    <row r="45" spans="1:10" s="8" customFormat="1" x14ac:dyDescent="0.25">
      <c r="A45" s="4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82"/>
      <c r="G45" t="s">
        <v>29</v>
      </c>
      <c r="H45" t="s">
        <v>47</v>
      </c>
      <c r="I45" t="s">
        <v>50</v>
      </c>
      <c r="J45" s="7">
        <v>161910.4321266264</v>
      </c>
    </row>
    <row r="46" spans="1:10" s="8" customFormat="1" x14ac:dyDescent="0.25">
      <c r="A46" s="41">
        <f t="shared" si="0"/>
        <v>41</v>
      </c>
      <c r="B46" t="s">
        <v>29</v>
      </c>
      <c r="C46" t="s">
        <v>52</v>
      </c>
      <c r="D46" t="s">
        <v>49</v>
      </c>
      <c r="E46" s="7">
        <v>392780.8332863237</v>
      </c>
      <c r="F46" s="82"/>
      <c r="G46" t="s">
        <v>29</v>
      </c>
      <c r="H46" t="s">
        <v>52</v>
      </c>
      <c r="I46" t="s">
        <v>49</v>
      </c>
      <c r="J46" s="7">
        <v>0</v>
      </c>
    </row>
    <row r="47" spans="1:10" s="8" customFormat="1" x14ac:dyDescent="0.25">
      <c r="A47" s="4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82"/>
      <c r="G47" t="s">
        <v>29</v>
      </c>
      <c r="H47" t="s">
        <v>52</v>
      </c>
      <c r="I47" t="s">
        <v>50</v>
      </c>
      <c r="J47" s="7">
        <v>39565.258094046345</v>
      </c>
    </row>
    <row r="48" spans="1:10" s="8" customFormat="1" x14ac:dyDescent="0.25">
      <c r="A48" s="41">
        <f t="shared" si="0"/>
        <v>43</v>
      </c>
      <c r="B48" t="s">
        <v>31</v>
      </c>
      <c r="C48" t="s">
        <v>51</v>
      </c>
      <c r="D48" t="s">
        <v>49</v>
      </c>
      <c r="E48" s="7">
        <v>0</v>
      </c>
      <c r="F48" s="82"/>
      <c r="G48" t="s">
        <v>31</v>
      </c>
      <c r="H48" t="s">
        <v>51</v>
      </c>
      <c r="I48" t="s">
        <v>49</v>
      </c>
      <c r="J48" s="7">
        <v>0</v>
      </c>
    </row>
    <row r="49" spans="1:10" s="8" customFormat="1" x14ac:dyDescent="0.25">
      <c r="A49" s="41">
        <f t="shared" si="0"/>
        <v>44</v>
      </c>
      <c r="B49" t="s">
        <v>32</v>
      </c>
      <c r="C49" t="s">
        <v>51</v>
      </c>
      <c r="D49" t="s">
        <v>49</v>
      </c>
      <c r="E49" s="7">
        <v>0</v>
      </c>
      <c r="F49" s="82"/>
      <c r="G49" t="s">
        <v>32</v>
      </c>
      <c r="H49" t="s">
        <v>51</v>
      </c>
      <c r="I49" t="s">
        <v>49</v>
      </c>
      <c r="J49" s="7">
        <v>0</v>
      </c>
    </row>
    <row r="50" spans="1:10" x14ac:dyDescent="0.25">
      <c r="A50" s="41">
        <f t="shared" si="0"/>
        <v>45</v>
      </c>
      <c r="B50" t="s">
        <v>33</v>
      </c>
      <c r="C50" t="s">
        <v>51</v>
      </c>
      <c r="D50" t="s">
        <v>48</v>
      </c>
      <c r="E50" s="7">
        <v>33640.516248992142</v>
      </c>
      <c r="F50" s="82"/>
      <c r="G50" t="s">
        <v>33</v>
      </c>
      <c r="H50" t="s">
        <v>51</v>
      </c>
      <c r="I50" t="s">
        <v>48</v>
      </c>
      <c r="J50" s="7">
        <v>17376.34187808117</v>
      </c>
    </row>
    <row r="51" spans="1:10" x14ac:dyDescent="0.25">
      <c r="A51" s="41">
        <f t="shared" si="0"/>
        <v>46</v>
      </c>
      <c r="B51" t="s">
        <v>34</v>
      </c>
      <c r="C51" t="s">
        <v>51</v>
      </c>
      <c r="D51" t="s">
        <v>48</v>
      </c>
      <c r="E51" s="7">
        <v>0</v>
      </c>
      <c r="F51" s="82"/>
      <c r="G51" t="s">
        <v>34</v>
      </c>
      <c r="H51" t="s">
        <v>51</v>
      </c>
      <c r="I51" t="s">
        <v>48</v>
      </c>
      <c r="J51" s="7">
        <v>0</v>
      </c>
    </row>
    <row r="52" spans="1:10" x14ac:dyDescent="0.25">
      <c r="A52" s="41">
        <f t="shared" si="0"/>
        <v>47</v>
      </c>
      <c r="B52" t="s">
        <v>35</v>
      </c>
      <c r="C52" t="s">
        <v>47</v>
      </c>
      <c r="D52" t="s">
        <v>50</v>
      </c>
      <c r="E52" s="7">
        <v>0</v>
      </c>
      <c r="F52" s="82"/>
      <c r="G52" t="s">
        <v>35</v>
      </c>
      <c r="H52" t="s">
        <v>47</v>
      </c>
      <c r="I52" t="s">
        <v>50</v>
      </c>
      <c r="J52" s="7">
        <v>0</v>
      </c>
    </row>
    <row r="53" spans="1:10" x14ac:dyDescent="0.25">
      <c r="A53" s="41">
        <f t="shared" si="0"/>
        <v>48</v>
      </c>
      <c r="B53" t="s">
        <v>36</v>
      </c>
      <c r="C53" t="s">
        <v>47</v>
      </c>
      <c r="D53" t="s">
        <v>49</v>
      </c>
      <c r="E53" s="7">
        <v>0</v>
      </c>
      <c r="F53" s="82"/>
      <c r="G53" t="s">
        <v>36</v>
      </c>
      <c r="H53" t="s">
        <v>47</v>
      </c>
      <c r="I53" t="s">
        <v>49</v>
      </c>
      <c r="J53" s="7">
        <v>0</v>
      </c>
    </row>
    <row r="54" spans="1:10" x14ac:dyDescent="0.25">
      <c r="A54" s="41">
        <f t="shared" si="0"/>
        <v>49</v>
      </c>
      <c r="B54" t="s">
        <v>37</v>
      </c>
      <c r="C54" t="s">
        <v>47</v>
      </c>
      <c r="D54" t="s">
        <v>49</v>
      </c>
      <c r="E54" s="7">
        <v>49261.268045598423</v>
      </c>
      <c r="F54" s="82"/>
      <c r="G54" t="s">
        <v>37</v>
      </c>
      <c r="H54" t="s">
        <v>47</v>
      </c>
      <c r="I54" t="s">
        <v>49</v>
      </c>
      <c r="J54" s="7">
        <v>0</v>
      </c>
    </row>
    <row r="55" spans="1:10" x14ac:dyDescent="0.25">
      <c r="A55" s="41">
        <f t="shared" si="0"/>
        <v>50</v>
      </c>
      <c r="B55" t="s">
        <v>114</v>
      </c>
      <c r="C55" t="s">
        <v>114</v>
      </c>
      <c r="D55" t="s">
        <v>48</v>
      </c>
      <c r="E55" s="7">
        <v>795130.13559173152</v>
      </c>
      <c r="F55" s="82"/>
      <c r="G55" t="s">
        <v>114</v>
      </c>
      <c r="H55" t="s">
        <v>114</v>
      </c>
      <c r="I55" t="s">
        <v>48</v>
      </c>
      <c r="J55" s="7">
        <v>410708.71122618101</v>
      </c>
    </row>
    <row r="56" spans="1:10" x14ac:dyDescent="0.25">
      <c r="A56" s="41">
        <f t="shared" si="0"/>
        <v>51</v>
      </c>
      <c r="B56" t="s">
        <v>114</v>
      </c>
      <c r="C56" t="s">
        <v>114</v>
      </c>
      <c r="D56" t="s">
        <v>49</v>
      </c>
      <c r="E56" s="7">
        <v>-203293.25525605842</v>
      </c>
      <c r="F56" s="82"/>
      <c r="G56" t="s">
        <v>114</v>
      </c>
      <c r="H56" t="s">
        <v>114</v>
      </c>
      <c r="I56" t="s">
        <v>49</v>
      </c>
      <c r="J56" s="7">
        <v>0</v>
      </c>
    </row>
    <row r="57" spans="1:10" x14ac:dyDescent="0.25">
      <c r="A57" s="41">
        <f t="shared" si="0"/>
        <v>52</v>
      </c>
      <c r="B57" t="s">
        <v>114</v>
      </c>
      <c r="C57" t="s">
        <v>114</v>
      </c>
      <c r="D57" t="s">
        <v>50</v>
      </c>
      <c r="E57" s="7">
        <v>0</v>
      </c>
      <c r="F57" s="82"/>
      <c r="G57" t="s">
        <v>114</v>
      </c>
      <c r="H57" t="s">
        <v>114</v>
      </c>
      <c r="I57" t="s">
        <v>50</v>
      </c>
      <c r="J57" s="7">
        <v>-214898.50754458882</v>
      </c>
    </row>
    <row r="58" spans="1:10" x14ac:dyDescent="0.25">
      <c r="A58" s="41">
        <f t="shared" si="0"/>
        <v>53</v>
      </c>
      <c r="E58" s="7"/>
      <c r="F58" s="82"/>
      <c r="J58" s="7"/>
    </row>
    <row r="59" spans="1:10" ht="15.75" thickBot="1" x14ac:dyDescent="0.3">
      <c r="A59" s="41">
        <f t="shared" si="0"/>
        <v>54</v>
      </c>
      <c r="B59" s="84" t="s">
        <v>38</v>
      </c>
      <c r="C59" s="85"/>
      <c r="D59" s="85"/>
      <c r="E59" s="86">
        <f>SUM(E6:E58)</f>
        <v>12883243.392932137</v>
      </c>
      <c r="F59" s="87"/>
      <c r="G59" s="84" t="s">
        <v>38</v>
      </c>
      <c r="H59" s="85"/>
      <c r="I59" s="85"/>
      <c r="J59" s="86">
        <f>SUM(J6:J58)</f>
        <v>4577718.468366134</v>
      </c>
    </row>
    <row r="60" spans="1:10" x14ac:dyDescent="0.25">
      <c r="B60" s="9"/>
      <c r="E60" s="11"/>
      <c r="G60" s="9"/>
      <c r="J60" s="11"/>
    </row>
    <row r="61" spans="1:10" x14ac:dyDescent="0.25">
      <c r="B61" s="9"/>
      <c r="E61" s="11"/>
      <c r="G61" s="9"/>
      <c r="J61" s="11"/>
    </row>
    <row r="62" spans="1:10" x14ac:dyDescent="0.25">
      <c r="B62" s="9"/>
      <c r="E62" s="11"/>
      <c r="G62" s="9"/>
      <c r="J62" s="11"/>
    </row>
  </sheetData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xSplit="2" ySplit="5" topLeftCell="C6" activePane="bottomRight" state="frozen"/>
      <selection activeCell="I36" sqref="I36"/>
      <selection pane="topRight" activeCell="I36" sqref="I36"/>
      <selection pane="bottomLeft" activeCell="I36" sqref="I36"/>
      <selection pane="bottomRight" activeCell="C6" sqref="C6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</row>
    <row r="2" spans="1:10" ht="18.75" x14ac:dyDescent="0.3">
      <c r="B2" s="81" t="s">
        <v>43</v>
      </c>
      <c r="C2" s="88"/>
      <c r="D2" s="88"/>
      <c r="E2" s="88"/>
      <c r="F2" s="89"/>
      <c r="G2" s="81" t="s">
        <v>44</v>
      </c>
    </row>
    <row r="3" spans="1:10" x14ac:dyDescent="0.25">
      <c r="F3" s="82"/>
    </row>
    <row r="4" spans="1:10" x14ac:dyDescent="0.25">
      <c r="A4" s="76" t="s">
        <v>60</v>
      </c>
      <c r="F4" s="82"/>
    </row>
    <row r="5" spans="1:10" x14ac:dyDescent="0.25">
      <c r="A5" s="34" t="s">
        <v>66</v>
      </c>
      <c r="B5" s="13" t="s">
        <v>0</v>
      </c>
      <c r="C5" s="13" t="s">
        <v>45</v>
      </c>
      <c r="D5" s="13" t="s">
        <v>46</v>
      </c>
      <c r="E5" s="13" t="s">
        <v>142</v>
      </c>
      <c r="F5" s="83"/>
      <c r="G5" s="13" t="s">
        <v>0</v>
      </c>
      <c r="H5" s="13" t="s">
        <v>45</v>
      </c>
      <c r="I5" s="13" t="s">
        <v>46</v>
      </c>
      <c r="J5" s="13" t="s">
        <v>142</v>
      </c>
    </row>
    <row r="6" spans="1:10" x14ac:dyDescent="0.25">
      <c r="A6" s="41">
        <v>1</v>
      </c>
      <c r="B6" t="s">
        <v>1</v>
      </c>
      <c r="C6" t="s">
        <v>47</v>
      </c>
      <c r="D6" t="s">
        <v>48</v>
      </c>
      <c r="E6" s="7">
        <v>90841.079669280851</v>
      </c>
      <c r="F6" s="82"/>
      <c r="G6" t="s">
        <v>1</v>
      </c>
      <c r="H6" t="s">
        <v>47</v>
      </c>
      <c r="I6" t="s">
        <v>48</v>
      </c>
      <c r="J6" s="7">
        <v>46922.159137635819</v>
      </c>
    </row>
    <row r="7" spans="1:10" s="8" customFormat="1" x14ac:dyDescent="0.25">
      <c r="A7" s="41">
        <f>A6+1</f>
        <v>2</v>
      </c>
      <c r="B7" t="s">
        <v>1</v>
      </c>
      <c r="C7" t="s">
        <v>47</v>
      </c>
      <c r="D7" t="s">
        <v>49</v>
      </c>
      <c r="E7" s="7">
        <v>11.375967916666667</v>
      </c>
      <c r="F7" s="82"/>
      <c r="G7" t="s">
        <v>1</v>
      </c>
      <c r="H7" t="s">
        <v>47</v>
      </c>
      <c r="I7" t="s">
        <v>49</v>
      </c>
      <c r="J7" s="7">
        <v>0</v>
      </c>
    </row>
    <row r="8" spans="1:10" s="8" customFormat="1" x14ac:dyDescent="0.25">
      <c r="A8" s="41">
        <f t="shared" ref="A8:A59" si="0">A7+1</f>
        <v>3</v>
      </c>
      <c r="B8" t="s">
        <v>2</v>
      </c>
      <c r="C8" t="s">
        <v>47</v>
      </c>
      <c r="D8" t="s">
        <v>49</v>
      </c>
      <c r="E8" s="7">
        <v>84715.075362118267</v>
      </c>
      <c r="F8" s="82"/>
      <c r="G8" t="s">
        <v>2</v>
      </c>
      <c r="H8" t="s">
        <v>47</v>
      </c>
      <c r="I8" t="s">
        <v>49</v>
      </c>
      <c r="J8" s="7">
        <v>0</v>
      </c>
    </row>
    <row r="9" spans="1:10" s="8" customFormat="1" x14ac:dyDescent="0.25">
      <c r="A9" s="4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82"/>
      <c r="G9" t="s">
        <v>3</v>
      </c>
      <c r="H9" t="s">
        <v>47</v>
      </c>
      <c r="I9" t="s">
        <v>50</v>
      </c>
      <c r="J9" s="7">
        <v>15378.108803436426</v>
      </c>
    </row>
    <row r="10" spans="1:10" s="8" customFormat="1" x14ac:dyDescent="0.25">
      <c r="A10" s="4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82"/>
      <c r="G10" t="s">
        <v>4</v>
      </c>
      <c r="H10" t="s">
        <v>51</v>
      </c>
      <c r="I10" t="s">
        <v>49</v>
      </c>
      <c r="J10" s="7">
        <v>0</v>
      </c>
    </row>
    <row r="11" spans="1:10" s="8" customFormat="1" x14ac:dyDescent="0.25">
      <c r="A11" s="41">
        <f t="shared" si="0"/>
        <v>6</v>
      </c>
      <c r="B11" t="s">
        <v>5</v>
      </c>
      <c r="C11" t="s">
        <v>47</v>
      </c>
      <c r="D11" t="s">
        <v>49</v>
      </c>
      <c r="E11" s="7">
        <v>8527.7309690022084</v>
      </c>
      <c r="F11" s="82"/>
      <c r="G11" t="s">
        <v>5</v>
      </c>
      <c r="H11" t="s">
        <v>47</v>
      </c>
      <c r="I11" t="s">
        <v>49</v>
      </c>
      <c r="J11" s="7">
        <v>0</v>
      </c>
    </row>
    <row r="12" spans="1:10" s="8" customFormat="1" x14ac:dyDescent="0.25">
      <c r="A12" s="4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82"/>
      <c r="G12" t="s">
        <v>6</v>
      </c>
      <c r="H12" t="s">
        <v>47</v>
      </c>
      <c r="I12" t="s">
        <v>50</v>
      </c>
      <c r="J12" s="7">
        <v>49422.315506603634</v>
      </c>
    </row>
    <row r="13" spans="1:10" s="8" customFormat="1" x14ac:dyDescent="0.25">
      <c r="A13" s="41">
        <f t="shared" si="0"/>
        <v>8</v>
      </c>
      <c r="B13" t="s">
        <v>7</v>
      </c>
      <c r="C13" t="s">
        <v>52</v>
      </c>
      <c r="D13" t="s">
        <v>49</v>
      </c>
      <c r="E13" s="7">
        <v>-134395.29357176658</v>
      </c>
      <c r="F13" s="82"/>
      <c r="G13" t="s">
        <v>7</v>
      </c>
      <c r="H13" t="s">
        <v>52</v>
      </c>
      <c r="I13" t="s">
        <v>49</v>
      </c>
      <c r="J13" s="7">
        <v>0</v>
      </c>
    </row>
    <row r="14" spans="1:10" s="8" customFormat="1" x14ac:dyDescent="0.25">
      <c r="A14" s="4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82"/>
      <c r="G14" t="s">
        <v>8</v>
      </c>
      <c r="H14" t="s">
        <v>52</v>
      </c>
      <c r="I14" t="s">
        <v>50</v>
      </c>
      <c r="J14" s="7">
        <v>-24971.386520759104</v>
      </c>
    </row>
    <row r="15" spans="1:10" s="8" customFormat="1" x14ac:dyDescent="0.25">
      <c r="A15" s="41">
        <f t="shared" si="0"/>
        <v>10</v>
      </c>
      <c r="B15" t="s">
        <v>9</v>
      </c>
      <c r="C15" t="s">
        <v>52</v>
      </c>
      <c r="D15" t="s">
        <v>49</v>
      </c>
      <c r="E15" s="7">
        <v>770628.48511262669</v>
      </c>
      <c r="F15" s="82"/>
      <c r="G15" t="s">
        <v>9</v>
      </c>
      <c r="H15" t="s">
        <v>52</v>
      </c>
      <c r="I15" t="s">
        <v>49</v>
      </c>
      <c r="J15" s="7">
        <v>0</v>
      </c>
    </row>
    <row r="16" spans="1:10" s="8" customFormat="1" x14ac:dyDescent="0.25">
      <c r="A16" s="4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82"/>
      <c r="G16" t="s">
        <v>9</v>
      </c>
      <c r="H16" t="s">
        <v>52</v>
      </c>
      <c r="I16" t="s">
        <v>50</v>
      </c>
      <c r="J16" s="7">
        <v>242.48172473255946</v>
      </c>
    </row>
    <row r="17" spans="1:10" s="8" customFormat="1" x14ac:dyDescent="0.25">
      <c r="A17" s="41">
        <f t="shared" si="0"/>
        <v>12</v>
      </c>
      <c r="B17" t="s">
        <v>10</v>
      </c>
      <c r="C17" t="s">
        <v>52</v>
      </c>
      <c r="D17" t="s">
        <v>49</v>
      </c>
      <c r="E17" s="7">
        <v>183.42901755383792</v>
      </c>
      <c r="F17" s="82"/>
      <c r="G17" t="s">
        <v>10</v>
      </c>
      <c r="H17" t="s">
        <v>52</v>
      </c>
      <c r="I17" t="s">
        <v>49</v>
      </c>
      <c r="J17" s="7">
        <v>0</v>
      </c>
    </row>
    <row r="18" spans="1:10" s="8" customFormat="1" x14ac:dyDescent="0.25">
      <c r="A18" s="4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82"/>
      <c r="G18" t="s">
        <v>10</v>
      </c>
      <c r="H18" t="s">
        <v>52</v>
      </c>
      <c r="I18" t="s">
        <v>50</v>
      </c>
      <c r="J18" s="7">
        <v>1161317.7066769688</v>
      </c>
    </row>
    <row r="19" spans="1:10" s="8" customFormat="1" x14ac:dyDescent="0.25">
      <c r="A19" s="41">
        <f t="shared" si="0"/>
        <v>14</v>
      </c>
      <c r="B19" t="s">
        <v>11</v>
      </c>
      <c r="C19" t="s">
        <v>47</v>
      </c>
      <c r="D19" t="s">
        <v>49</v>
      </c>
      <c r="E19" s="7">
        <v>2519.1565208333341</v>
      </c>
      <c r="F19" s="82"/>
      <c r="G19" t="s">
        <v>11</v>
      </c>
      <c r="H19" t="s">
        <v>47</v>
      </c>
      <c r="I19" t="s">
        <v>49</v>
      </c>
      <c r="J19" s="7">
        <v>0</v>
      </c>
    </row>
    <row r="20" spans="1:10" s="8" customFormat="1" x14ac:dyDescent="0.25">
      <c r="A20" s="41">
        <f t="shared" si="0"/>
        <v>15</v>
      </c>
      <c r="B20" t="s">
        <v>12</v>
      </c>
      <c r="C20" t="s">
        <v>47</v>
      </c>
      <c r="D20" t="s">
        <v>48</v>
      </c>
      <c r="E20" s="7">
        <v>432347.69207629998</v>
      </c>
      <c r="F20" s="82"/>
      <c r="G20" t="s">
        <v>12</v>
      </c>
      <c r="H20" t="s">
        <v>47</v>
      </c>
      <c r="I20" t="s">
        <v>48</v>
      </c>
      <c r="J20" s="7">
        <v>223320.63075703333</v>
      </c>
    </row>
    <row r="21" spans="1:10" s="8" customFormat="1" x14ac:dyDescent="0.25">
      <c r="A21" s="41">
        <f t="shared" si="0"/>
        <v>16</v>
      </c>
      <c r="B21" t="s">
        <v>13</v>
      </c>
      <c r="C21" t="s">
        <v>47</v>
      </c>
      <c r="D21" t="s">
        <v>49</v>
      </c>
      <c r="E21" s="7">
        <v>1053709.5300484304</v>
      </c>
      <c r="F21" s="82"/>
      <c r="G21" t="s">
        <v>13</v>
      </c>
      <c r="H21" t="s">
        <v>47</v>
      </c>
      <c r="I21" t="s">
        <v>49</v>
      </c>
      <c r="J21" s="7">
        <v>0</v>
      </c>
    </row>
    <row r="22" spans="1:10" s="8" customFormat="1" x14ac:dyDescent="0.25">
      <c r="A22" s="4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82"/>
      <c r="G22" t="s">
        <v>14</v>
      </c>
      <c r="H22" t="s">
        <v>47</v>
      </c>
      <c r="I22" t="s">
        <v>50</v>
      </c>
      <c r="J22" s="7">
        <v>199605.38516592441</v>
      </c>
    </row>
    <row r="23" spans="1:10" s="8" customFormat="1" x14ac:dyDescent="0.25">
      <c r="A23" s="41">
        <f t="shared" si="0"/>
        <v>18</v>
      </c>
      <c r="B23" t="s">
        <v>15</v>
      </c>
      <c r="C23" t="s">
        <v>51</v>
      </c>
      <c r="D23" t="s">
        <v>49</v>
      </c>
      <c r="E23" s="7">
        <v>1818.376829409206</v>
      </c>
      <c r="F23" s="82"/>
      <c r="G23" t="s">
        <v>15</v>
      </c>
      <c r="H23" t="s">
        <v>51</v>
      </c>
      <c r="I23" t="s">
        <v>49</v>
      </c>
      <c r="J23" s="7">
        <v>0</v>
      </c>
    </row>
    <row r="24" spans="1:10" s="8" customFormat="1" x14ac:dyDescent="0.25">
      <c r="A24" s="4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82"/>
      <c r="G24" t="s">
        <v>16</v>
      </c>
      <c r="H24" t="s">
        <v>47</v>
      </c>
      <c r="I24" t="s">
        <v>50</v>
      </c>
      <c r="J24" s="7">
        <v>170815.67126011371</v>
      </c>
    </row>
    <row r="25" spans="1:10" s="8" customFormat="1" x14ac:dyDescent="0.25">
      <c r="A25" s="41">
        <f t="shared" si="0"/>
        <v>20</v>
      </c>
      <c r="B25" t="s">
        <v>17</v>
      </c>
      <c r="C25" t="s">
        <v>51</v>
      </c>
      <c r="D25" t="s">
        <v>49</v>
      </c>
      <c r="E25" s="7">
        <v>-183.14169933333338</v>
      </c>
      <c r="F25" s="82"/>
      <c r="G25" t="s">
        <v>17</v>
      </c>
      <c r="H25" t="s">
        <v>51</v>
      </c>
      <c r="I25" t="s">
        <v>49</v>
      </c>
      <c r="J25" s="7">
        <v>0</v>
      </c>
    </row>
    <row r="26" spans="1:10" s="8" customFormat="1" x14ac:dyDescent="0.25">
      <c r="A26" s="41">
        <f t="shared" si="0"/>
        <v>21</v>
      </c>
      <c r="B26" t="s">
        <v>18</v>
      </c>
      <c r="C26" t="s">
        <v>47</v>
      </c>
      <c r="D26" t="s">
        <v>49</v>
      </c>
      <c r="E26" s="7">
        <v>1723430.5358824183</v>
      </c>
      <c r="F26" s="82"/>
      <c r="G26" t="s">
        <v>18</v>
      </c>
      <c r="H26" t="s">
        <v>47</v>
      </c>
      <c r="I26" t="s">
        <v>49</v>
      </c>
      <c r="J26" s="7">
        <v>0</v>
      </c>
    </row>
    <row r="27" spans="1:10" s="8" customFormat="1" x14ac:dyDescent="0.25">
      <c r="A27" s="41">
        <f t="shared" si="0"/>
        <v>22</v>
      </c>
      <c r="B27" t="s">
        <v>19</v>
      </c>
      <c r="C27" t="s">
        <v>47</v>
      </c>
      <c r="D27" t="s">
        <v>49</v>
      </c>
      <c r="E27" s="7">
        <v>-14818.4095</v>
      </c>
      <c r="F27" s="82"/>
      <c r="G27" t="s">
        <v>19</v>
      </c>
      <c r="H27" t="s">
        <v>47</v>
      </c>
      <c r="I27" t="s">
        <v>49</v>
      </c>
      <c r="J27" s="7">
        <v>0</v>
      </c>
    </row>
    <row r="28" spans="1:10" s="8" customFormat="1" x14ac:dyDescent="0.25">
      <c r="A28" s="41">
        <f t="shared" si="0"/>
        <v>23</v>
      </c>
      <c r="B28" t="s">
        <v>20</v>
      </c>
      <c r="C28" t="s">
        <v>47</v>
      </c>
      <c r="D28" t="s">
        <v>48</v>
      </c>
      <c r="E28" s="7">
        <v>955654.87914591096</v>
      </c>
      <c r="F28" s="82"/>
      <c r="G28" t="s">
        <v>20</v>
      </c>
      <c r="H28" t="s">
        <v>47</v>
      </c>
      <c r="I28" t="s">
        <v>48</v>
      </c>
      <c r="J28" s="7">
        <v>493624.58574021427</v>
      </c>
    </row>
    <row r="29" spans="1:10" s="8" customFormat="1" x14ac:dyDescent="0.25">
      <c r="A29" s="41">
        <f t="shared" si="0"/>
        <v>24</v>
      </c>
      <c r="B29" t="s">
        <v>20</v>
      </c>
      <c r="C29" t="s">
        <v>47</v>
      </c>
      <c r="D29" t="s">
        <v>49</v>
      </c>
      <c r="E29" s="7">
        <v>46718.079685249999</v>
      </c>
      <c r="F29" s="82"/>
      <c r="G29" t="s">
        <v>20</v>
      </c>
      <c r="H29" t="s">
        <v>47</v>
      </c>
      <c r="I29" t="s">
        <v>49</v>
      </c>
      <c r="J29" s="7">
        <v>0</v>
      </c>
    </row>
    <row r="30" spans="1:10" s="8" customFormat="1" x14ac:dyDescent="0.25">
      <c r="A30" s="4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82"/>
      <c r="G30" t="s">
        <v>20</v>
      </c>
      <c r="H30" t="s">
        <v>47</v>
      </c>
      <c r="I30" t="s">
        <v>50</v>
      </c>
      <c r="J30" s="7">
        <v>30660.60191666667</v>
      </c>
    </row>
    <row r="31" spans="1:10" s="8" customFormat="1" x14ac:dyDescent="0.25">
      <c r="A31" s="4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82"/>
      <c r="G31" t="s">
        <v>21</v>
      </c>
      <c r="H31" t="s">
        <v>51</v>
      </c>
      <c r="I31" t="s">
        <v>49</v>
      </c>
      <c r="J31" s="7">
        <v>0</v>
      </c>
    </row>
    <row r="32" spans="1:10" s="8" customFormat="1" x14ac:dyDescent="0.25">
      <c r="A32" s="41">
        <f t="shared" si="0"/>
        <v>27</v>
      </c>
      <c r="B32" t="s">
        <v>22</v>
      </c>
      <c r="C32" t="s">
        <v>47</v>
      </c>
      <c r="D32" t="s">
        <v>49</v>
      </c>
      <c r="E32" s="7">
        <v>30041.506028060412</v>
      </c>
      <c r="F32" s="82"/>
      <c r="G32" t="s">
        <v>22</v>
      </c>
      <c r="H32" t="s">
        <v>47</v>
      </c>
      <c r="I32" t="s">
        <v>49</v>
      </c>
      <c r="J32" s="7">
        <v>0</v>
      </c>
    </row>
    <row r="33" spans="1:10" s="8" customFormat="1" x14ac:dyDescent="0.25">
      <c r="A33" s="4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82"/>
      <c r="G33" t="s">
        <v>23</v>
      </c>
      <c r="H33" t="s">
        <v>47</v>
      </c>
      <c r="I33" t="s">
        <v>50</v>
      </c>
      <c r="J33" s="7">
        <v>0</v>
      </c>
    </row>
    <row r="34" spans="1:10" s="8" customFormat="1" x14ac:dyDescent="0.25">
      <c r="A34" s="4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82"/>
      <c r="G34" t="s">
        <v>24</v>
      </c>
      <c r="H34" t="s">
        <v>51</v>
      </c>
      <c r="I34" t="s">
        <v>50</v>
      </c>
      <c r="J34" s="7">
        <v>12141.904233791665</v>
      </c>
    </row>
    <row r="35" spans="1:10" s="8" customFormat="1" x14ac:dyDescent="0.25">
      <c r="A35" s="41">
        <f t="shared" si="0"/>
        <v>30</v>
      </c>
      <c r="B35" t="s">
        <v>25</v>
      </c>
      <c r="C35" t="s">
        <v>51</v>
      </c>
      <c r="D35" t="s">
        <v>49</v>
      </c>
      <c r="E35" s="7">
        <v>439385.58197333338</v>
      </c>
      <c r="F35" s="82"/>
      <c r="G35" t="s">
        <v>25</v>
      </c>
      <c r="H35" t="s">
        <v>51</v>
      </c>
      <c r="I35" t="s">
        <v>49</v>
      </c>
      <c r="J35" s="7">
        <v>0</v>
      </c>
    </row>
    <row r="36" spans="1:10" s="8" customFormat="1" x14ac:dyDescent="0.25">
      <c r="A36" s="41">
        <f t="shared" si="0"/>
        <v>31</v>
      </c>
      <c r="B36" t="s">
        <v>26</v>
      </c>
      <c r="C36" t="s">
        <v>52</v>
      </c>
      <c r="D36" t="s">
        <v>49</v>
      </c>
      <c r="E36" s="7">
        <v>147256.44366499665</v>
      </c>
      <c r="F36" s="82"/>
      <c r="G36" t="s">
        <v>26</v>
      </c>
      <c r="H36" t="s">
        <v>52</v>
      </c>
      <c r="I36" t="s">
        <v>49</v>
      </c>
      <c r="J36" s="7">
        <v>0</v>
      </c>
    </row>
    <row r="37" spans="1:10" s="8" customFormat="1" x14ac:dyDescent="0.25">
      <c r="A37" s="4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82"/>
      <c r="G37" t="s">
        <v>27</v>
      </c>
      <c r="H37" t="s">
        <v>52</v>
      </c>
      <c r="I37" t="s">
        <v>50</v>
      </c>
      <c r="J37" s="7">
        <v>190042.14845561283</v>
      </c>
    </row>
    <row r="38" spans="1:10" s="8" customFormat="1" x14ac:dyDescent="0.25">
      <c r="A38" s="4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82"/>
      <c r="G38" t="s">
        <v>28</v>
      </c>
      <c r="H38" t="s">
        <v>47</v>
      </c>
      <c r="I38" t="s">
        <v>50</v>
      </c>
      <c r="J38" s="7">
        <v>447662.99560022715</v>
      </c>
    </row>
    <row r="39" spans="1:10" s="8" customFormat="1" x14ac:dyDescent="0.25">
      <c r="A39" s="4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82"/>
      <c r="G39" t="s">
        <v>29</v>
      </c>
      <c r="H39" t="s">
        <v>53</v>
      </c>
      <c r="I39" t="s">
        <v>49</v>
      </c>
      <c r="J39" s="7">
        <v>0</v>
      </c>
    </row>
    <row r="40" spans="1:10" s="8" customFormat="1" x14ac:dyDescent="0.25">
      <c r="A40" s="41">
        <f t="shared" si="0"/>
        <v>35</v>
      </c>
      <c r="B40" t="s">
        <v>29</v>
      </c>
      <c r="C40" t="s">
        <v>51</v>
      </c>
      <c r="D40" t="s">
        <v>48</v>
      </c>
      <c r="E40" s="7">
        <v>1013428.7823841383</v>
      </c>
      <c r="F40" s="82"/>
      <c r="G40" t="s">
        <v>29</v>
      </c>
      <c r="H40" t="s">
        <v>51</v>
      </c>
      <c r="I40" t="s">
        <v>48</v>
      </c>
      <c r="J40" s="7">
        <v>523466.55031852826</v>
      </c>
    </row>
    <row r="41" spans="1:10" s="8" customFormat="1" x14ac:dyDescent="0.25">
      <c r="A41" s="41">
        <f t="shared" si="0"/>
        <v>36</v>
      </c>
      <c r="B41" t="s">
        <v>29</v>
      </c>
      <c r="C41" t="s">
        <v>51</v>
      </c>
      <c r="D41" t="s">
        <v>49</v>
      </c>
      <c r="E41" s="7">
        <v>501664.31452934869</v>
      </c>
      <c r="F41" s="82"/>
      <c r="G41" t="s">
        <v>29</v>
      </c>
      <c r="H41" t="s">
        <v>51</v>
      </c>
      <c r="I41" t="s">
        <v>49</v>
      </c>
      <c r="J41" s="7">
        <v>0</v>
      </c>
    </row>
    <row r="42" spans="1:10" s="8" customFormat="1" x14ac:dyDescent="0.25">
      <c r="A42" s="4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82"/>
      <c r="G42" t="s">
        <v>29</v>
      </c>
      <c r="H42" t="s">
        <v>51</v>
      </c>
      <c r="I42" t="s">
        <v>50</v>
      </c>
      <c r="J42" s="7">
        <v>24484.334769374997</v>
      </c>
    </row>
    <row r="43" spans="1:10" s="8" customFormat="1" x14ac:dyDescent="0.25">
      <c r="A43" s="41">
        <f t="shared" si="0"/>
        <v>38</v>
      </c>
      <c r="B43" t="s">
        <v>29</v>
      </c>
      <c r="C43" t="s">
        <v>47</v>
      </c>
      <c r="D43" t="s">
        <v>48</v>
      </c>
      <c r="E43" s="7">
        <v>957993.2026330363</v>
      </c>
      <c r="F43" s="82"/>
      <c r="G43" t="s">
        <v>29</v>
      </c>
      <c r="H43" t="s">
        <v>47</v>
      </c>
      <c r="I43" t="s">
        <v>48</v>
      </c>
      <c r="J43" s="7">
        <v>494832.40038946341</v>
      </c>
    </row>
    <row r="44" spans="1:10" s="8" customFormat="1" x14ac:dyDescent="0.25">
      <c r="A44" s="41">
        <f t="shared" si="0"/>
        <v>39</v>
      </c>
      <c r="B44" t="s">
        <v>29</v>
      </c>
      <c r="C44" t="s">
        <v>47</v>
      </c>
      <c r="D44" t="s">
        <v>49</v>
      </c>
      <c r="E44" s="7">
        <v>2071920.9368643137</v>
      </c>
      <c r="F44" s="82"/>
      <c r="G44" t="s">
        <v>29</v>
      </c>
      <c r="H44" t="s">
        <v>47</v>
      </c>
      <c r="I44" t="s">
        <v>49</v>
      </c>
      <c r="J44" s="7">
        <v>0</v>
      </c>
    </row>
    <row r="45" spans="1:10" s="8" customFormat="1" x14ac:dyDescent="0.25">
      <c r="A45" s="4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82"/>
      <c r="G45" t="s">
        <v>29</v>
      </c>
      <c r="H45" t="s">
        <v>47</v>
      </c>
      <c r="I45" t="s">
        <v>50</v>
      </c>
      <c r="J45" s="7">
        <v>111697.81837454681</v>
      </c>
    </row>
    <row r="46" spans="1:10" s="8" customFormat="1" x14ac:dyDescent="0.25">
      <c r="A46" s="41">
        <f t="shared" si="0"/>
        <v>41</v>
      </c>
      <c r="B46" t="s">
        <v>29</v>
      </c>
      <c r="C46" t="s">
        <v>52</v>
      </c>
      <c r="D46" t="s">
        <v>49</v>
      </c>
      <c r="E46" s="7">
        <v>235128.47559976325</v>
      </c>
      <c r="F46" s="82"/>
      <c r="G46" t="s">
        <v>29</v>
      </c>
      <c r="H46" t="s">
        <v>52</v>
      </c>
      <c r="I46" t="s">
        <v>49</v>
      </c>
      <c r="J46" s="7">
        <v>0</v>
      </c>
    </row>
    <row r="47" spans="1:10" s="8" customFormat="1" x14ac:dyDescent="0.25">
      <c r="A47" s="4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82"/>
      <c r="G47" t="s">
        <v>29</v>
      </c>
      <c r="H47" t="s">
        <v>52</v>
      </c>
      <c r="I47" t="s">
        <v>50</v>
      </c>
      <c r="J47" s="7">
        <v>28774.337618167439</v>
      </c>
    </row>
    <row r="48" spans="1:10" s="8" customFormat="1" x14ac:dyDescent="0.25">
      <c r="A48" s="41">
        <f t="shared" si="0"/>
        <v>43</v>
      </c>
      <c r="B48" t="s">
        <v>31</v>
      </c>
      <c r="C48" t="s">
        <v>51</v>
      </c>
      <c r="D48" t="s">
        <v>49</v>
      </c>
      <c r="E48" s="7">
        <v>0</v>
      </c>
      <c r="F48" s="82"/>
      <c r="G48" t="s">
        <v>31</v>
      </c>
      <c r="H48" t="s">
        <v>51</v>
      </c>
      <c r="I48" t="s">
        <v>49</v>
      </c>
      <c r="J48" s="7">
        <v>0</v>
      </c>
    </row>
    <row r="49" spans="1:11" s="8" customFormat="1" x14ac:dyDescent="0.25">
      <c r="A49" s="41">
        <f t="shared" si="0"/>
        <v>44</v>
      </c>
      <c r="B49" t="s">
        <v>32</v>
      </c>
      <c r="C49" t="s">
        <v>51</v>
      </c>
      <c r="D49" t="s">
        <v>49</v>
      </c>
      <c r="E49" s="7">
        <v>0</v>
      </c>
      <c r="F49" s="82"/>
      <c r="G49" t="s">
        <v>32</v>
      </c>
      <c r="H49" t="s">
        <v>51</v>
      </c>
      <c r="I49" t="s">
        <v>49</v>
      </c>
      <c r="J49" s="7">
        <v>0</v>
      </c>
    </row>
    <row r="50" spans="1:11" s="8" customFormat="1" x14ac:dyDescent="0.25">
      <c r="A50" s="41">
        <f t="shared" si="0"/>
        <v>45</v>
      </c>
      <c r="B50" t="s">
        <v>33</v>
      </c>
      <c r="C50" t="s">
        <v>51</v>
      </c>
      <c r="D50" t="s">
        <v>48</v>
      </c>
      <c r="E50" s="7">
        <v>74946.592113475257</v>
      </c>
      <c r="F50" s="82"/>
      <c r="G50" t="s">
        <v>33</v>
      </c>
      <c r="H50" t="s">
        <v>51</v>
      </c>
      <c r="I50" t="s">
        <v>48</v>
      </c>
      <c r="J50" s="7">
        <v>38712.176636108088</v>
      </c>
    </row>
    <row r="51" spans="1:11" s="8" customFormat="1" x14ac:dyDescent="0.25">
      <c r="A51" s="41">
        <f t="shared" si="0"/>
        <v>46</v>
      </c>
      <c r="B51" t="s">
        <v>34</v>
      </c>
      <c r="C51" t="s">
        <v>51</v>
      </c>
      <c r="D51" t="s">
        <v>48</v>
      </c>
      <c r="E51" s="7">
        <v>0</v>
      </c>
      <c r="F51" s="82"/>
      <c r="G51" t="s">
        <v>34</v>
      </c>
      <c r="H51" t="s">
        <v>51</v>
      </c>
      <c r="I51" t="s">
        <v>48</v>
      </c>
      <c r="J51" s="7">
        <v>0</v>
      </c>
    </row>
    <row r="52" spans="1:11" s="8" customFormat="1" x14ac:dyDescent="0.25">
      <c r="A52" s="41">
        <f t="shared" si="0"/>
        <v>47</v>
      </c>
      <c r="B52" t="s">
        <v>35</v>
      </c>
      <c r="C52" t="s">
        <v>47</v>
      </c>
      <c r="D52" t="s">
        <v>50</v>
      </c>
      <c r="E52" s="7">
        <v>0</v>
      </c>
      <c r="F52" s="82"/>
      <c r="G52" t="s">
        <v>35</v>
      </c>
      <c r="H52" t="s">
        <v>47</v>
      </c>
      <c r="I52" t="s">
        <v>50</v>
      </c>
      <c r="J52" s="7">
        <v>0</v>
      </c>
    </row>
    <row r="53" spans="1:11" s="8" customFormat="1" x14ac:dyDescent="0.25">
      <c r="A53" s="41">
        <f t="shared" si="0"/>
        <v>48</v>
      </c>
      <c r="B53" t="s">
        <v>36</v>
      </c>
      <c r="C53" t="s">
        <v>47</v>
      </c>
      <c r="D53" t="s">
        <v>49</v>
      </c>
      <c r="E53" s="7">
        <v>0</v>
      </c>
      <c r="F53" s="82"/>
      <c r="G53" t="s">
        <v>36</v>
      </c>
      <c r="H53" t="s">
        <v>47</v>
      </c>
      <c r="I53" t="s">
        <v>49</v>
      </c>
      <c r="J53" s="7">
        <v>0</v>
      </c>
    </row>
    <row r="54" spans="1:11" x14ac:dyDescent="0.25">
      <c r="A54" s="41">
        <f t="shared" si="0"/>
        <v>49</v>
      </c>
      <c r="B54" t="s">
        <v>37</v>
      </c>
      <c r="C54" t="s">
        <v>47</v>
      </c>
      <c r="D54" t="s">
        <v>49</v>
      </c>
      <c r="E54" s="7">
        <v>1100.1033539999996</v>
      </c>
      <c r="F54" s="82"/>
      <c r="G54" t="s">
        <v>37</v>
      </c>
      <c r="H54" t="s">
        <v>47</v>
      </c>
      <c r="I54" t="s">
        <v>49</v>
      </c>
      <c r="J54" s="7">
        <v>0</v>
      </c>
      <c r="K54" s="8"/>
    </row>
    <row r="55" spans="1:11" x14ac:dyDescent="0.25">
      <c r="A55" s="41">
        <f t="shared" si="0"/>
        <v>50</v>
      </c>
      <c r="B55" t="s">
        <v>114</v>
      </c>
      <c r="C55" t="s">
        <v>114</v>
      </c>
      <c r="D55" t="s">
        <v>48</v>
      </c>
      <c r="E55" s="7">
        <v>240512.88889878002</v>
      </c>
      <c r="F55" s="82"/>
      <c r="G55" t="s">
        <v>114</v>
      </c>
      <c r="H55" t="s">
        <v>114</v>
      </c>
      <c r="I55" t="s">
        <v>48</v>
      </c>
      <c r="J55" s="7">
        <v>124232.16554280327</v>
      </c>
      <c r="K55" s="8"/>
    </row>
    <row r="56" spans="1:11" x14ac:dyDescent="0.25">
      <c r="A56" s="41">
        <f t="shared" si="0"/>
        <v>51</v>
      </c>
      <c r="B56" t="s">
        <v>114</v>
      </c>
      <c r="C56" t="s">
        <v>114</v>
      </c>
      <c r="D56" t="s">
        <v>49</v>
      </c>
      <c r="E56" s="7">
        <v>24876.943438209128</v>
      </c>
      <c r="F56" s="82"/>
      <c r="G56" t="s">
        <v>114</v>
      </c>
      <c r="H56" t="s">
        <v>114</v>
      </c>
      <c r="I56" t="s">
        <v>49</v>
      </c>
      <c r="J56" s="7">
        <v>0</v>
      </c>
      <c r="K56" s="8"/>
    </row>
    <row r="57" spans="1:11" x14ac:dyDescent="0.25">
      <c r="A57" s="41">
        <f t="shared" si="0"/>
        <v>52</v>
      </c>
      <c r="B57" t="s">
        <v>114</v>
      </c>
      <c r="C57" t="s">
        <v>114</v>
      </c>
      <c r="D57" t="s">
        <v>50</v>
      </c>
      <c r="E57" s="7">
        <v>0</v>
      </c>
      <c r="F57" s="82"/>
      <c r="G57" t="s">
        <v>114</v>
      </c>
      <c r="H57" t="s">
        <v>114</v>
      </c>
      <c r="I57" t="s">
        <v>50</v>
      </c>
      <c r="J57" s="7">
        <v>4919.0535592971301</v>
      </c>
      <c r="K57" s="8"/>
    </row>
    <row r="58" spans="1:11" x14ac:dyDescent="0.25">
      <c r="A58" s="41">
        <f t="shared" si="0"/>
        <v>53</v>
      </c>
      <c r="E58" s="7"/>
      <c r="F58" s="82"/>
      <c r="J58" s="7"/>
      <c r="K58" s="8"/>
    </row>
    <row r="59" spans="1:11" ht="15.75" thickBot="1" x14ac:dyDescent="0.3">
      <c r="A59" s="41">
        <f t="shared" si="0"/>
        <v>54</v>
      </c>
      <c r="B59" s="84" t="s">
        <v>38</v>
      </c>
      <c r="C59" s="85"/>
      <c r="D59" s="85"/>
      <c r="E59" s="86">
        <f>SUM(E6:E58)</f>
        <v>10759964.352997409</v>
      </c>
      <c r="F59" s="87"/>
      <c r="G59" s="84" t="s">
        <v>38</v>
      </c>
      <c r="H59" s="85"/>
      <c r="I59" s="85"/>
      <c r="J59" s="86">
        <f>SUM(J6:J58)</f>
        <v>4367304.1456664922</v>
      </c>
      <c r="K59" s="8"/>
    </row>
    <row r="60" spans="1:11" x14ac:dyDescent="0.25">
      <c r="B60" s="9"/>
      <c r="C60" s="8"/>
      <c r="D60" s="8"/>
      <c r="E60" s="10"/>
      <c r="F60" s="8"/>
      <c r="G60" s="9"/>
      <c r="H60" s="8"/>
      <c r="I60" s="8"/>
      <c r="J60" s="10"/>
    </row>
    <row r="61" spans="1:11" x14ac:dyDescent="0.25">
      <c r="B61" s="9"/>
      <c r="C61" s="8"/>
      <c r="D61" s="8"/>
      <c r="E61" s="10"/>
      <c r="F61" s="8"/>
      <c r="G61" s="9"/>
      <c r="H61" s="8"/>
      <c r="I61" s="8"/>
      <c r="J61" s="10"/>
    </row>
    <row r="62" spans="1:11" x14ac:dyDescent="0.25">
      <c r="B62" s="9"/>
      <c r="C62" s="8"/>
      <c r="D62" s="8"/>
      <c r="E62" s="10"/>
      <c r="F62" s="8"/>
      <c r="G62" s="9"/>
      <c r="H62" s="8"/>
      <c r="I62" s="8"/>
      <c r="J62" s="10"/>
    </row>
    <row r="63" spans="1:11" x14ac:dyDescent="0.25">
      <c r="B63" s="9"/>
      <c r="C63" s="8"/>
      <c r="D63" s="8"/>
      <c r="E63" s="10"/>
      <c r="F63" s="8"/>
      <c r="G63" s="9"/>
      <c r="H63" s="8"/>
      <c r="I63" s="8"/>
      <c r="J63" s="10"/>
    </row>
  </sheetData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/>
  </sheetViews>
  <sheetFormatPr defaultColWidth="8.85546875" defaultRowHeight="12.75" x14ac:dyDescent="0.2"/>
  <cols>
    <col min="1" max="1" width="4.5703125" style="15" bestFit="1" customWidth="1"/>
    <col min="2" max="2" width="37.5703125" style="15" customWidth="1"/>
    <col min="3" max="3" width="11.42578125" style="15" bestFit="1" customWidth="1"/>
    <col min="4" max="4" width="12.140625" style="15" bestFit="1" customWidth="1"/>
    <col min="5" max="5" width="12.85546875" style="15" bestFit="1" customWidth="1"/>
    <col min="6" max="6" width="11.42578125" style="15" bestFit="1" customWidth="1"/>
    <col min="7" max="7" width="3" style="15" customWidth="1"/>
    <col min="8" max="8" width="12" style="15" bestFit="1" customWidth="1"/>
    <col min="9" max="16384" width="8.85546875" style="15"/>
  </cols>
  <sheetData>
    <row r="3" spans="1:8" ht="15.75" x14ac:dyDescent="0.25">
      <c r="B3" s="16" t="s">
        <v>59</v>
      </c>
    </row>
    <row r="5" spans="1:8" x14ac:dyDescent="0.2">
      <c r="A5" s="17" t="s">
        <v>60</v>
      </c>
      <c r="C5" s="17" t="s">
        <v>61</v>
      </c>
      <c r="D5" s="17" t="s">
        <v>62</v>
      </c>
      <c r="E5" s="17" t="s">
        <v>63</v>
      </c>
      <c r="F5" s="17" t="s">
        <v>64</v>
      </c>
      <c r="G5" s="17"/>
      <c r="H5" s="17" t="s">
        <v>65</v>
      </c>
    </row>
    <row r="6" spans="1:8" x14ac:dyDescent="0.2">
      <c r="A6" s="18" t="s">
        <v>66</v>
      </c>
      <c r="B6" s="19" t="s">
        <v>67</v>
      </c>
      <c r="C6" s="18" t="s">
        <v>68</v>
      </c>
      <c r="D6" s="18" t="s">
        <v>65</v>
      </c>
      <c r="E6" s="18" t="s">
        <v>69</v>
      </c>
      <c r="F6" s="18" t="s">
        <v>68</v>
      </c>
      <c r="G6" s="20"/>
      <c r="H6" s="18" t="s">
        <v>70</v>
      </c>
    </row>
    <row r="7" spans="1:8" x14ac:dyDescent="0.2">
      <c r="A7" s="21">
        <v>1</v>
      </c>
      <c r="B7" s="22" t="s">
        <v>41</v>
      </c>
    </row>
    <row r="8" spans="1:8" x14ac:dyDescent="0.2">
      <c r="A8" s="21">
        <f>A7+1</f>
        <v>2</v>
      </c>
      <c r="B8" s="15" t="s">
        <v>71</v>
      </c>
      <c r="C8" s="23">
        <v>15491251.399999999</v>
      </c>
      <c r="D8" s="23">
        <v>-288289.16950983345</v>
      </c>
      <c r="E8" s="23">
        <v>-61452.87917793497</v>
      </c>
      <c r="F8" s="23">
        <f>SUM(C8:E8)</f>
        <v>15141509.351312229</v>
      </c>
      <c r="H8" s="23">
        <v>288289.16950983345</v>
      </c>
    </row>
    <row r="9" spans="1:8" x14ac:dyDescent="0.2">
      <c r="A9" s="21">
        <f t="shared" ref="A9:A20" si="0">A8+1</f>
        <v>3</v>
      </c>
      <c r="B9" s="15" t="s">
        <v>72</v>
      </c>
      <c r="C9" s="23">
        <v>281510.64</v>
      </c>
      <c r="D9" s="23">
        <v>-12195.263481500002</v>
      </c>
      <c r="E9" s="23">
        <v>344.10904111500014</v>
      </c>
      <c r="F9" s="23">
        <f>SUM(C9:E9)</f>
        <v>269659.48555961502</v>
      </c>
      <c r="H9" s="23">
        <v>12195.263481500002</v>
      </c>
    </row>
    <row r="10" spans="1:8" x14ac:dyDescent="0.2">
      <c r="A10" s="21">
        <f t="shared" si="0"/>
        <v>4</v>
      </c>
      <c r="B10" s="24" t="s">
        <v>73</v>
      </c>
      <c r="C10" s="25">
        <v>30137061.119999994</v>
      </c>
      <c r="D10" s="25">
        <v>-854852.41462499974</v>
      </c>
      <c r="E10" s="25">
        <v>-1086237.5599687498</v>
      </c>
      <c r="F10" s="25">
        <f>SUM(C10:E10)</f>
        <v>28195971.145406242</v>
      </c>
      <c r="H10" s="25">
        <v>854852.41462499974</v>
      </c>
    </row>
    <row r="11" spans="1:8" x14ac:dyDescent="0.2">
      <c r="A11" s="21">
        <f t="shared" si="0"/>
        <v>5</v>
      </c>
      <c r="B11" s="22" t="s">
        <v>74</v>
      </c>
      <c r="C11" s="26">
        <f>SUM(C8:C10)</f>
        <v>45909823.159999996</v>
      </c>
      <c r="D11" s="26">
        <f>SUM(D8:D10)</f>
        <v>-1155336.847616333</v>
      </c>
      <c r="E11" s="26">
        <f>SUM(E8:E10)</f>
        <v>-1147346.3301055697</v>
      </c>
      <c r="F11" s="26">
        <f>SUM(F8:F10)</f>
        <v>43607139.982278086</v>
      </c>
      <c r="G11" s="22"/>
      <c r="H11" s="26">
        <f>SUM(H8:H10)</f>
        <v>1155336.847616333</v>
      </c>
    </row>
    <row r="12" spans="1:8" x14ac:dyDescent="0.2">
      <c r="A12" s="21">
        <f t="shared" si="0"/>
        <v>6</v>
      </c>
    </row>
    <row r="13" spans="1:8" x14ac:dyDescent="0.2">
      <c r="A13" s="21">
        <f t="shared" si="0"/>
        <v>7</v>
      </c>
      <c r="B13" s="22" t="s">
        <v>40</v>
      </c>
    </row>
    <row r="14" spans="1:8" x14ac:dyDescent="0.2">
      <c r="A14" s="21">
        <f t="shared" si="0"/>
        <v>8</v>
      </c>
      <c r="B14" s="15" t="s">
        <v>75</v>
      </c>
      <c r="C14" s="23">
        <v>2516965.6</v>
      </c>
      <c r="D14" s="23">
        <v>-54079.065748583365</v>
      </c>
      <c r="E14" s="23">
        <v>4569.8577633625455</v>
      </c>
      <c r="F14" s="23">
        <f>SUM(C14:E14)</f>
        <v>2467456.3920147792</v>
      </c>
      <c r="H14" s="23">
        <v>54079.065748583365</v>
      </c>
    </row>
    <row r="15" spans="1:8" x14ac:dyDescent="0.2">
      <c r="A15" s="21">
        <f t="shared" si="0"/>
        <v>9</v>
      </c>
      <c r="B15" s="15" t="s">
        <v>76</v>
      </c>
      <c r="C15" s="23">
        <v>18467200.6199999</v>
      </c>
      <c r="D15" s="23">
        <v>-459468.57805624849</v>
      </c>
      <c r="E15" s="23">
        <v>-679134.02464818314</v>
      </c>
      <c r="F15" s="23">
        <f>SUM(C15:E15)</f>
        <v>17328598.017295469</v>
      </c>
      <c r="H15" s="23">
        <v>459468.57805624849</v>
      </c>
    </row>
    <row r="16" spans="1:8" x14ac:dyDescent="0.2">
      <c r="A16" s="21">
        <f t="shared" si="0"/>
        <v>10</v>
      </c>
      <c r="B16" s="15" t="s">
        <v>77</v>
      </c>
      <c r="C16" s="23">
        <v>363005.50000000006</v>
      </c>
      <c r="D16" s="23">
        <v>-17622.593624999998</v>
      </c>
      <c r="E16" s="23">
        <v>842.07634874999815</v>
      </c>
      <c r="F16" s="23">
        <f>SUM(C16:E16)</f>
        <v>346224.98272375006</v>
      </c>
      <c r="H16" s="23">
        <v>17622.593624999998</v>
      </c>
    </row>
    <row r="17" spans="1:8" x14ac:dyDescent="0.2">
      <c r="A17" s="21">
        <f t="shared" si="0"/>
        <v>11</v>
      </c>
      <c r="B17" s="15" t="s">
        <v>78</v>
      </c>
      <c r="C17" s="25">
        <v>1330768.1100000129</v>
      </c>
      <c r="D17" s="25">
        <v>-9286.0990500000917</v>
      </c>
      <c r="E17" s="25">
        <v>-8529.7180657500867</v>
      </c>
      <c r="F17" s="25">
        <f>SUM(C17:E17)</f>
        <v>1312952.2928842627</v>
      </c>
      <c r="G17" s="24"/>
      <c r="H17" s="25">
        <v>9286.0990500000917</v>
      </c>
    </row>
    <row r="18" spans="1:8" x14ac:dyDescent="0.2">
      <c r="A18" s="21">
        <f t="shared" si="0"/>
        <v>12</v>
      </c>
      <c r="B18" s="27" t="s">
        <v>79</v>
      </c>
      <c r="C18" s="26">
        <f>SUM(C14:C17)</f>
        <v>22677939.829999916</v>
      </c>
      <c r="D18" s="26">
        <f>SUM(D14:D17)</f>
        <v>-540456.33647983195</v>
      </c>
      <c r="E18" s="26">
        <f>SUM(E14:E17)</f>
        <v>-682251.80860182061</v>
      </c>
      <c r="F18" s="26">
        <f>SUM(F14:F17)</f>
        <v>21455231.684918262</v>
      </c>
      <c r="H18" s="26">
        <f>SUM(H14:H17)</f>
        <v>540456.33647983195</v>
      </c>
    </row>
    <row r="19" spans="1:8" x14ac:dyDescent="0.2">
      <c r="A19" s="21">
        <f t="shared" si="0"/>
        <v>13</v>
      </c>
    </row>
    <row r="20" spans="1:8" x14ac:dyDescent="0.2">
      <c r="A20" s="21">
        <f t="shared" si="0"/>
        <v>14</v>
      </c>
      <c r="B20" s="22" t="s">
        <v>80</v>
      </c>
      <c r="C20" s="28">
        <f>C11+C18</f>
        <v>68587762.98999992</v>
      </c>
      <c r="D20" s="28">
        <f>D11+D18</f>
        <v>-1695793.184096165</v>
      </c>
      <c r="E20" s="28">
        <f>E11+E18</f>
        <v>-1829598.1387073903</v>
      </c>
      <c r="F20" s="28">
        <f>F11+F18</f>
        <v>65062371.667196348</v>
      </c>
      <c r="G20" s="22"/>
      <c r="H20" s="28">
        <f>H11+H18</f>
        <v>1695793.184096165</v>
      </c>
    </row>
    <row r="21" spans="1:8" x14ac:dyDescent="0.2">
      <c r="A21" s="21"/>
    </row>
    <row r="22" spans="1:8" x14ac:dyDescent="0.2">
      <c r="A22" s="21"/>
    </row>
  </sheetData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ColWidth="8.85546875" defaultRowHeight="12.75" x14ac:dyDescent="0.2"/>
  <cols>
    <col min="1" max="1" width="8.85546875" style="43"/>
    <col min="2" max="2" width="35" style="43" customWidth="1"/>
    <col min="3" max="3" width="16.85546875" style="43" bestFit="1" customWidth="1"/>
    <col min="4" max="4" width="5" style="58" customWidth="1"/>
    <col min="5" max="5" width="30.85546875" style="43" bestFit="1" customWidth="1"/>
    <col min="6" max="6" width="18.42578125" style="43" bestFit="1" customWidth="1"/>
    <col min="7" max="16384" width="8.85546875" style="43"/>
  </cols>
  <sheetData>
    <row r="1" spans="1:10" x14ac:dyDescent="0.2">
      <c r="B1" s="47" t="s">
        <v>117</v>
      </c>
      <c r="E1" s="43" t="s">
        <v>39</v>
      </c>
      <c r="F1" s="54" t="s">
        <v>40</v>
      </c>
      <c r="G1" s="55">
        <v>0.34060000000000001</v>
      </c>
    </row>
    <row r="2" spans="1:10" ht="15" x14ac:dyDescent="0.25">
      <c r="B2" s="47" t="s">
        <v>116</v>
      </c>
      <c r="E2" s="56"/>
      <c r="F2" s="54" t="s">
        <v>41</v>
      </c>
      <c r="G2" s="55">
        <v>0.65939999999999999</v>
      </c>
    </row>
    <row r="3" spans="1:10" ht="15" x14ac:dyDescent="0.25">
      <c r="A3" s="76" t="s">
        <v>60</v>
      </c>
    </row>
    <row r="4" spans="1:10" ht="15" x14ac:dyDescent="0.25">
      <c r="A4" s="34" t="s">
        <v>66</v>
      </c>
      <c r="B4" s="93"/>
      <c r="C4" s="44" t="s">
        <v>119</v>
      </c>
      <c r="D4" s="94"/>
      <c r="E4" s="93"/>
      <c r="F4" s="44" t="s">
        <v>120</v>
      </c>
    </row>
    <row r="5" spans="1:10" ht="15" x14ac:dyDescent="0.25">
      <c r="A5" s="41">
        <v>1</v>
      </c>
      <c r="B5" s="47" t="s">
        <v>118</v>
      </c>
      <c r="D5" s="61"/>
      <c r="E5" s="47" t="s">
        <v>118</v>
      </c>
    </row>
    <row r="6" spans="1:10" ht="15.75" thickBot="1" x14ac:dyDescent="0.3">
      <c r="A6" s="41">
        <f>A5+1</f>
        <v>2</v>
      </c>
      <c r="B6" s="43" t="s">
        <v>100</v>
      </c>
      <c r="C6" s="63">
        <v>-1978964.3471965415</v>
      </c>
      <c r="D6" s="62"/>
      <c r="E6" s="43" t="s">
        <v>101</v>
      </c>
      <c r="F6" s="45">
        <f>-C6</f>
        <v>1978964.3471965415</v>
      </c>
    </row>
    <row r="7" spans="1:10" ht="15.75" thickTop="1" x14ac:dyDescent="0.25">
      <c r="A7" s="41">
        <f t="shared" ref="A7:A28" si="0">A6+1</f>
        <v>3</v>
      </c>
      <c r="C7" s="45"/>
      <c r="D7" s="62"/>
      <c r="F7" s="45"/>
    </row>
    <row r="8" spans="1:10" ht="15" x14ac:dyDescent="0.25">
      <c r="A8" s="41">
        <f t="shared" si="0"/>
        <v>4</v>
      </c>
      <c r="C8" s="45"/>
      <c r="D8" s="62"/>
      <c r="F8" s="45"/>
    </row>
    <row r="9" spans="1:10" ht="15" x14ac:dyDescent="0.25">
      <c r="A9" s="41">
        <f t="shared" si="0"/>
        <v>5</v>
      </c>
      <c r="B9" s="47" t="s">
        <v>41</v>
      </c>
      <c r="C9" s="45"/>
      <c r="D9" s="62"/>
      <c r="E9" s="47" t="s">
        <v>41</v>
      </c>
      <c r="F9" s="45"/>
    </row>
    <row r="10" spans="1:10" ht="15" x14ac:dyDescent="0.25">
      <c r="A10" s="41">
        <f t="shared" si="0"/>
        <v>6</v>
      </c>
      <c r="B10" s="43" t="s">
        <v>102</v>
      </c>
      <c r="C10" s="45">
        <v>-2165541.5445244168</v>
      </c>
      <c r="D10" s="62"/>
      <c r="E10" s="43" t="s">
        <v>103</v>
      </c>
      <c r="F10" s="45">
        <f>-C10</f>
        <v>2165541.5445244168</v>
      </c>
    </row>
    <row r="11" spans="1:10" ht="15" x14ac:dyDescent="0.25">
      <c r="A11" s="41">
        <f t="shared" si="0"/>
        <v>7</v>
      </c>
      <c r="B11" s="43" t="s">
        <v>104</v>
      </c>
      <c r="C11" s="45">
        <v>863453.61214704183</v>
      </c>
      <c r="D11" s="62"/>
      <c r="E11" s="43" t="s">
        <v>104</v>
      </c>
      <c r="F11" s="45">
        <f>-C11</f>
        <v>-863453.61214704183</v>
      </c>
    </row>
    <row r="12" spans="1:10" ht="15" x14ac:dyDescent="0.25">
      <c r="A12" s="41">
        <f t="shared" si="0"/>
        <v>8</v>
      </c>
      <c r="B12" s="43" t="s">
        <v>105</v>
      </c>
      <c r="C12" s="48">
        <f>C6*G2</f>
        <v>-1304929.0905413995</v>
      </c>
      <c r="D12" s="62"/>
      <c r="E12" s="43" t="s">
        <v>105</v>
      </c>
      <c r="F12" s="50">
        <f>-C12</f>
        <v>1304929.0905413995</v>
      </c>
    </row>
    <row r="13" spans="1:10" ht="15" x14ac:dyDescent="0.25">
      <c r="A13" s="41">
        <f t="shared" si="0"/>
        <v>9</v>
      </c>
      <c r="B13" s="43" t="s">
        <v>106</v>
      </c>
      <c r="C13" s="45">
        <f>SUM(C10:C12)</f>
        <v>-2607017.0229187747</v>
      </c>
      <c r="D13" s="62"/>
      <c r="E13" s="43" t="s">
        <v>121</v>
      </c>
      <c r="F13" s="45">
        <f>SUM(F10:F12)</f>
        <v>2607017.0229187747</v>
      </c>
    </row>
    <row r="14" spans="1:10" ht="15" x14ac:dyDescent="0.25">
      <c r="A14" s="41">
        <f t="shared" si="0"/>
        <v>10</v>
      </c>
      <c r="D14" s="62"/>
      <c r="F14" s="45"/>
    </row>
    <row r="15" spans="1:10" ht="15" x14ac:dyDescent="0.25">
      <c r="A15" s="41">
        <f t="shared" si="0"/>
        <v>11</v>
      </c>
      <c r="B15" s="43" t="s">
        <v>107</v>
      </c>
      <c r="C15" s="51">
        <f>C13*-0.21</f>
        <v>547473.57481294265</v>
      </c>
      <c r="D15" s="62"/>
      <c r="E15" s="43" t="s">
        <v>54</v>
      </c>
      <c r="F15" s="46">
        <v>-6210580.4764000177</v>
      </c>
      <c r="H15"/>
      <c r="I15"/>
      <c r="J15"/>
    </row>
    <row r="16" spans="1:10" ht="15" x14ac:dyDescent="0.25">
      <c r="A16" s="41">
        <f t="shared" si="0"/>
        <v>12</v>
      </c>
      <c r="B16" s="43" t="s">
        <v>108</v>
      </c>
      <c r="C16" s="49">
        <v>65821.462309999391</v>
      </c>
      <c r="D16" s="62"/>
      <c r="E16" s="43" t="s">
        <v>108</v>
      </c>
      <c r="F16" s="59">
        <v>-65821.462309999391</v>
      </c>
    </row>
    <row r="17" spans="1:6" ht="15.75" thickBot="1" x14ac:dyDescent="0.3">
      <c r="A17" s="41">
        <f t="shared" si="0"/>
        <v>13</v>
      </c>
      <c r="B17" s="43" t="s">
        <v>109</v>
      </c>
      <c r="C17" s="59">
        <v>68543.906802000012</v>
      </c>
      <c r="D17" s="62"/>
      <c r="E17" s="43" t="s">
        <v>124</v>
      </c>
      <c r="F17" s="65">
        <f>SUM(F13:F16)</f>
        <v>-3669384.9157912424</v>
      </c>
    </row>
    <row r="18" spans="1:6" ht="15.75" thickBot="1" x14ac:dyDescent="0.3">
      <c r="A18" s="41">
        <f t="shared" si="0"/>
        <v>14</v>
      </c>
      <c r="B18" s="43" t="s">
        <v>122</v>
      </c>
      <c r="C18" s="64">
        <f>SUM(C13:C17)</f>
        <v>-1925178.0789938327</v>
      </c>
      <c r="D18" s="62"/>
      <c r="F18" s="52"/>
    </row>
    <row r="19" spans="1:6" ht="15" x14ac:dyDescent="0.25">
      <c r="A19" s="41">
        <f t="shared" si="0"/>
        <v>15</v>
      </c>
      <c r="C19" s="52"/>
      <c r="D19" s="62"/>
      <c r="F19" s="52"/>
    </row>
    <row r="20" spans="1:6" ht="15" x14ac:dyDescent="0.25">
      <c r="A20" s="41">
        <f t="shared" si="0"/>
        <v>16</v>
      </c>
      <c r="B20" s="47" t="s">
        <v>40</v>
      </c>
      <c r="C20" s="45"/>
      <c r="D20" s="62"/>
      <c r="E20" s="47" t="s">
        <v>40</v>
      </c>
      <c r="F20" s="45"/>
    </row>
    <row r="21" spans="1:6" ht="15" x14ac:dyDescent="0.25">
      <c r="A21" s="41">
        <f t="shared" si="0"/>
        <v>17</v>
      </c>
      <c r="B21" s="43" t="s">
        <v>110</v>
      </c>
      <c r="C21" s="45">
        <v>-232558.28478445832</v>
      </c>
      <c r="D21" s="62"/>
      <c r="E21" s="43" t="s">
        <v>111</v>
      </c>
      <c r="F21" s="45">
        <f>-C21</f>
        <v>232558.28478445832</v>
      </c>
    </row>
    <row r="22" spans="1:6" ht="15" x14ac:dyDescent="0.25">
      <c r="A22" s="41">
        <f t="shared" si="0"/>
        <v>18</v>
      </c>
      <c r="B22" s="43" t="s">
        <v>112</v>
      </c>
      <c r="C22" s="48">
        <f>C6*G1</f>
        <v>-674035.25665514206</v>
      </c>
      <c r="D22" s="62"/>
      <c r="E22" s="43" t="s">
        <v>112</v>
      </c>
      <c r="F22" s="48">
        <f>-C22</f>
        <v>674035.25665514206</v>
      </c>
    </row>
    <row r="23" spans="1:6" ht="15.75" thickBot="1" x14ac:dyDescent="0.3">
      <c r="A23" s="41">
        <f t="shared" si="0"/>
        <v>19</v>
      </c>
      <c r="B23" s="43" t="s">
        <v>106</v>
      </c>
      <c r="C23" s="53">
        <f>C21+C22</f>
        <v>-906593.54143960041</v>
      </c>
      <c r="D23" s="62"/>
      <c r="E23" s="43" t="s">
        <v>121</v>
      </c>
      <c r="F23" s="66">
        <f>F21+F22</f>
        <v>906593.54143960041</v>
      </c>
    </row>
    <row r="24" spans="1:6" ht="15" x14ac:dyDescent="0.25">
      <c r="A24" s="41">
        <f t="shared" si="0"/>
        <v>20</v>
      </c>
      <c r="C24" s="45"/>
      <c r="D24" s="62"/>
      <c r="F24" s="45"/>
    </row>
    <row r="25" spans="1:6" ht="15" x14ac:dyDescent="0.25">
      <c r="A25" s="41">
        <f t="shared" si="0"/>
        <v>21</v>
      </c>
      <c r="B25" s="43" t="s">
        <v>107</v>
      </c>
      <c r="C25" s="51">
        <f>C23*-0.21</f>
        <v>190384.64370231607</v>
      </c>
      <c r="D25" s="62"/>
      <c r="E25" s="43" t="s">
        <v>54</v>
      </c>
      <c r="F25" s="46">
        <v>-1450587</v>
      </c>
    </row>
    <row r="26" spans="1:6" ht="15" x14ac:dyDescent="0.25">
      <c r="A26" s="41">
        <f t="shared" si="0"/>
        <v>22</v>
      </c>
      <c r="B26" s="43" t="s">
        <v>108</v>
      </c>
      <c r="C26" s="49">
        <v>-27312.842310000211</v>
      </c>
      <c r="D26" s="62"/>
      <c r="E26" s="43" t="s">
        <v>108</v>
      </c>
      <c r="F26" s="59">
        <v>27312.842310000211</v>
      </c>
    </row>
    <row r="27" spans="1:6" ht="15.75" thickBot="1" x14ac:dyDescent="0.3">
      <c r="A27" s="41">
        <f t="shared" si="0"/>
        <v>23</v>
      </c>
      <c r="B27" s="43" t="s">
        <v>109</v>
      </c>
      <c r="C27" s="59">
        <v>-56477.726801999961</v>
      </c>
      <c r="D27" s="62"/>
      <c r="E27" s="43" t="s">
        <v>125</v>
      </c>
      <c r="F27" s="65">
        <f>SUM(F23:F26)</f>
        <v>-516680.61625039938</v>
      </c>
    </row>
    <row r="28" spans="1:6" ht="15.75" thickBot="1" x14ac:dyDescent="0.3">
      <c r="A28" s="41">
        <f t="shared" si="0"/>
        <v>24</v>
      </c>
      <c r="B28" s="43" t="s">
        <v>123</v>
      </c>
      <c r="C28" s="64">
        <f>SUM(C23:C27)</f>
        <v>-799999.46684928448</v>
      </c>
      <c r="D28" s="62"/>
      <c r="E28" s="45"/>
      <c r="F28" s="45"/>
    </row>
    <row r="29" spans="1:6" ht="15" x14ac:dyDescent="0.25">
      <c r="C29" s="45"/>
      <c r="D29" s="46"/>
      <c r="E29" s="45"/>
      <c r="F29" s="45"/>
    </row>
    <row r="30" spans="1:6" ht="15" x14ac:dyDescent="0.25">
      <c r="C30" s="45"/>
      <c r="D30" s="46"/>
      <c r="E30" s="45"/>
      <c r="F30" s="45"/>
    </row>
    <row r="31" spans="1:6" ht="15" x14ac:dyDescent="0.25">
      <c r="C31" s="45"/>
      <c r="D31" s="46"/>
      <c r="E31" s="45"/>
      <c r="F31" s="45"/>
    </row>
    <row r="32" spans="1:6" ht="15" x14ac:dyDescent="0.25">
      <c r="C32" s="45"/>
      <c r="D32" s="46"/>
    </row>
    <row r="33" spans="3:5" ht="15" x14ac:dyDescent="0.25">
      <c r="C33" s="45"/>
      <c r="D33" s="46"/>
      <c r="E33" s="54"/>
    </row>
    <row r="34" spans="3:5" x14ac:dyDescent="0.2">
      <c r="E34" s="54"/>
    </row>
    <row r="36" spans="3:5" x14ac:dyDescent="0.2">
      <c r="D36" s="57"/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workbookViewId="0">
      <selection activeCell="E7" sqref="E7"/>
    </sheetView>
  </sheetViews>
  <sheetFormatPr defaultRowHeight="15" x14ac:dyDescent="0.25"/>
  <cols>
    <col min="1" max="1" width="36.42578125" bestFit="1" customWidth="1"/>
    <col min="2" max="2" width="9.140625" customWidth="1"/>
  </cols>
  <sheetData>
    <row r="3" spans="1:3" x14ac:dyDescent="0.25">
      <c r="B3" s="77" t="s">
        <v>1172</v>
      </c>
      <c r="C3" s="77"/>
    </row>
    <row r="4" spans="1:3" x14ac:dyDescent="0.25">
      <c r="A4" s="267" t="s">
        <v>146</v>
      </c>
      <c r="B4" s="267" t="s">
        <v>145</v>
      </c>
      <c r="C4" s="267" t="s">
        <v>196</v>
      </c>
    </row>
    <row r="5" spans="1:3" x14ac:dyDescent="0.25">
      <c r="A5" s="314"/>
      <c r="B5" s="313" t="s">
        <v>1174</v>
      </c>
      <c r="C5" s="313"/>
    </row>
    <row r="6" spans="1:3" x14ac:dyDescent="0.25">
      <c r="A6" s="8"/>
      <c r="B6" s="315"/>
      <c r="C6" s="315"/>
    </row>
    <row r="7" spans="1:3" x14ac:dyDescent="0.25">
      <c r="A7" t="s">
        <v>1170</v>
      </c>
      <c r="B7" s="316">
        <f>B15</f>
        <v>5.4399999999999995</v>
      </c>
      <c r="C7" s="316">
        <f>C15</f>
        <v>2.61</v>
      </c>
    </row>
    <row r="8" spans="1:3" x14ac:dyDescent="0.25">
      <c r="A8" t="s">
        <v>1180</v>
      </c>
      <c r="B8" s="319">
        <v>5.4</v>
      </c>
      <c r="C8" s="319">
        <v>2.6</v>
      </c>
    </row>
    <row r="9" spans="1:3" ht="15.75" thickBot="1" x14ac:dyDescent="0.3">
      <c r="A9" t="s">
        <v>1171</v>
      </c>
      <c r="B9" s="320">
        <f>B7-B8</f>
        <v>3.9999999999999147E-2</v>
      </c>
      <c r="C9" s="320">
        <f>C7-C8</f>
        <v>9.9999999999997868E-3</v>
      </c>
    </row>
    <row r="10" spans="1:3" ht="15.75" thickTop="1" x14ac:dyDescent="0.25"/>
    <row r="12" spans="1:3" x14ac:dyDescent="0.25">
      <c r="A12" t="s">
        <v>1175</v>
      </c>
      <c r="B12" s="311">
        <v>5.6</v>
      </c>
      <c r="C12" s="311">
        <v>2.9</v>
      </c>
    </row>
    <row r="13" spans="1:3" x14ac:dyDescent="0.25">
      <c r="A13" t="s">
        <v>1176</v>
      </c>
      <c r="B13" s="312">
        <f>-B22</f>
        <v>-0.16</v>
      </c>
      <c r="C13" s="312">
        <f>-C22</f>
        <v>-9.0000000000000011E-2</v>
      </c>
    </row>
    <row r="14" spans="1:3" x14ac:dyDescent="0.25">
      <c r="A14" t="s">
        <v>1173</v>
      </c>
      <c r="B14" s="312">
        <v>0</v>
      </c>
      <c r="C14" s="312">
        <v>-0.2</v>
      </c>
    </row>
    <row r="15" spans="1:3" x14ac:dyDescent="0.25">
      <c r="A15" t="s">
        <v>1170</v>
      </c>
      <c r="B15" s="321">
        <f>SUM(B12:B14)</f>
        <v>5.4399999999999995</v>
      </c>
      <c r="C15" s="321">
        <f>SUM(C12:C14)</f>
        <v>2.61</v>
      </c>
    </row>
    <row r="16" spans="1:3" x14ac:dyDescent="0.25">
      <c r="B16" s="275"/>
      <c r="C16" s="275"/>
    </row>
    <row r="17" spans="1:3" x14ac:dyDescent="0.25">
      <c r="B17" s="275"/>
      <c r="C17" s="275"/>
    </row>
    <row r="18" spans="1:3" x14ac:dyDescent="0.25">
      <c r="A18" t="s">
        <v>209</v>
      </c>
      <c r="B18" s="275"/>
      <c r="C18" s="275"/>
    </row>
    <row r="19" spans="1:3" x14ac:dyDescent="0.25">
      <c r="A19" s="263" t="s">
        <v>42</v>
      </c>
      <c r="B19" s="316">
        <f>ROUND((189877804+(64399744*0.6566))/1000000000,2)</f>
        <v>0.23</v>
      </c>
      <c r="C19" s="316">
        <f>ROUND((89478632+(64399744*0.3434))/1000000000,2)</f>
        <v>0.11</v>
      </c>
    </row>
    <row r="20" spans="1:3" x14ac:dyDescent="0.25">
      <c r="A20" s="263" t="s">
        <v>1177</v>
      </c>
      <c r="B20" s="317">
        <f>ROUND((-26696185+(-16310295*0.6566))/1000000000,2)</f>
        <v>-0.04</v>
      </c>
      <c r="C20" s="317">
        <f>ROUND((-7072171+(-16310295*0.3434))/1000000000,2)</f>
        <v>-0.01</v>
      </c>
    </row>
    <row r="21" spans="1:3" x14ac:dyDescent="0.25">
      <c r="A21" s="263" t="s">
        <v>1178</v>
      </c>
      <c r="B21" s="317">
        <f>ROUND((-22016498+(-(4702389+441145)*0.6566))/1000000000,2)</f>
        <v>-0.03</v>
      </c>
      <c r="C21" s="317">
        <f>ROUND((-10439154+(-(4702389+441145)*0.3434))/1000000000,2)</f>
        <v>-0.01</v>
      </c>
    </row>
    <row r="22" spans="1:3" x14ac:dyDescent="0.25">
      <c r="A22" s="2" t="s">
        <v>1179</v>
      </c>
      <c r="B22" s="318">
        <f t="shared" ref="B22:C22" si="0">SUM(B19:B21)</f>
        <v>0.16</v>
      </c>
      <c r="C22" s="318">
        <f t="shared" si="0"/>
        <v>9.0000000000000011E-2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showGridLines="0" tabSelected="1" workbookViewId="0">
      <selection activeCell="C32" sqref="C32"/>
    </sheetView>
  </sheetViews>
  <sheetFormatPr defaultColWidth="8.7109375" defaultRowHeight="15" x14ac:dyDescent="0.2"/>
  <cols>
    <col min="1" max="1" width="8.7109375" style="97"/>
    <col min="2" max="2" width="4.28515625" style="97" customWidth="1"/>
    <col min="3" max="3" width="23.85546875" style="97" customWidth="1"/>
    <col min="4" max="4" width="8.42578125" style="97" customWidth="1"/>
    <col min="5" max="6" width="12.28515625" style="97" bestFit="1" customWidth="1"/>
    <col min="7" max="7" width="12.85546875" style="97" bestFit="1" customWidth="1"/>
    <col min="8" max="10" width="12.28515625" style="97" bestFit="1" customWidth="1"/>
    <col min="11" max="11" width="8.7109375" style="97"/>
    <col min="12" max="12" width="3.85546875" style="97" customWidth="1"/>
    <col min="13" max="13" width="25" style="97" customWidth="1"/>
    <col min="14" max="14" width="8.7109375" style="97"/>
    <col min="15" max="15" width="12" style="97" bestFit="1" customWidth="1"/>
    <col min="16" max="16" width="12.28515625" style="97" bestFit="1" customWidth="1"/>
    <col min="17" max="17" width="12.85546875" style="97" bestFit="1" customWidth="1"/>
    <col min="18" max="18" width="12" style="97" bestFit="1" customWidth="1"/>
    <col min="19" max="19" width="12.28515625" style="97" bestFit="1" customWidth="1"/>
    <col min="20" max="20" width="21" style="97" bestFit="1" customWidth="1"/>
    <col min="21" max="16384" width="8.7109375" style="97"/>
  </cols>
  <sheetData>
    <row r="1" spans="2:20" ht="54" customHeight="1" x14ac:dyDescent="0.2">
      <c r="B1" s="340" t="s">
        <v>1186</v>
      </c>
      <c r="C1" s="340"/>
      <c r="D1" s="340"/>
      <c r="E1" s="340"/>
      <c r="F1" s="340"/>
      <c r="G1" s="340"/>
      <c r="H1" s="340"/>
      <c r="I1" s="340"/>
      <c r="J1" s="340"/>
      <c r="L1" s="340" t="s">
        <v>1187</v>
      </c>
      <c r="M1" s="340"/>
      <c r="N1" s="340"/>
      <c r="O1" s="340"/>
      <c r="P1" s="340"/>
      <c r="Q1" s="340"/>
      <c r="R1" s="340"/>
      <c r="S1" s="340"/>
      <c r="T1" s="340"/>
    </row>
    <row r="2" spans="2:20" x14ac:dyDescent="0.2">
      <c r="B2" s="147"/>
      <c r="C2" s="146"/>
      <c r="D2" s="145"/>
      <c r="E2" s="147"/>
      <c r="F2" s="146"/>
      <c r="G2" s="145"/>
      <c r="H2" s="147"/>
      <c r="I2" s="146"/>
      <c r="J2" s="145"/>
      <c r="L2" s="147"/>
      <c r="M2" s="146"/>
      <c r="N2" s="145"/>
      <c r="O2" s="147"/>
      <c r="P2" s="146"/>
      <c r="Q2" s="145"/>
      <c r="R2" s="147"/>
      <c r="S2" s="146"/>
      <c r="T2" s="145"/>
    </row>
    <row r="3" spans="2:20" ht="15.75" x14ac:dyDescent="0.25">
      <c r="B3" s="132" t="s">
        <v>149</v>
      </c>
      <c r="C3" s="131"/>
      <c r="D3" s="110"/>
      <c r="E3" s="144" t="s">
        <v>145</v>
      </c>
      <c r="F3" s="143"/>
      <c r="G3" s="142"/>
      <c r="H3" s="144" t="s">
        <v>152</v>
      </c>
      <c r="I3" s="143"/>
      <c r="J3" s="142"/>
      <c r="L3" s="132" t="s">
        <v>149</v>
      </c>
      <c r="M3" s="131"/>
      <c r="N3" s="110"/>
      <c r="O3" s="144" t="s">
        <v>145</v>
      </c>
      <c r="P3" s="143"/>
      <c r="Q3" s="142"/>
      <c r="R3" s="144" t="s">
        <v>152</v>
      </c>
      <c r="S3" s="143"/>
      <c r="T3" s="142"/>
    </row>
    <row r="4" spans="2:20" ht="15.75" x14ac:dyDescent="0.25">
      <c r="B4" s="132"/>
      <c r="C4" s="131"/>
      <c r="D4" s="110"/>
      <c r="E4" s="141"/>
      <c r="F4" s="140"/>
      <c r="G4" s="139" t="s">
        <v>150</v>
      </c>
      <c r="H4" s="141"/>
      <c r="I4" s="140"/>
      <c r="J4" s="139" t="s">
        <v>150</v>
      </c>
      <c r="L4" s="132"/>
      <c r="M4" s="131"/>
      <c r="N4" s="110"/>
      <c r="O4" s="141"/>
      <c r="P4" s="140"/>
      <c r="Q4" s="139" t="s">
        <v>150</v>
      </c>
      <c r="R4" s="141"/>
      <c r="S4" s="140"/>
      <c r="T4" s="139" t="s">
        <v>150</v>
      </c>
    </row>
    <row r="5" spans="2:20" ht="15.75" x14ac:dyDescent="0.25">
      <c r="B5" s="138" t="s">
        <v>146</v>
      </c>
      <c r="C5" s="137"/>
      <c r="D5" s="136"/>
      <c r="E5" s="135" t="s">
        <v>164</v>
      </c>
      <c r="F5" s="134" t="s">
        <v>148</v>
      </c>
      <c r="G5" s="133" t="s">
        <v>151</v>
      </c>
      <c r="H5" s="135" t="s">
        <v>164</v>
      </c>
      <c r="I5" s="134" t="s">
        <v>148</v>
      </c>
      <c r="J5" s="133" t="s">
        <v>151</v>
      </c>
      <c r="L5" s="138" t="s">
        <v>146</v>
      </c>
      <c r="M5" s="137"/>
      <c r="N5" s="136"/>
      <c r="O5" s="135" t="s">
        <v>164</v>
      </c>
      <c r="P5" s="134" t="s">
        <v>148</v>
      </c>
      <c r="Q5" s="133" t="s">
        <v>151</v>
      </c>
      <c r="R5" s="135" t="s">
        <v>164</v>
      </c>
      <c r="S5" s="134" t="s">
        <v>148</v>
      </c>
      <c r="T5" s="133" t="s">
        <v>151</v>
      </c>
    </row>
    <row r="6" spans="2:20" x14ac:dyDescent="0.2">
      <c r="B6" s="132"/>
      <c r="C6" s="176" t="s">
        <v>184</v>
      </c>
      <c r="D6" s="110"/>
      <c r="E6" s="177" t="s">
        <v>185</v>
      </c>
      <c r="F6" s="176" t="s">
        <v>186</v>
      </c>
      <c r="G6" s="178" t="s">
        <v>187</v>
      </c>
      <c r="H6" s="177" t="s">
        <v>188</v>
      </c>
      <c r="I6" s="176" t="s">
        <v>189</v>
      </c>
      <c r="J6" s="178" t="s">
        <v>190</v>
      </c>
      <c r="L6" s="132"/>
      <c r="M6" s="176" t="s">
        <v>184</v>
      </c>
      <c r="N6" s="110"/>
      <c r="O6" s="177" t="s">
        <v>185</v>
      </c>
      <c r="P6" s="176" t="s">
        <v>186</v>
      </c>
      <c r="Q6" s="178" t="s">
        <v>187</v>
      </c>
      <c r="R6" s="177" t="s">
        <v>188</v>
      </c>
      <c r="S6" s="176" t="s">
        <v>189</v>
      </c>
      <c r="T6" s="178" t="s">
        <v>190</v>
      </c>
    </row>
    <row r="7" spans="2:20" x14ac:dyDescent="0.2">
      <c r="B7" s="132"/>
      <c r="C7" s="131"/>
      <c r="D7" s="110"/>
      <c r="E7" s="132"/>
      <c r="F7" s="131"/>
      <c r="G7" s="110"/>
      <c r="H7" s="132"/>
      <c r="I7" s="131"/>
      <c r="J7" s="110"/>
      <c r="L7" s="132"/>
      <c r="M7" s="131"/>
      <c r="N7" s="110"/>
      <c r="O7" s="132"/>
      <c r="P7" s="131"/>
      <c r="Q7" s="110"/>
      <c r="R7" s="132"/>
      <c r="S7" s="131"/>
      <c r="T7" s="110"/>
    </row>
    <row r="8" spans="2:20" x14ac:dyDescent="0.2">
      <c r="B8" s="112">
        <v>1</v>
      </c>
      <c r="C8" s="111" t="s">
        <v>147</v>
      </c>
      <c r="D8" s="110"/>
      <c r="E8" s="109">
        <f>'Rev Req Comparison'!C14/1000000</f>
        <v>466.84355872516949</v>
      </c>
      <c r="F8" s="108">
        <f>'Rev Req Comparison'!D14/1000000</f>
        <v>478.25976407488321</v>
      </c>
      <c r="G8" s="107">
        <f t="shared" ref="G8:G16" si="0">F8-E8</f>
        <v>11.416205349713721</v>
      </c>
      <c r="H8" s="109">
        <f>'Rev Req Comparison'!H14/1000000</f>
        <v>263.91634405486457</v>
      </c>
      <c r="I8" s="108">
        <f>'Rev Req Comparison'!I14/1000000</f>
        <v>236.26650733030931</v>
      </c>
      <c r="J8" s="107">
        <f t="shared" ref="J8:J16" si="1">I8-H8</f>
        <v>-27.649836724555257</v>
      </c>
      <c r="L8" s="112">
        <v>1</v>
      </c>
      <c r="M8" s="111" t="s">
        <v>147</v>
      </c>
      <c r="N8" s="110"/>
      <c r="O8" s="109">
        <f>E8</f>
        <v>466.84355872516949</v>
      </c>
      <c r="P8" s="108">
        <f>F8</f>
        <v>478.25976407488321</v>
      </c>
      <c r="Q8" s="107">
        <f t="shared" ref="Q8:Q16" si="2">P8-O8</f>
        <v>11.416205349713721</v>
      </c>
      <c r="R8" s="109">
        <f t="shared" ref="R8:S9" si="3">H8</f>
        <v>263.91634405486457</v>
      </c>
      <c r="S8" s="108">
        <f t="shared" si="3"/>
        <v>236.26650733030931</v>
      </c>
      <c r="T8" s="107">
        <f t="shared" ref="T8:T16" si="4">S8-R8</f>
        <v>-27.649836724555257</v>
      </c>
    </row>
    <row r="9" spans="2:20" x14ac:dyDescent="0.2">
      <c r="B9" s="112">
        <f>B8+1</f>
        <v>2</v>
      </c>
      <c r="C9" s="111" t="s">
        <v>155</v>
      </c>
      <c r="D9" s="110"/>
      <c r="E9" s="130">
        <f>'SEF-23'!D10</f>
        <v>7.1599999999999997E-2</v>
      </c>
      <c r="F9" s="129">
        <f>E9</f>
        <v>7.1599999999999997E-2</v>
      </c>
      <c r="G9" s="126">
        <f t="shared" si="0"/>
        <v>0</v>
      </c>
      <c r="H9" s="128">
        <f>'SEF-24'!D10</f>
        <v>7.1599999999999997E-2</v>
      </c>
      <c r="I9" s="127">
        <f>H9</f>
        <v>7.1599999999999997E-2</v>
      </c>
      <c r="J9" s="126">
        <f t="shared" si="1"/>
        <v>0</v>
      </c>
      <c r="L9" s="112">
        <f>L8+1</f>
        <v>2</v>
      </c>
      <c r="M9" s="111" t="s">
        <v>155</v>
      </c>
      <c r="N9" s="110"/>
      <c r="O9" s="130">
        <f t="shared" ref="O9:Q9" si="5">E9</f>
        <v>7.1599999999999997E-2</v>
      </c>
      <c r="P9" s="129">
        <f t="shared" si="5"/>
        <v>7.1599999999999997E-2</v>
      </c>
      <c r="Q9" s="126">
        <f t="shared" si="5"/>
        <v>0</v>
      </c>
      <c r="R9" s="128">
        <f t="shared" si="3"/>
        <v>7.1599999999999997E-2</v>
      </c>
      <c r="S9" s="127">
        <f t="shared" si="3"/>
        <v>7.1599999999999997E-2</v>
      </c>
      <c r="T9" s="126">
        <f t="shared" ref="T9" si="6">J9</f>
        <v>0</v>
      </c>
    </row>
    <row r="10" spans="2:20" x14ac:dyDescent="0.2">
      <c r="B10" s="112">
        <f t="shared" ref="B10:B23" si="7">B9+1</f>
        <v>3</v>
      </c>
      <c r="C10" s="111" t="s">
        <v>157</v>
      </c>
      <c r="D10" s="110"/>
      <c r="E10" s="122">
        <f>E8*E9</f>
        <v>33.425998804722134</v>
      </c>
      <c r="F10" s="121">
        <f>F8*F9</f>
        <v>34.24339910776164</v>
      </c>
      <c r="G10" s="120">
        <f t="shared" si="0"/>
        <v>0.81740030303950562</v>
      </c>
      <c r="H10" s="122">
        <f>H8*H9</f>
        <v>18.896410234328304</v>
      </c>
      <c r="I10" s="121">
        <f>I8*I9</f>
        <v>16.916681924850145</v>
      </c>
      <c r="J10" s="120">
        <f t="shared" si="1"/>
        <v>-1.9797283094781584</v>
      </c>
      <c r="L10" s="112">
        <f t="shared" ref="L10:L23" si="8">L9+1</f>
        <v>3</v>
      </c>
      <c r="M10" s="111" t="s">
        <v>157</v>
      </c>
      <c r="N10" s="110"/>
      <c r="O10" s="122">
        <f>O8*O9</f>
        <v>33.425998804722134</v>
      </c>
      <c r="P10" s="121">
        <f>P8*P9</f>
        <v>34.24339910776164</v>
      </c>
      <c r="Q10" s="120">
        <f t="shared" si="2"/>
        <v>0.81740030303950562</v>
      </c>
      <c r="R10" s="122">
        <f>R8*R9</f>
        <v>18.896410234328304</v>
      </c>
      <c r="S10" s="121">
        <f>S8*S9</f>
        <v>16.916681924850145</v>
      </c>
      <c r="T10" s="120">
        <f t="shared" si="4"/>
        <v>-1.9797283094781584</v>
      </c>
    </row>
    <row r="11" spans="2:20" x14ac:dyDescent="0.2">
      <c r="B11" s="112">
        <f t="shared" si="7"/>
        <v>4</v>
      </c>
      <c r="C11" s="111" t="s">
        <v>65</v>
      </c>
      <c r="D11" s="110"/>
      <c r="E11" s="122">
        <f>-('Rev Req Comparison'!C17+'Rev Req Comparison'!C19)/1000000</f>
        <v>7.0565418188559992</v>
      </c>
      <c r="F11" s="121">
        <f>-('Rev Req Comparison'!D17+'Rev Req Comparison'!D19)/1000000</f>
        <v>9.308284177694965</v>
      </c>
      <c r="G11" s="120">
        <f t="shared" si="0"/>
        <v>2.2517423588389658</v>
      </c>
      <c r="H11" s="122">
        <f>-('Rev Req Comparison'!H17+'Rev Req Comparison'!H19)/1000000</f>
        <v>4.5628462311439995</v>
      </c>
      <c r="I11" s="121">
        <f>-('Rev Req Comparison'!I17+'Rev Req Comparison'!I19)/1000000</f>
        <v>4.0011669407067245</v>
      </c>
      <c r="J11" s="120">
        <f t="shared" si="1"/>
        <v>-0.56167929043727494</v>
      </c>
      <c r="L11" s="112">
        <f t="shared" si="8"/>
        <v>4</v>
      </c>
      <c r="M11" s="111" t="s">
        <v>65</v>
      </c>
      <c r="N11" s="110"/>
      <c r="O11" s="122">
        <f t="shared" ref="O11:O12" si="9">E11</f>
        <v>7.0565418188559992</v>
      </c>
      <c r="P11" s="121">
        <f t="shared" ref="P11:P12" si="10">F11</f>
        <v>9.308284177694965</v>
      </c>
      <c r="Q11" s="120">
        <f t="shared" ref="Q11:Q12" si="11">G11</f>
        <v>2.2517423588389658</v>
      </c>
      <c r="R11" s="122">
        <f t="shared" ref="R11:R12" si="12">H11</f>
        <v>4.5628462311439995</v>
      </c>
      <c r="S11" s="121">
        <f t="shared" ref="S11:S12" si="13">I11</f>
        <v>4.0011669407067245</v>
      </c>
      <c r="T11" s="120">
        <f t="shared" ref="T11:T12" si="14">J11</f>
        <v>-0.56167929043727494</v>
      </c>
    </row>
    <row r="12" spans="2:20" x14ac:dyDescent="0.2">
      <c r="B12" s="112">
        <f t="shared" si="7"/>
        <v>5</v>
      </c>
      <c r="C12" s="111" t="s">
        <v>153</v>
      </c>
      <c r="D12" s="110"/>
      <c r="E12" s="125">
        <f>-('Rev Req Comparison'!C18+'Rev Req Comparison'!C20+'Rev Req Comparison'!C23)/1000000</f>
        <v>-4.2311015344642833</v>
      </c>
      <c r="F12" s="124">
        <f>-('Rev Req Comparison'!D18+'Rev Req Comparison'!D20+'Rev Req Comparison'!D23)/1000000</f>
        <v>-5.7451332326748261</v>
      </c>
      <c r="G12" s="123">
        <f t="shared" si="0"/>
        <v>-1.5140316982105428</v>
      </c>
      <c r="H12" s="125">
        <f>-('Rev Req Comparison'!H18+'Rev Req Comparison'!H20+'Rev Req Comparison'!H23)/1000000</f>
        <v>-2.7099425692228016</v>
      </c>
      <c r="I12" s="124">
        <f>-('Rev Req Comparison'!I18+'Rev Req Comparison'!I20+'Rev Req Comparison'!I23)/1000000</f>
        <v>-2.4024309225948501</v>
      </c>
      <c r="J12" s="123">
        <f t="shared" si="1"/>
        <v>0.3075116466279515</v>
      </c>
      <c r="L12" s="112">
        <f t="shared" si="8"/>
        <v>5</v>
      </c>
      <c r="M12" s="111" t="s">
        <v>153</v>
      </c>
      <c r="N12" s="110"/>
      <c r="O12" s="125">
        <f t="shared" si="9"/>
        <v>-4.2311015344642833</v>
      </c>
      <c r="P12" s="124">
        <f t="shared" si="10"/>
        <v>-5.7451332326748261</v>
      </c>
      <c r="Q12" s="123">
        <f t="shared" si="11"/>
        <v>-1.5140316982105428</v>
      </c>
      <c r="R12" s="125">
        <f t="shared" si="12"/>
        <v>-2.7099425692228016</v>
      </c>
      <c r="S12" s="124">
        <f t="shared" si="13"/>
        <v>-2.4024309225948501</v>
      </c>
      <c r="T12" s="123">
        <f t="shared" si="14"/>
        <v>0.3075116466279515</v>
      </c>
    </row>
    <row r="13" spans="2:20" x14ac:dyDescent="0.2">
      <c r="B13" s="112">
        <f t="shared" si="7"/>
        <v>6</v>
      </c>
      <c r="C13" s="111" t="s">
        <v>154</v>
      </c>
      <c r="D13" s="110"/>
      <c r="E13" s="122">
        <f>SUM(E11:E12)</f>
        <v>2.8254402843917159</v>
      </c>
      <c r="F13" s="121">
        <f>SUM(F11:F12)</f>
        <v>3.5631509450201388</v>
      </c>
      <c r="G13" s="120">
        <f t="shared" si="0"/>
        <v>0.73771066062842294</v>
      </c>
      <c r="H13" s="122">
        <f>SUM(H11:H12)</f>
        <v>1.8529036619211978</v>
      </c>
      <c r="I13" s="121">
        <f>SUM(I11:I12)</f>
        <v>1.5987360181118744</v>
      </c>
      <c r="J13" s="120">
        <f t="shared" si="1"/>
        <v>-0.25416764380932344</v>
      </c>
      <c r="L13" s="112">
        <f t="shared" si="8"/>
        <v>6</v>
      </c>
      <c r="M13" s="111" t="s">
        <v>154</v>
      </c>
      <c r="N13" s="110"/>
      <c r="O13" s="122">
        <f>SUM(O11:O12)</f>
        <v>2.8254402843917159</v>
      </c>
      <c r="P13" s="121">
        <f>SUM(P11:P12)</f>
        <v>3.5631509450201388</v>
      </c>
      <c r="Q13" s="120">
        <f t="shared" si="2"/>
        <v>0.73771066062842294</v>
      </c>
      <c r="R13" s="122">
        <f>SUM(R11:R12)</f>
        <v>1.8529036619211978</v>
      </c>
      <c r="S13" s="121">
        <f>SUM(S11:S12)</f>
        <v>1.5987360181118744</v>
      </c>
      <c r="T13" s="120">
        <f t="shared" si="4"/>
        <v>-0.25416764380932344</v>
      </c>
    </row>
    <row r="14" spans="2:20" x14ac:dyDescent="0.2">
      <c r="B14" s="112">
        <f t="shared" si="7"/>
        <v>7</v>
      </c>
      <c r="C14" s="111" t="s">
        <v>158</v>
      </c>
      <c r="D14" s="110"/>
      <c r="E14" s="122">
        <f>E10+E13</f>
        <v>36.251439089113852</v>
      </c>
      <c r="F14" s="121">
        <f>F10+F13</f>
        <v>37.80655005278178</v>
      </c>
      <c r="G14" s="120">
        <f t="shared" si="0"/>
        <v>1.5551109636679286</v>
      </c>
      <c r="H14" s="122">
        <f>H10+H13</f>
        <v>20.7493138962495</v>
      </c>
      <c r="I14" s="121">
        <f>I10+I13</f>
        <v>18.515417942962021</v>
      </c>
      <c r="J14" s="120">
        <f t="shared" si="1"/>
        <v>-2.2338959532874796</v>
      </c>
      <c r="L14" s="112">
        <f t="shared" si="8"/>
        <v>7</v>
      </c>
      <c r="M14" s="111" t="s">
        <v>158</v>
      </c>
      <c r="N14" s="110"/>
      <c r="O14" s="122">
        <f>O10+O13</f>
        <v>36.251439089113852</v>
      </c>
      <c r="P14" s="121">
        <f>P10+P13</f>
        <v>37.80655005278178</v>
      </c>
      <c r="Q14" s="120">
        <f t="shared" si="2"/>
        <v>1.5551109636679286</v>
      </c>
      <c r="R14" s="122">
        <f>R10+R13</f>
        <v>20.7493138962495</v>
      </c>
      <c r="S14" s="121">
        <f>S10+S13</f>
        <v>18.515417942962021</v>
      </c>
      <c r="T14" s="120">
        <f t="shared" si="4"/>
        <v>-2.2338959532874796</v>
      </c>
    </row>
    <row r="15" spans="2:20" x14ac:dyDescent="0.2">
      <c r="B15" s="112">
        <f t="shared" si="7"/>
        <v>8</v>
      </c>
      <c r="C15" s="111" t="s">
        <v>156</v>
      </c>
      <c r="D15" s="110"/>
      <c r="E15" s="119">
        <f>'Rev Req Comparison'!C34</f>
        <v>0.752355</v>
      </c>
      <c r="F15" s="118">
        <f>E15</f>
        <v>0.752355</v>
      </c>
      <c r="G15" s="117">
        <f t="shared" si="0"/>
        <v>0</v>
      </c>
      <c r="H15" s="119">
        <f>'Rev Req Comparison'!H34</f>
        <v>0.75480100000000006</v>
      </c>
      <c r="I15" s="118">
        <f>H15</f>
        <v>0.75480100000000006</v>
      </c>
      <c r="J15" s="117">
        <f t="shared" si="1"/>
        <v>0</v>
      </c>
      <c r="L15" s="112">
        <f t="shared" si="8"/>
        <v>8</v>
      </c>
      <c r="M15" s="111" t="s">
        <v>156</v>
      </c>
      <c r="N15" s="110"/>
      <c r="O15" s="119">
        <f t="shared" ref="O15:T15" si="15">E15</f>
        <v>0.752355</v>
      </c>
      <c r="P15" s="118">
        <f t="shared" si="15"/>
        <v>0.752355</v>
      </c>
      <c r="Q15" s="117">
        <f t="shared" si="15"/>
        <v>0</v>
      </c>
      <c r="R15" s="119">
        <f t="shared" si="15"/>
        <v>0.75480100000000006</v>
      </c>
      <c r="S15" s="118">
        <f t="shared" si="15"/>
        <v>0.75480100000000006</v>
      </c>
      <c r="T15" s="117">
        <f t="shared" si="15"/>
        <v>0</v>
      </c>
    </row>
    <row r="16" spans="2:20" ht="15.75" thickBot="1" x14ac:dyDescent="0.25">
      <c r="B16" s="112">
        <f t="shared" si="7"/>
        <v>9</v>
      </c>
      <c r="C16" s="111" t="s">
        <v>159</v>
      </c>
      <c r="D16" s="110"/>
      <c r="E16" s="116">
        <f>E14/E15</f>
        <v>48.183954501683182</v>
      </c>
      <c r="F16" s="115">
        <f>F14/F15</f>
        <v>50.250945435043008</v>
      </c>
      <c r="G16" s="114">
        <f t="shared" si="0"/>
        <v>2.0669909333598255</v>
      </c>
      <c r="H16" s="116">
        <f>ROUNDUP(H14/H15,1)</f>
        <v>27.5</v>
      </c>
      <c r="I16" s="115">
        <f>I14/I15</f>
        <v>24.530197950137875</v>
      </c>
      <c r="J16" s="114">
        <f t="shared" si="1"/>
        <v>-2.9698020498621247</v>
      </c>
      <c r="L16" s="112">
        <f t="shared" si="8"/>
        <v>9</v>
      </c>
      <c r="M16" s="111" t="s">
        <v>159</v>
      </c>
      <c r="N16" s="110"/>
      <c r="O16" s="116">
        <f>O14/O15</f>
        <v>48.183954501683182</v>
      </c>
      <c r="P16" s="115">
        <f>P14/P15</f>
        <v>50.250945435043008</v>
      </c>
      <c r="Q16" s="114">
        <f t="shared" si="2"/>
        <v>2.0669909333598255</v>
      </c>
      <c r="R16" s="116">
        <f>ROUNDUP(R14/R15,1)</f>
        <v>27.5</v>
      </c>
      <c r="S16" s="115">
        <f>S14/S15</f>
        <v>24.530197950137875</v>
      </c>
      <c r="T16" s="114">
        <f t="shared" si="4"/>
        <v>-2.9698020498621247</v>
      </c>
    </row>
    <row r="17" spans="2:20" ht="15.75" thickTop="1" x14ac:dyDescent="0.2">
      <c r="B17" s="112">
        <f t="shared" si="7"/>
        <v>10</v>
      </c>
      <c r="C17" s="111" t="s">
        <v>183</v>
      </c>
      <c r="D17" s="110"/>
      <c r="E17" s="109"/>
      <c r="F17" s="108"/>
      <c r="G17" s="175" t="s">
        <v>182</v>
      </c>
      <c r="H17" s="109"/>
      <c r="I17" s="108"/>
      <c r="J17" s="107">
        <f>J23</f>
        <v>-2.2157721263018244</v>
      </c>
      <c r="L17" s="112">
        <f t="shared" si="8"/>
        <v>10</v>
      </c>
      <c r="M17" s="111" t="s">
        <v>183</v>
      </c>
      <c r="N17" s="110"/>
      <c r="O17" s="109"/>
      <c r="P17" s="108"/>
      <c r="Q17" s="175" t="s">
        <v>182</v>
      </c>
      <c r="R17" s="109"/>
      <c r="S17" s="108"/>
      <c r="T17" s="107">
        <f>T23</f>
        <v>-1.5650913772657249</v>
      </c>
    </row>
    <row r="18" spans="2:20" x14ac:dyDescent="0.2">
      <c r="B18" s="179">
        <f t="shared" si="7"/>
        <v>11</v>
      </c>
      <c r="C18" s="180" t="s">
        <v>192</v>
      </c>
      <c r="D18" s="181"/>
      <c r="E18" s="182"/>
      <c r="F18" s="183"/>
      <c r="G18" s="184" t="s">
        <v>182</v>
      </c>
      <c r="H18" s="182"/>
      <c r="I18" s="183"/>
      <c r="J18" s="341">
        <f>J16-J17</f>
        <v>-0.7540299235603003</v>
      </c>
      <c r="L18" s="179">
        <f t="shared" si="8"/>
        <v>11</v>
      </c>
      <c r="M18" s="180" t="s">
        <v>192</v>
      </c>
      <c r="N18" s="181"/>
      <c r="O18" s="182"/>
      <c r="P18" s="183"/>
      <c r="Q18" s="184" t="s">
        <v>182</v>
      </c>
      <c r="R18" s="182"/>
      <c r="S18" s="183"/>
      <c r="T18" s="342">
        <f>T16-T17</f>
        <v>-1.4047106725963998</v>
      </c>
    </row>
    <row r="19" spans="2:20" x14ac:dyDescent="0.2">
      <c r="B19" s="112">
        <f t="shared" si="7"/>
        <v>12</v>
      </c>
      <c r="C19" s="111"/>
      <c r="D19" s="110"/>
      <c r="E19" s="109"/>
      <c r="F19" s="108"/>
      <c r="G19" s="107"/>
      <c r="H19" s="109"/>
      <c r="I19" s="108"/>
      <c r="J19" s="107"/>
      <c r="L19" s="112">
        <f t="shared" si="8"/>
        <v>12</v>
      </c>
      <c r="M19" s="111"/>
      <c r="N19" s="110"/>
      <c r="O19" s="109"/>
      <c r="P19" s="108"/>
      <c r="Q19" s="107"/>
      <c r="R19" s="109"/>
      <c r="S19" s="108"/>
      <c r="T19" s="107"/>
    </row>
    <row r="20" spans="2:20" x14ac:dyDescent="0.2">
      <c r="B20" s="112">
        <f t="shared" si="7"/>
        <v>13</v>
      </c>
      <c r="C20" s="113" t="s">
        <v>163</v>
      </c>
      <c r="D20" s="110"/>
      <c r="E20" s="109"/>
      <c r="F20" s="108"/>
      <c r="G20" s="107"/>
      <c r="H20" s="109"/>
      <c r="I20" s="108"/>
      <c r="J20" s="107"/>
      <c r="L20" s="112">
        <f t="shared" si="8"/>
        <v>13</v>
      </c>
      <c r="M20" s="113" t="s">
        <v>163</v>
      </c>
      <c r="N20" s="110"/>
      <c r="O20" s="109"/>
      <c r="P20" s="108"/>
      <c r="Q20" s="107"/>
      <c r="R20" s="109"/>
      <c r="S20" s="108"/>
      <c r="T20" s="107"/>
    </row>
    <row r="21" spans="2:20" x14ac:dyDescent="0.2">
      <c r="B21" s="334">
        <f t="shared" si="7"/>
        <v>14</v>
      </c>
      <c r="C21" s="335" t="s">
        <v>162</v>
      </c>
      <c r="D21" s="336"/>
      <c r="E21" s="337"/>
      <c r="F21" s="338"/>
      <c r="G21" s="339">
        <f>'SEF-23'!D13/1000000</f>
        <v>682.03640407630314</v>
      </c>
      <c r="H21" s="337"/>
      <c r="I21" s="338"/>
      <c r="J21" s="339">
        <f>'SEF-24'!D13/1000000</f>
        <v>334.4934033409487</v>
      </c>
      <c r="L21" s="334">
        <f t="shared" si="8"/>
        <v>14</v>
      </c>
      <c r="M21" s="335" t="s">
        <v>162</v>
      </c>
      <c r="N21" s="336"/>
      <c r="O21" s="337"/>
      <c r="P21" s="338"/>
      <c r="Q21" s="339">
        <f>P8</f>
        <v>478.25976407488321</v>
      </c>
      <c r="R21" s="337"/>
      <c r="S21" s="338"/>
      <c r="T21" s="339">
        <f>S8</f>
        <v>236.26650733030931</v>
      </c>
    </row>
    <row r="22" spans="2:20" x14ac:dyDescent="0.2">
      <c r="B22" s="112">
        <f t="shared" si="7"/>
        <v>15</v>
      </c>
      <c r="C22" s="111" t="s">
        <v>161</v>
      </c>
      <c r="D22" s="110"/>
      <c r="F22" s="108"/>
      <c r="G22" s="96">
        <v>5.0000000000000001E-3</v>
      </c>
      <c r="I22" s="108"/>
      <c r="J22" s="96">
        <f>G22</f>
        <v>5.0000000000000001E-3</v>
      </c>
      <c r="L22" s="112">
        <f t="shared" si="8"/>
        <v>15</v>
      </c>
      <c r="M22" s="111" t="s">
        <v>161</v>
      </c>
      <c r="N22" s="110"/>
      <c r="P22" s="108"/>
      <c r="Q22" s="96">
        <v>5.0000000000000001E-3</v>
      </c>
      <c r="S22" s="108"/>
      <c r="T22" s="96">
        <f>Q22</f>
        <v>5.0000000000000001E-3</v>
      </c>
    </row>
    <row r="23" spans="2:20" x14ac:dyDescent="0.2">
      <c r="B23" s="112">
        <f t="shared" si="7"/>
        <v>16</v>
      </c>
      <c r="C23" s="111" t="s">
        <v>191</v>
      </c>
      <c r="D23" s="110"/>
      <c r="F23" s="108"/>
      <c r="G23" s="107">
        <f>-G21*G22/E15</f>
        <v>-4.5326767554964293</v>
      </c>
      <c r="I23" s="108"/>
      <c r="J23" s="107">
        <f>-J21*J22/H15</f>
        <v>-2.2157721263018244</v>
      </c>
      <c r="L23" s="112">
        <f t="shared" si="8"/>
        <v>16</v>
      </c>
      <c r="M23" s="111" t="s">
        <v>191</v>
      </c>
      <c r="N23" s="110"/>
      <c r="P23" s="108"/>
      <c r="Q23" s="107">
        <f>-Q21*Q22/O15</f>
        <v>-3.1784181940366127</v>
      </c>
      <c r="S23" s="108"/>
      <c r="T23" s="107">
        <f>-T21*T22/R15</f>
        <v>-1.5650913772657249</v>
      </c>
    </row>
    <row r="24" spans="2:20" x14ac:dyDescent="0.2">
      <c r="B24" s="106"/>
      <c r="C24" s="105"/>
      <c r="D24" s="104"/>
      <c r="E24" s="103"/>
      <c r="F24" s="102"/>
      <c r="G24" s="322"/>
      <c r="H24" s="103"/>
      <c r="I24" s="102"/>
      <c r="J24" s="322"/>
      <c r="L24" s="106"/>
      <c r="M24" s="105"/>
      <c r="N24" s="104"/>
      <c r="O24" s="103"/>
      <c r="P24" s="102"/>
      <c r="Q24" s="322"/>
      <c r="R24" s="103"/>
      <c r="S24" s="102"/>
      <c r="T24" s="322"/>
    </row>
    <row r="25" spans="2:20" x14ac:dyDescent="0.2">
      <c r="E25" s="98"/>
      <c r="F25" s="98"/>
      <c r="G25" s="98"/>
      <c r="H25" s="98"/>
      <c r="I25" s="98"/>
      <c r="J25" s="98"/>
    </row>
    <row r="26" spans="2:20" x14ac:dyDescent="0.2">
      <c r="E26" s="98"/>
      <c r="F26" s="98"/>
      <c r="G26" s="98"/>
      <c r="H26" s="98"/>
      <c r="I26" s="98"/>
      <c r="J26" s="98"/>
    </row>
    <row r="27" spans="2:20" x14ac:dyDescent="0.2">
      <c r="E27" s="98"/>
      <c r="F27" s="98"/>
      <c r="G27" s="98"/>
      <c r="H27" s="98"/>
      <c r="I27" s="98"/>
      <c r="J27" s="98"/>
    </row>
    <row r="28" spans="2:20" x14ac:dyDescent="0.2">
      <c r="D28" s="101" t="s">
        <v>160</v>
      </c>
      <c r="E28" s="100">
        <f>'Rev Req Comparison'!C29/1000000-E16</f>
        <v>0</v>
      </c>
      <c r="F28" s="100">
        <f>'Rev Req Comparison'!D29/1000000-F16</f>
        <v>0</v>
      </c>
      <c r="G28" s="100">
        <f>'Rev Req Comparison'!E29/1000000-G16</f>
        <v>0</v>
      </c>
      <c r="H28" s="100">
        <f>'Rev Req Comparison'!H29/1000000-H16</f>
        <v>-1.0219387296128701E-2</v>
      </c>
      <c r="I28" s="100">
        <f>'Rev Req Comparison'!I29/1000000-I16</f>
        <v>0</v>
      </c>
      <c r="J28" s="99">
        <f>'Rev Req Comparison'!J29/1000000-J16</f>
        <v>1.021938729612426E-2</v>
      </c>
    </row>
    <row r="29" spans="2:20" x14ac:dyDescent="0.2">
      <c r="E29" s="98"/>
      <c r="F29" s="98"/>
      <c r="G29" s="98"/>
      <c r="H29" s="98"/>
      <c r="I29" s="98"/>
      <c r="J29" s="98"/>
    </row>
    <row r="30" spans="2:20" x14ac:dyDescent="0.2">
      <c r="E30" s="98"/>
      <c r="F30" s="98"/>
      <c r="G30" s="98"/>
      <c r="H30" s="98"/>
      <c r="I30" s="98"/>
      <c r="J30" s="98"/>
    </row>
    <row r="31" spans="2:20" x14ac:dyDescent="0.2">
      <c r="E31" s="98"/>
      <c r="F31" s="98"/>
      <c r="G31" s="98"/>
      <c r="H31" s="98"/>
      <c r="I31" s="98"/>
      <c r="J31" s="98"/>
    </row>
    <row r="32" spans="2:20" x14ac:dyDescent="0.2">
      <c r="E32" s="98"/>
      <c r="F32" s="98"/>
      <c r="G32" s="98"/>
      <c r="H32" s="98"/>
      <c r="I32" s="98"/>
      <c r="J32" s="98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showGridLines="0" workbookViewId="0">
      <selection activeCell="J25" sqref="J25"/>
    </sheetView>
  </sheetViews>
  <sheetFormatPr defaultRowHeight="15.75" x14ac:dyDescent="0.25"/>
  <cols>
    <col min="2" max="2" width="5.42578125" style="186" customWidth="1"/>
    <col min="3" max="3" width="15.28515625" bestFit="1" customWidth="1"/>
    <col min="4" max="4" width="14.140625" bestFit="1" customWidth="1"/>
  </cols>
  <sheetData>
    <row r="2" spans="2:5" x14ac:dyDescent="0.25">
      <c r="B2" s="199"/>
      <c r="C2" s="223"/>
      <c r="D2" s="218"/>
    </row>
    <row r="3" spans="2:5" x14ac:dyDescent="0.25">
      <c r="B3" s="202" t="s">
        <v>149</v>
      </c>
      <c r="C3" s="8"/>
      <c r="D3" s="219"/>
    </row>
    <row r="4" spans="2:5" x14ac:dyDescent="0.25">
      <c r="B4" s="212" t="s">
        <v>60</v>
      </c>
      <c r="C4" s="134" t="s">
        <v>146</v>
      </c>
      <c r="D4" s="133" t="s">
        <v>42</v>
      </c>
    </row>
    <row r="5" spans="2:5" x14ac:dyDescent="0.25">
      <c r="B5" s="202"/>
      <c r="C5" s="111"/>
      <c r="D5" s="139"/>
    </row>
    <row r="6" spans="2:5" x14ac:dyDescent="0.25">
      <c r="B6" s="214">
        <v>1</v>
      </c>
      <c r="C6" s="185" t="s">
        <v>145</v>
      </c>
      <c r="D6" s="219"/>
    </row>
    <row r="7" spans="2:5" x14ac:dyDescent="0.25">
      <c r="B7" s="214">
        <v>2</v>
      </c>
      <c r="C7" s="111" t="s">
        <v>164</v>
      </c>
      <c r="D7" s="220">
        <f>'Rev Req Comparison'!C8/1000000</f>
        <v>488.24621825586996</v>
      </c>
    </row>
    <row r="8" spans="2:5" x14ac:dyDescent="0.25">
      <c r="B8" s="214">
        <v>3</v>
      </c>
      <c r="C8" s="111" t="s">
        <v>148</v>
      </c>
      <c r="D8" s="220">
        <f>'Rev Req Comparison'!D8/1000000</f>
        <v>507.87503991432595</v>
      </c>
    </row>
    <row r="9" spans="2:5" x14ac:dyDescent="0.25">
      <c r="B9" s="214">
        <v>4</v>
      </c>
      <c r="C9" s="111" t="s">
        <v>194</v>
      </c>
      <c r="D9" s="221">
        <f>D8-D7</f>
        <v>19.62882165845599</v>
      </c>
    </row>
    <row r="10" spans="2:5" x14ac:dyDescent="0.25">
      <c r="B10" s="214">
        <v>5</v>
      </c>
      <c r="C10" s="111"/>
      <c r="D10" s="221"/>
    </row>
    <row r="11" spans="2:5" x14ac:dyDescent="0.25">
      <c r="B11" s="214">
        <v>6</v>
      </c>
      <c r="C11" s="185" t="s">
        <v>152</v>
      </c>
      <c r="D11" s="220"/>
    </row>
    <row r="12" spans="2:5" x14ac:dyDescent="0.25">
      <c r="B12" s="214">
        <v>7</v>
      </c>
      <c r="C12" s="111" t="s">
        <v>164</v>
      </c>
      <c r="D12" s="220">
        <f>'Rev Req Comparison'!H8/1000000</f>
        <v>275.18070680413001</v>
      </c>
    </row>
    <row r="13" spans="2:5" x14ac:dyDescent="0.25">
      <c r="B13" s="214">
        <v>8</v>
      </c>
      <c r="C13" s="111" t="s">
        <v>148</v>
      </c>
      <c r="D13" s="220">
        <f>'Rev Req Comparison'!I8/1000000</f>
        <v>246.95091870567396</v>
      </c>
    </row>
    <row r="14" spans="2:5" x14ac:dyDescent="0.25">
      <c r="B14" s="214">
        <v>9</v>
      </c>
      <c r="C14" s="111" t="s">
        <v>194</v>
      </c>
      <c r="D14" s="221">
        <f>D13-D12</f>
        <v>-28.229788098456055</v>
      </c>
      <c r="E14" s="332"/>
    </row>
    <row r="15" spans="2:5" x14ac:dyDescent="0.25">
      <c r="B15" s="214">
        <v>10</v>
      </c>
      <c r="C15" s="8"/>
      <c r="D15" s="221"/>
    </row>
    <row r="16" spans="2:5" x14ac:dyDescent="0.25">
      <c r="B16" s="214">
        <v>11</v>
      </c>
      <c r="C16" s="185" t="s">
        <v>193</v>
      </c>
      <c r="D16" s="205"/>
    </row>
    <row r="17" spans="2:5" x14ac:dyDescent="0.25">
      <c r="B17" s="214">
        <v>12</v>
      </c>
      <c r="C17" s="111" t="s">
        <v>164</v>
      </c>
      <c r="D17" s="215">
        <f>D7+D12</f>
        <v>763.42692506000003</v>
      </c>
    </row>
    <row r="18" spans="2:5" x14ac:dyDescent="0.25">
      <c r="B18" s="214">
        <v>13</v>
      </c>
      <c r="C18" s="111" t="s">
        <v>148</v>
      </c>
      <c r="D18" s="215">
        <f>D8+D13</f>
        <v>754.82595861999994</v>
      </c>
    </row>
    <row r="19" spans="2:5" x14ac:dyDescent="0.25">
      <c r="B19" s="214">
        <v>14</v>
      </c>
      <c r="C19" s="111" t="s">
        <v>194</v>
      </c>
      <c r="D19" s="221">
        <f>D18-D17</f>
        <v>-8.6009664400000929</v>
      </c>
      <c r="E19" s="332"/>
    </row>
    <row r="20" spans="2:5" x14ac:dyDescent="0.25">
      <c r="B20" s="208"/>
      <c r="C20" s="224"/>
      <c r="D20" s="22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9"/>
  <sheetViews>
    <sheetView showGridLines="0" workbookViewId="0">
      <selection activeCell="J11" sqref="J11"/>
    </sheetView>
  </sheetViews>
  <sheetFormatPr defaultRowHeight="15" x14ac:dyDescent="0.2"/>
  <cols>
    <col min="1" max="1" width="9.140625" style="186"/>
    <col min="2" max="2" width="2.85546875" style="186" customWidth="1"/>
    <col min="3" max="3" width="6" style="186" bestFit="1" customWidth="1"/>
    <col min="4" max="4" width="57.5703125" style="186" customWidth="1"/>
    <col min="5" max="5" width="12.85546875" style="186" customWidth="1"/>
    <col min="6" max="7" width="11.42578125" style="186" customWidth="1"/>
    <col min="8" max="8" width="12.5703125" style="186" bestFit="1" customWidth="1"/>
    <col min="9" max="9" width="3" style="186" customWidth="1"/>
    <col min="10" max="16384" width="9.140625" style="186"/>
  </cols>
  <sheetData>
    <row r="2" spans="3:10" x14ac:dyDescent="0.2">
      <c r="C2" s="199"/>
      <c r="D2" s="200"/>
      <c r="E2" s="200"/>
      <c r="F2" s="200"/>
      <c r="G2" s="200"/>
      <c r="H2" s="201"/>
    </row>
    <row r="3" spans="3:10" ht="15.75" x14ac:dyDescent="0.25">
      <c r="C3" s="202" t="s">
        <v>203</v>
      </c>
      <c r="D3" s="203"/>
      <c r="E3" s="203"/>
      <c r="F3" s="204" t="s">
        <v>195</v>
      </c>
      <c r="G3" s="204"/>
      <c r="H3" s="211"/>
    </row>
    <row r="4" spans="3:10" ht="15.75" x14ac:dyDescent="0.25">
      <c r="C4" s="212" t="s">
        <v>60</v>
      </c>
      <c r="D4" s="192" t="s">
        <v>146</v>
      </c>
      <c r="E4" s="192"/>
      <c r="F4" s="192" t="s">
        <v>145</v>
      </c>
      <c r="G4" s="192" t="s">
        <v>196</v>
      </c>
      <c r="H4" s="226" t="s">
        <v>193</v>
      </c>
    </row>
    <row r="5" spans="3:10" ht="15.75" x14ac:dyDescent="0.25">
      <c r="C5" s="213"/>
      <c r="D5" s="193"/>
      <c r="E5" s="193"/>
      <c r="F5" s="193"/>
      <c r="G5" s="193"/>
      <c r="H5" s="205"/>
    </row>
    <row r="6" spans="3:10" x14ac:dyDescent="0.2">
      <c r="C6" s="214">
        <v>1</v>
      </c>
      <c r="D6" s="203" t="s">
        <v>197</v>
      </c>
      <c r="E6" s="203"/>
      <c r="F6" s="206">
        <f>'Rev Req Comparison'!E8/1000000</f>
        <v>1.8680325521136261</v>
      </c>
      <c r="G6" s="206">
        <f>'Rev Req Comparison'!J8/1000000</f>
        <v>-2.6778618839262975</v>
      </c>
      <c r="H6" s="215">
        <f>SUM(F6:G6)</f>
        <v>-0.80982933181267147</v>
      </c>
    </row>
    <row r="7" spans="3:10" x14ac:dyDescent="0.2">
      <c r="C7" s="214">
        <v>2</v>
      </c>
      <c r="D7" s="203" t="s">
        <v>198</v>
      </c>
      <c r="E7" s="203"/>
      <c r="F7" s="207">
        <f>('Rev Req Comparison'!E9+'Rev Req Comparison'!E12)/1000000</f>
        <v>-0.21429345573947137</v>
      </c>
      <c r="G7" s="207">
        <f>('Rev Req Comparison'!J9+'Rev Req Comparison'!J12)/1000000</f>
        <v>5.3280582822901629E-2</v>
      </c>
      <c r="H7" s="227">
        <f>SUM(F7:G7)</f>
        <v>-0.16101287291656974</v>
      </c>
    </row>
    <row r="8" spans="3:10" x14ac:dyDescent="0.2">
      <c r="C8" s="214">
        <v>3</v>
      </c>
      <c r="D8" s="203" t="s">
        <v>199</v>
      </c>
      <c r="E8" s="203"/>
      <c r="F8" s="207">
        <f>('Rev Req Comparison'!E10+'Rev Req Comparison'!E13)/1000000</f>
        <v>-0.56728349623923369</v>
      </c>
      <c r="G8" s="207">
        <f>('Rev Req Comparison'!J10+'Rev Req Comparison'!J13)/1000000</f>
        <v>1.7332796008326114E-3</v>
      </c>
      <c r="H8" s="227">
        <f t="shared" ref="H8:H10" si="0">SUM(F8:G8)</f>
        <v>-0.5655502166384011</v>
      </c>
    </row>
    <row r="9" spans="3:10" x14ac:dyDescent="0.2">
      <c r="C9" s="214">
        <v>4</v>
      </c>
      <c r="D9" s="203" t="s">
        <v>202</v>
      </c>
      <c r="E9" s="203"/>
      <c r="F9" s="207">
        <f>-'Rev Req Comparison'!E21/1000000</f>
        <v>1.0617918938215851</v>
      </c>
      <c r="G9" s="207">
        <f>-'Rev Req Comparison'!J21/1000000</f>
        <v>-0.53289876334201591</v>
      </c>
      <c r="H9" s="227">
        <f t="shared" si="0"/>
        <v>0.52889313047956921</v>
      </c>
    </row>
    <row r="10" spans="3:10" x14ac:dyDescent="0.2">
      <c r="C10" s="214">
        <v>5</v>
      </c>
      <c r="D10" s="203" t="s">
        <v>200</v>
      </c>
      <c r="E10" s="203"/>
      <c r="F10" s="207">
        <f>-'Rev Req Comparison'!E23/1000000</f>
        <v>-8.1256560596682126E-2</v>
      </c>
      <c r="G10" s="207">
        <f>-'Rev Req Comparison'!J23/1000000</f>
        <v>0.19616412227857855</v>
      </c>
      <c r="H10" s="227">
        <f t="shared" si="0"/>
        <v>0.11490756168189642</v>
      </c>
    </row>
    <row r="11" spans="3:10" ht="15.75" thickBot="1" x14ac:dyDescent="0.25">
      <c r="C11" s="214">
        <v>6</v>
      </c>
      <c r="D11" s="203" t="s">
        <v>201</v>
      </c>
      <c r="E11" s="203"/>
      <c r="F11" s="195">
        <f>SUM(F6:F10)</f>
        <v>2.0669909333598242</v>
      </c>
      <c r="G11" s="195">
        <f>SUM(G6:G10)</f>
        <v>-2.9595826625660009</v>
      </c>
      <c r="H11" s="216">
        <f>SUM(H6:H10)</f>
        <v>-0.89259172920617669</v>
      </c>
      <c r="J11" s="186">
        <f>H11/(('Rev Req Comparison'!C29+'Rev Req Comparison'!H29)/1000000)</f>
        <v>-1.1795264603457872E-2</v>
      </c>
    </row>
    <row r="12" spans="3:10" ht="15.75" thickTop="1" x14ac:dyDescent="0.2">
      <c r="C12" s="208"/>
      <c r="D12" s="209"/>
      <c r="E12" s="209"/>
      <c r="F12" s="210"/>
      <c r="G12" s="210"/>
      <c r="H12" s="217"/>
    </row>
    <row r="13" spans="3:10" x14ac:dyDescent="0.2">
      <c r="F13" s="194"/>
      <c r="G13" s="194"/>
      <c r="H13" s="194"/>
    </row>
    <row r="14" spans="3:10" x14ac:dyDescent="0.2">
      <c r="E14" s="196" t="s">
        <v>160</v>
      </c>
      <c r="F14" s="197">
        <f>'Rev Req Comparison'!E29/1000000-F11</f>
        <v>0</v>
      </c>
      <c r="G14" s="197"/>
      <c r="H14" s="198">
        <f>'Rev Req Comparison'!J29/1000000-G11</f>
        <v>0</v>
      </c>
    </row>
    <row r="15" spans="3:10" x14ac:dyDescent="0.2">
      <c r="F15" s="194"/>
      <c r="G15" s="194"/>
      <c r="H15" s="194"/>
    </row>
    <row r="16" spans="3:10" x14ac:dyDescent="0.2">
      <c r="F16" s="194"/>
      <c r="G16" s="194"/>
      <c r="H16" s="194"/>
    </row>
    <row r="17" spans="6:8" x14ac:dyDescent="0.2">
      <c r="F17" s="194"/>
      <c r="G17" s="194"/>
      <c r="H17" s="194"/>
    </row>
    <row r="18" spans="6:8" x14ac:dyDescent="0.2">
      <c r="F18" s="194"/>
      <c r="G18" s="194"/>
      <c r="H18" s="194"/>
    </row>
    <row r="19" spans="6:8" x14ac:dyDescent="0.2">
      <c r="F19" s="194"/>
      <c r="G19" s="194"/>
      <c r="H19" s="194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E4" sqref="E4"/>
    </sheetView>
  </sheetViews>
  <sheetFormatPr defaultRowHeight="15" x14ac:dyDescent="0.25"/>
  <cols>
    <col min="2" max="2" width="41.5703125" bestFit="1" customWidth="1"/>
    <col min="3" max="3" width="15.28515625" bestFit="1" customWidth="1"/>
    <col min="4" max="5" width="14.28515625" bestFit="1" customWidth="1"/>
    <col min="6" max="6" width="3.5703125" customWidth="1"/>
    <col min="7" max="7" width="14.28515625" bestFit="1" customWidth="1"/>
    <col min="16" max="16" width="41.5703125" bestFit="1" customWidth="1"/>
  </cols>
  <sheetData>
    <row r="1" spans="1:16" ht="15.75" x14ac:dyDescent="0.25">
      <c r="B1" s="60" t="s">
        <v>115</v>
      </c>
    </row>
    <row r="2" spans="1:16" x14ac:dyDescent="0.25">
      <c r="A2" s="76" t="s">
        <v>60</v>
      </c>
    </row>
    <row r="3" spans="1:16" x14ac:dyDescent="0.25">
      <c r="A3" s="34" t="s">
        <v>66</v>
      </c>
      <c r="B3" s="1" t="s">
        <v>113</v>
      </c>
      <c r="C3" s="13" t="s">
        <v>42</v>
      </c>
      <c r="D3" s="13" t="s">
        <v>55</v>
      </c>
      <c r="E3" s="13" t="s">
        <v>56</v>
      </c>
      <c r="G3" s="14" t="s">
        <v>58</v>
      </c>
    </row>
    <row r="4" spans="1:16" x14ac:dyDescent="0.25">
      <c r="A4" s="41">
        <v>1</v>
      </c>
      <c r="B4" t="s">
        <v>1</v>
      </c>
      <c r="C4" s="7">
        <f>SUMIF('2022 YE Gross Plant Detail'!$B$6:$B$62,'Electric Closings Summary'!$B4,'2022 YE Gross Plant Detail'!$E$6:$E$62)</f>
        <v>2526041.4541959995</v>
      </c>
      <c r="D4" s="7">
        <f>SUMIF('2022 YE Accum Depr Detail'!$B$6:$B$57,'Electric Closings Summary'!$B4,'2022 YE Accum Depr Detail'!$E$6:$E$57)</f>
        <v>90852.45563719752</v>
      </c>
      <c r="E4" s="7">
        <f>SUMIF('2022 YE Def Tax Detail'!$B$6:$B$57,'Electric Closings Summary'!$B4,'2022 YE Def Tax Detail'!$E$6:$E$57)</f>
        <v>370968.53876076639</v>
      </c>
      <c r="G4" s="7">
        <f>SUMIF('2022 YE Depr Expense'!$B$6:$B$57,'Electric Closings Summary'!$B4,'2022 YE Depr Expense'!$E$6:$E$57)</f>
        <v>90852.45563719752</v>
      </c>
    </row>
    <row r="5" spans="1:16" x14ac:dyDescent="0.25">
      <c r="A5" s="41">
        <f>A4+1</f>
        <v>2</v>
      </c>
      <c r="B5" t="s">
        <v>2</v>
      </c>
      <c r="C5" s="7">
        <f>SUMIF('2022 YE Gross Plant Detail'!$B$6:$B$62,'Electric Closings Summary'!$B5,'2022 YE Gross Plant Detail'!$E$6:$E$62)</f>
        <v>12890449.059999999</v>
      </c>
      <c r="D5" s="7">
        <f>SUMIF('2022 YE Accum Depr Detail'!$B$6:$B$57,'Electric Closings Summary'!$B5,'2022 YE Accum Depr Detail'!$E$6:$E$57)</f>
        <v>84715.075362118252</v>
      </c>
      <c r="E5" s="7">
        <f>SUMIF('2022 YE Def Tax Detail'!$B$6:$B$57,'Electric Closings Summary'!$B5,'2022 YE Def Tax Detail'!$E$6:$E$57)</f>
        <v>482384.37813299225</v>
      </c>
      <c r="G5" s="7">
        <f>SUMIF('2022 YE Depr Expense'!$B$6:$B$57,'Electric Closings Summary'!$B5,'2022 YE Depr Expense'!$E$6:$E$57)</f>
        <v>84715.075362118267</v>
      </c>
    </row>
    <row r="6" spans="1:16" x14ac:dyDescent="0.25">
      <c r="A6" s="41">
        <f t="shared" ref="A6:A26" si="0">A5+1</f>
        <v>3</v>
      </c>
      <c r="B6" t="s">
        <v>5</v>
      </c>
      <c r="C6" s="7">
        <f>SUMIF('2022 YE Gross Plant Detail'!$B$6:$B$62,'Electric Closings Summary'!$B6,'2022 YE Gross Plant Detail'!$E$6:$E$62)</f>
        <v>3919269.0800000005</v>
      </c>
      <c r="D6" s="7">
        <f>SUMIF('2022 YE Accum Depr Detail'!$B$6:$B$57,'Electric Closings Summary'!$B6,'2022 YE Accum Depr Detail'!$E$6:$E$57)</f>
        <v>8527.7309690022066</v>
      </c>
      <c r="E6" s="7">
        <f>SUMIF('2022 YE Def Tax Detail'!$B$6:$B$57,'Electric Closings Summary'!$B6,'2022 YE Def Tax Detail'!$E$6:$E$57)</f>
        <v>136510.58944470927</v>
      </c>
      <c r="G6" s="7">
        <f>SUMIF('2022 YE Depr Expense'!$B$6:$B$57,'Electric Closings Summary'!$B6,'2022 YE Depr Expense'!$E$6:$E$57)</f>
        <v>8527.7309690022084</v>
      </c>
    </row>
    <row r="7" spans="1:16" x14ac:dyDescent="0.25">
      <c r="A7" s="41">
        <f t="shared" si="0"/>
        <v>4</v>
      </c>
      <c r="B7" t="s">
        <v>7</v>
      </c>
      <c r="C7" s="7">
        <f>SUMIF('2022 YE Gross Plant Detail'!$B$6:$B$62,'Electric Closings Summary'!$B7,'2022 YE Gross Plant Detail'!$E$6:$E$62)</f>
        <v>-8593299.5</v>
      </c>
      <c r="D7" s="7">
        <f>SUMIF('2022 YE Accum Depr Detail'!$B$6:$B$57,'Electric Closings Summary'!$B7,'2022 YE Accum Depr Detail'!$E$6:$E$57)</f>
        <v>-134395.29357176655</v>
      </c>
      <c r="E7" s="7">
        <f>SUMIF('2022 YE Def Tax Detail'!$B$6:$B$57,'Electric Closings Summary'!$B7,'2022 YE Def Tax Detail'!$E$6:$E$57)</f>
        <v>-308573.7755109492</v>
      </c>
      <c r="G7" s="7">
        <f>SUMIF('2022 YE Depr Expense'!$B$6:$B$57,'Electric Closings Summary'!$B7,'2022 YE Depr Expense'!$E$6:$E$57)</f>
        <v>-134395.29357176658</v>
      </c>
      <c r="P7" s="2"/>
    </row>
    <row r="8" spans="1:16" x14ac:dyDescent="0.25">
      <c r="A8" s="41">
        <f t="shared" si="0"/>
        <v>5</v>
      </c>
      <c r="B8" t="s">
        <v>9</v>
      </c>
      <c r="C8" s="7">
        <f>SUMIF('2022 YE Gross Plant Detail'!$B$6:$B$62,'Electric Closings Summary'!$B8,'2022 YE Gross Plant Detail'!$E$6:$E$62)</f>
        <v>51393138.970000006</v>
      </c>
      <c r="D8" s="7">
        <f>SUMIF('2022 YE Accum Depr Detail'!$B$6:$B$57,'Electric Closings Summary'!$B8,'2022 YE Accum Depr Detail'!$E$6:$E$57)</f>
        <v>770628.48511262692</v>
      </c>
      <c r="E8" s="7">
        <f>SUMIF('2022 YE Def Tax Detail'!$B$6:$B$57,'Electric Closings Summary'!$B8,'2022 YE Def Tax Detail'!$E$6:$E$57)</f>
        <v>1828784.4614643694</v>
      </c>
      <c r="G8" s="7">
        <f>SUMIF('2022 YE Depr Expense'!$B$6:$B$57,'Electric Closings Summary'!$B8,'2022 YE Depr Expense'!$E$6:$E$57)</f>
        <v>770628.48511262669</v>
      </c>
      <c r="P8" s="2"/>
    </row>
    <row r="9" spans="1:16" x14ac:dyDescent="0.25">
      <c r="A9" s="41">
        <f t="shared" si="0"/>
        <v>6</v>
      </c>
      <c r="B9" t="s">
        <v>10</v>
      </c>
      <c r="C9" s="7">
        <f>SUMIF('2022 YE Gross Plant Detail'!$B$6:$B$62,'Electric Closings Summary'!$B9,'2022 YE Gross Plant Detail'!$E$6:$E$62)</f>
        <v>2746.36</v>
      </c>
      <c r="D9" s="7">
        <f>SUMIF('2022 YE Accum Depr Detail'!$B$6:$B$57,'Electric Closings Summary'!$B9,'2022 YE Accum Depr Detail'!$E$6:$E$57)</f>
        <v>183.42901755383792</v>
      </c>
      <c r="E9" s="7">
        <f>SUMIF('2022 YE Def Tax Detail'!$B$6:$B$57,'Electric Closings Summary'!$B9,'2022 YE Def Tax Detail'!$E$6:$E$57)</f>
        <v>70.569036296616673</v>
      </c>
      <c r="G9" s="7">
        <f>SUMIF('2022 YE Depr Expense'!$B$6:$B$57,'Electric Closings Summary'!$B9,'2022 YE Depr Expense'!$E$6:$E$57)</f>
        <v>183.42901755383792</v>
      </c>
      <c r="P9" s="2"/>
    </row>
    <row r="10" spans="1:16" x14ac:dyDescent="0.25">
      <c r="A10" s="41">
        <f t="shared" si="0"/>
        <v>7</v>
      </c>
      <c r="B10" t="s">
        <v>11</v>
      </c>
      <c r="C10" s="7">
        <f>SUMIF('2022 YE Gross Plant Detail'!$B$6:$B$62,'Electric Closings Summary'!$B10,'2022 YE Gross Plant Detail'!$E$6:$E$62)</f>
        <v>164512.43</v>
      </c>
      <c r="D10" s="7">
        <f>SUMIF('2022 YE Accum Depr Detail'!$B$6:$B$57,'Electric Closings Summary'!$B10,'2022 YE Accum Depr Detail'!$E$6:$E$57)</f>
        <v>2519.1565208333341</v>
      </c>
      <c r="E10" s="7">
        <f>SUMIF('2022 YE Def Tax Detail'!$B$6:$B$57,'Electric Closings Summary'!$B10,'2022 YE Def Tax Detail'!$E$6:$E$57)</f>
        <v>4406.4487380829996</v>
      </c>
      <c r="G10" s="7">
        <f>SUMIF('2022 YE Depr Expense'!$B$6:$B$57,'Electric Closings Summary'!$B10,'2022 YE Depr Expense'!$E$6:$E$57)</f>
        <v>2519.1565208333341</v>
      </c>
      <c r="P10" s="2"/>
    </row>
    <row r="11" spans="1:16" x14ac:dyDescent="0.25">
      <c r="A11" s="41">
        <f t="shared" si="0"/>
        <v>8</v>
      </c>
      <c r="B11" t="s">
        <v>12</v>
      </c>
      <c r="C11" s="7">
        <f>SUMIF('2022 YE Gross Plant Detail'!$B$6:$B$62,'Electric Closings Summary'!$B11,'2022 YE Gross Plant Detail'!$E$6:$E$62)</f>
        <v>4925831.1266639996</v>
      </c>
      <c r="D11" s="7">
        <f>SUMIF('2022 YE Accum Depr Detail'!$B$6:$B$57,'Electric Closings Summary'!$B11,'2022 YE Accum Depr Detail'!$E$6:$E$57)</f>
        <v>432347.69207629998</v>
      </c>
      <c r="E11" s="7">
        <f>SUMIF('2022 YE Def Tax Detail'!$B$6:$B$57,'Electric Closings Summary'!$B11,'2022 YE Def Tax Detail'!$E$6:$E$57)</f>
        <v>111156.13124635944</v>
      </c>
      <c r="G11" s="7">
        <f>SUMIF('2022 YE Depr Expense'!$B$6:$B$57,'Electric Closings Summary'!$B11,'2022 YE Depr Expense'!$E$6:$E$57)</f>
        <v>432347.69207629998</v>
      </c>
      <c r="P11" s="2"/>
    </row>
    <row r="12" spans="1:16" x14ac:dyDescent="0.25">
      <c r="A12" s="41">
        <f t="shared" si="0"/>
        <v>9</v>
      </c>
      <c r="B12" t="s">
        <v>13</v>
      </c>
      <c r="C12" s="7">
        <f>SUMIF('2022 YE Gross Plant Detail'!$B$6:$B$62,'Electric Closings Summary'!$B12,'2022 YE Gross Plant Detail'!$E$6:$E$62)</f>
        <v>67761721.420000017</v>
      </c>
      <c r="D12" s="7">
        <f>SUMIF('2022 YE Accum Depr Detail'!$B$6:$B$57,'Electric Closings Summary'!$B12,'2022 YE Accum Depr Detail'!$E$6:$E$57)</f>
        <v>1053709.5300484311</v>
      </c>
      <c r="E12" s="7">
        <f>SUMIF('2022 YE Def Tax Detail'!$B$6:$B$57,'Electric Closings Summary'!$B12,'2022 YE Def Tax Detail'!$E$6:$E$57)</f>
        <v>2251546.4797992073</v>
      </c>
      <c r="G12" s="7">
        <f>SUMIF('2022 YE Depr Expense'!$B$6:$B$57,'Electric Closings Summary'!$B12,'2022 YE Depr Expense'!$E$6:$E$57)</f>
        <v>1053709.5300484304</v>
      </c>
      <c r="P12" s="2"/>
    </row>
    <row r="13" spans="1:16" x14ac:dyDescent="0.25">
      <c r="A13" s="41">
        <f t="shared" si="0"/>
        <v>10</v>
      </c>
      <c r="B13" t="s">
        <v>15</v>
      </c>
      <c r="C13" s="7">
        <f>SUMIF('2022 YE Gross Plant Detail'!$B$6:$B$62,'Electric Closings Summary'!$B13,'2022 YE Gross Plant Detail'!$E$6:$E$62)</f>
        <v>355337.97</v>
      </c>
      <c r="D13" s="7">
        <f>SUMIF('2022 YE Accum Depr Detail'!$B$6:$B$57,'Electric Closings Summary'!$B13,'2022 YE Accum Depr Detail'!$E$6:$E$57)</f>
        <v>1818.3768294092063</v>
      </c>
      <c r="E13" s="7">
        <f>SUMIF('2022 YE Def Tax Detail'!$B$6:$B$57,'Electric Closings Summary'!$B13,'2022 YE Def Tax Detail'!$E$6:$E$57)</f>
        <v>4942.2241539532106</v>
      </c>
      <c r="G13" s="7">
        <f>SUMIF('2022 YE Depr Expense'!$B$6:$B$57,'Electric Closings Summary'!$B13,'2022 YE Depr Expense'!$E$6:$E$57)</f>
        <v>1818.376829409206</v>
      </c>
      <c r="P13" s="2"/>
    </row>
    <row r="14" spans="1:16" x14ac:dyDescent="0.25">
      <c r="A14" s="41">
        <f t="shared" si="0"/>
        <v>11</v>
      </c>
      <c r="B14" t="s">
        <v>17</v>
      </c>
      <c r="C14" s="7">
        <f>SUMIF('2022 YE Gross Plant Detail'!$B$6:$B$62,'Electric Closings Summary'!$B14,'2022 YE Gross Plant Detail'!$E$6:$E$62)</f>
        <v>-3595.8600000000006</v>
      </c>
      <c r="D14" s="7">
        <f>SUMIF('2022 YE Accum Depr Detail'!$B$6:$B$57,'Electric Closings Summary'!$B14,'2022 YE Accum Depr Detail'!$E$6:$E$57)</f>
        <v>-183.14169933333338</v>
      </c>
      <c r="E14" s="7">
        <f>SUMIF('2022 YE Def Tax Detail'!$B$6:$B$57,'Electric Closings Summary'!$B14,'2022 YE Def Tax Detail'!$E$6:$E$57)</f>
        <v>-5.9716927549999994</v>
      </c>
      <c r="G14" s="7">
        <f>SUMIF('2022 YE Depr Expense'!$B$6:$B$57,'Electric Closings Summary'!$B14,'2022 YE Depr Expense'!$E$6:$E$57)</f>
        <v>-183.14169933333338</v>
      </c>
      <c r="P14" s="2"/>
    </row>
    <row r="15" spans="1:16" x14ac:dyDescent="0.25">
      <c r="A15" s="41">
        <f t="shared" si="0"/>
        <v>12</v>
      </c>
      <c r="B15" t="s">
        <v>18</v>
      </c>
      <c r="C15" s="7">
        <f>SUMIF('2022 YE Gross Plant Detail'!$B$6:$B$62,'Electric Closings Summary'!$B15,'2022 YE Gross Plant Detail'!$E$6:$E$62)</f>
        <v>114323518.38</v>
      </c>
      <c r="D15" s="7">
        <f>SUMIF('2022 YE Accum Depr Detail'!$B$6:$B$57,'Electric Closings Summary'!$B15,'2022 YE Accum Depr Detail'!$E$6:$E$57)</f>
        <v>1723430.535882418</v>
      </c>
      <c r="E15" s="7">
        <f>SUMIF('2022 YE Def Tax Detail'!$B$6:$B$57,'Electric Closings Summary'!$B15,'2022 YE Def Tax Detail'!$E$6:$E$57)</f>
        <v>3611681.6414824557</v>
      </c>
      <c r="G15" s="7">
        <f>SUMIF('2022 YE Depr Expense'!$B$6:$B$57,'Electric Closings Summary'!$B15,'2022 YE Depr Expense'!$E$6:$E$57)</f>
        <v>1723430.5358824183</v>
      </c>
      <c r="P15" s="2"/>
    </row>
    <row r="16" spans="1:16" x14ac:dyDescent="0.25">
      <c r="A16" s="41">
        <f t="shared" si="0"/>
        <v>13</v>
      </c>
      <c r="B16" t="s">
        <v>19</v>
      </c>
      <c r="C16" s="7">
        <f>SUMIF('2022 YE Gross Plant Detail'!$B$6:$B$62,'Electric Closings Summary'!$B16,'2022 YE Gross Plant Detail'!$E$6:$E$62)</f>
        <v>-100729.54</v>
      </c>
      <c r="D16" s="7">
        <f>SUMIF('2022 YE Accum Depr Detail'!$B$6:$B$57,'Electric Closings Summary'!$B16,'2022 YE Accum Depr Detail'!$E$6:$E$57)</f>
        <v>-14818.4095</v>
      </c>
      <c r="E16" s="7">
        <f>SUMIF('2022 YE Def Tax Detail'!$B$6:$B$57,'Electric Closings Summary'!$B16,'2022 YE Def Tax Detail'!$E$6:$E$57)</f>
        <v>-844.0233397679998</v>
      </c>
      <c r="G16" s="7">
        <f>SUMIF('2022 YE Depr Expense'!$B$6:$B$57,'Electric Closings Summary'!$B16,'2022 YE Depr Expense'!$E$6:$E$57)</f>
        <v>-14818.4095</v>
      </c>
      <c r="P16" s="2"/>
    </row>
    <row r="17" spans="1:16" x14ac:dyDescent="0.25">
      <c r="A17" s="41">
        <f t="shared" si="0"/>
        <v>14</v>
      </c>
      <c r="B17" t="s">
        <v>20</v>
      </c>
      <c r="C17" s="7">
        <f>SUMIF('2022 YE Gross Plant Detail'!$B$6:$B$62,'Electric Closings Summary'!$B17,'2022 YE Gross Plant Detail'!$E$6:$E$62)</f>
        <v>6280746.1326139988</v>
      </c>
      <c r="D17" s="7">
        <f>SUMIF('2022 YE Accum Depr Detail'!$B$6:$B$57,'Electric Closings Summary'!$B17,'2022 YE Accum Depr Detail'!$E$6:$E$57)</f>
        <v>1002372.9588311609</v>
      </c>
      <c r="E17" s="7">
        <f>SUMIF('2022 YE Def Tax Detail'!$B$6:$B$57,'Electric Closings Summary'!$B17,'2022 YE Def Tax Detail'!$E$6:$E$57)</f>
        <v>95421.391047706871</v>
      </c>
      <c r="G17" s="7">
        <f>SUMIF('2022 YE Depr Expense'!$B$6:$B$57,'Electric Closings Summary'!$B17,'2022 YE Depr Expense'!$E$6:$E$57)</f>
        <v>1002372.9588311609</v>
      </c>
      <c r="P17" s="2"/>
    </row>
    <row r="18" spans="1:16" x14ac:dyDescent="0.25">
      <c r="A18" s="41">
        <f t="shared" si="0"/>
        <v>15</v>
      </c>
      <c r="B18" t="s">
        <v>22</v>
      </c>
      <c r="C18" s="7">
        <f>SUMIF('2022 YE Gross Plant Detail'!$B$6:$B$62,'Electric Closings Summary'!$B18,'2022 YE Gross Plant Detail'!$E$6:$E$62)</f>
        <v>2360772.77</v>
      </c>
      <c r="D18" s="7">
        <f>SUMIF('2022 YE Accum Depr Detail'!$B$6:$B$57,'Electric Closings Summary'!$B18,'2022 YE Accum Depr Detail'!$E$6:$E$57)</f>
        <v>30041.506028060419</v>
      </c>
      <c r="E18" s="7">
        <f>SUMIF('2022 YE Def Tax Detail'!$B$6:$B$57,'Electric Closings Summary'!$B18,'2022 YE Def Tax Detail'!$E$6:$E$57)</f>
        <v>37127.610081209474</v>
      </c>
      <c r="G18" s="7">
        <f>SUMIF('2022 YE Depr Expense'!$B$6:$B$57,'Electric Closings Summary'!$B18,'2022 YE Depr Expense'!$E$6:$E$57)</f>
        <v>30041.506028060412</v>
      </c>
      <c r="P18" s="2"/>
    </row>
    <row r="19" spans="1:16" x14ac:dyDescent="0.25">
      <c r="A19" s="41">
        <f t="shared" si="0"/>
        <v>16</v>
      </c>
      <c r="B19" t="s">
        <v>25</v>
      </c>
      <c r="C19" s="7">
        <f>SUMIF('2022 YE Gross Plant Detail'!$B$6:$B$62,'Electric Closings Summary'!$B19,'2022 YE Gross Plant Detail'!$E$6:$E$62)</f>
        <v>14435849.020000001</v>
      </c>
      <c r="D19" s="7">
        <f>SUMIF('2022 YE Accum Depr Detail'!$B$6:$B$57,'Electric Closings Summary'!$B19,'2022 YE Accum Depr Detail'!$E$6:$E$57)</f>
        <v>439385.58197333338</v>
      </c>
      <c r="E19" s="7">
        <f>SUMIF('2022 YE Def Tax Detail'!$B$6:$B$57,'Electric Closings Summary'!$B19,'2022 YE Def Tax Detail'!$E$6:$E$57)</f>
        <v>64895.522117316468</v>
      </c>
      <c r="G19" s="7">
        <f>SUMIF('2022 YE Depr Expense'!$B$6:$B$57,'Electric Closings Summary'!$B19,'2022 YE Depr Expense'!$E$6:$E$57)</f>
        <v>439385.58197333338</v>
      </c>
      <c r="P19" s="2"/>
    </row>
    <row r="20" spans="1:16" x14ac:dyDescent="0.25">
      <c r="A20" s="41">
        <f t="shared" si="0"/>
        <v>17</v>
      </c>
      <c r="B20" t="s">
        <v>114</v>
      </c>
      <c r="C20" s="7">
        <f>SUMIF('2022 YE Gross Plant Detail'!$B$6:$B$62,'Electric Closings Summary'!$B20,'2022 YE Gross Plant Detail'!$E$6:$E$62)</f>
        <v>21232400.54778799</v>
      </c>
      <c r="D20" s="7">
        <f>SUMIF('2022 YE Accum Depr Detail'!$B$6:$B$57,'Electric Closings Summary'!$B20,'2022 YE Accum Depr Detail'!$E$6:$E$57)</f>
        <v>265389.83233698911</v>
      </c>
      <c r="E20" s="7">
        <f>SUMIF('2022 YE Def Tax Detail'!$B$6:$B$57,'Electric Closings Summary'!$B20,'2022 YE Def Tax Detail'!$E$6:$E$57)</f>
        <v>591836.88033567311</v>
      </c>
      <c r="G20" s="7">
        <f>SUMIF('2022 YE Depr Expense'!$B$6:$B$57,'Electric Closings Summary'!$B20,'2022 YE Depr Expense'!$E$6:$E$57)</f>
        <v>265389.83233698911</v>
      </c>
      <c r="P20" s="2"/>
    </row>
    <row r="21" spans="1:16" x14ac:dyDescent="0.25">
      <c r="A21" s="41">
        <f t="shared" si="0"/>
        <v>18</v>
      </c>
      <c r="B21" t="s">
        <v>26</v>
      </c>
      <c r="C21" s="7">
        <f>SUMIF('2022 YE Gross Plant Detail'!$B$6:$B$62,'Electric Closings Summary'!$B21,'2022 YE Gross Plant Detail'!$E$6:$E$62)</f>
        <v>24973114.409999985</v>
      </c>
      <c r="D21" s="7">
        <f>SUMIF('2022 YE Accum Depr Detail'!$B$6:$B$57,'Electric Closings Summary'!$B21,'2022 YE Accum Depr Detail'!$E$6:$E$57)</f>
        <v>147256.44366499665</v>
      </c>
      <c r="E21" s="7">
        <f>SUMIF('2022 YE Def Tax Detail'!$B$6:$B$57,'Electric Closings Summary'!$B21,'2022 YE Def Tax Detail'!$E$6:$E$57)</f>
        <v>934985.46777879633</v>
      </c>
      <c r="G21" s="7">
        <f>SUMIF('2022 YE Depr Expense'!$B$6:$B$57,'Electric Closings Summary'!$B21,'2022 YE Depr Expense'!$E$6:$E$57)</f>
        <v>147256.44366499665</v>
      </c>
      <c r="P21" s="2"/>
    </row>
    <row r="22" spans="1:16" x14ac:dyDescent="0.25">
      <c r="A22" s="41">
        <f t="shared" si="0"/>
        <v>19</v>
      </c>
      <c r="B22" t="s">
        <v>29</v>
      </c>
      <c r="C22" s="7">
        <f>SUMIF('2022 YE Gross Plant Detail'!$B$6:$B$62,'Electric Closings Summary'!$B22,'2022 YE Gross Plant Detail'!$E$6:$E$62)</f>
        <v>140776456.86908403</v>
      </c>
      <c r="D22" s="7">
        <f>SUMIF('2022 YE Accum Depr Detail'!$B$6:$B$57,'Electric Closings Summary'!$B22,'2022 YE Accum Depr Detail'!$E$6:$E$57)</f>
        <v>4780135.7120105987</v>
      </c>
      <c r="E22" s="7">
        <f>SUMIF('2022 YE Def Tax Detail'!$B$6:$B$57,'Electric Closings Summary'!$B22,'2022 YE Def Tax Detail'!$E$6:$E$57)</f>
        <v>2583047.0455611236</v>
      </c>
      <c r="G22" s="7">
        <f>SUMIF('2022 YE Depr Expense'!$B$6:$B$57,'Electric Closings Summary'!$B22,'2022 YE Depr Expense'!$E$6:$E$57)</f>
        <v>4780135.7120105997</v>
      </c>
      <c r="P22" s="2"/>
    </row>
    <row r="23" spans="1:16" x14ac:dyDescent="0.25">
      <c r="A23" s="41">
        <f t="shared" si="0"/>
        <v>20</v>
      </c>
      <c r="B23" t="s">
        <v>37</v>
      </c>
      <c r="C23" s="7">
        <f>SUMIF('2022 YE Gross Plant Detail'!$B$6:$B$62,'Electric Closings Summary'!$B23,'2022 YE Gross Plant Detail'!$E$6:$E$62)</f>
        <v>1294239.2399999998</v>
      </c>
      <c r="D23" s="7">
        <f>SUMIF('2022 YE Accum Depr Detail'!$B$6:$B$57,'Electric Closings Summary'!$B23,'2022 YE Accum Depr Detail'!$E$6:$E$57)</f>
        <v>1100.1033539999996</v>
      </c>
      <c r="E23" s="7">
        <f>SUMIF('2022 YE Def Tax Detail'!$B$6:$B$57,'Electric Closings Summary'!$B23,'2022 YE Def Tax Detail'!$E$6:$E$57)</f>
        <v>49261.268045598423</v>
      </c>
      <c r="G23" s="7">
        <f>SUMIF('2022 YE Depr Expense'!$B$6:$B$57,'Electric Closings Summary'!$B23,'2022 YE Depr Expense'!$E$6:$E$57)</f>
        <v>1100.1033539999996</v>
      </c>
      <c r="P23" s="2"/>
    </row>
    <row r="24" spans="1:16" x14ac:dyDescent="0.25">
      <c r="A24" s="41">
        <f t="shared" si="0"/>
        <v>21</v>
      </c>
      <c r="B24" t="s">
        <v>33</v>
      </c>
      <c r="C24" s="7">
        <f>SUMIF('2022 YE Gross Plant Detail'!$B$6:$B$62,'Electric Closings Summary'!$B24,'2022 YE Gross Plant Detail'!$E$6:$E$62)</f>
        <v>1046696.4139800001</v>
      </c>
      <c r="D24" s="7">
        <f>SUMIF('2022 YE Accum Depr Detail'!$B$6:$B$57,'Electric Closings Summary'!$B24,'2022 YE Accum Depr Detail'!$E$6:$E$57)</f>
        <v>74946.592113475257</v>
      </c>
      <c r="E24" s="7">
        <f>SUMIF('2022 YE Def Tax Detail'!$B$6:$B$57,'Electric Closings Summary'!$B24,'2022 YE Def Tax Detail'!$E$6:$E$57)</f>
        <v>33640.516248992142</v>
      </c>
      <c r="G24" s="7">
        <f>SUMIF('2022 YE Depr Expense'!$B$6:$B$57,'Electric Closings Summary'!$B24,'2022 YE Depr Expense'!$E$6:$E$57)</f>
        <v>74946.592113475257</v>
      </c>
      <c r="P24" s="2"/>
    </row>
    <row r="25" spans="1:16" x14ac:dyDescent="0.25">
      <c r="A25" s="41">
        <f t="shared" si="0"/>
        <v>22</v>
      </c>
      <c r="B25" s="6" t="s">
        <v>57</v>
      </c>
      <c r="C25" s="12">
        <f>'2022 Pre-Cap Summary'!$C$11</f>
        <v>45909823.159999996</v>
      </c>
      <c r="D25" s="12">
        <f>-'2022 Pre-Cap Summary'!$D$11</f>
        <v>1155336.847616333</v>
      </c>
      <c r="E25" s="12">
        <f>-'2022 Pre-Cap Summary'!$E$11</f>
        <v>1147346.3301055697</v>
      </c>
      <c r="G25" s="29">
        <f>'2022 Pre-Cap Summary'!H11</f>
        <v>1155336.847616333</v>
      </c>
      <c r="P25" s="2"/>
    </row>
    <row r="26" spans="1:16" x14ac:dyDescent="0.25">
      <c r="A26" s="41">
        <f t="shared" si="0"/>
        <v>23</v>
      </c>
      <c r="B26" s="92" t="s">
        <v>143</v>
      </c>
      <c r="C26" s="3">
        <f>SUM(C4:C25)</f>
        <v>507875039.91432595</v>
      </c>
      <c r="D26" s="3">
        <f>SUM(D4:D25)</f>
        <v>11915301.200613739</v>
      </c>
      <c r="E26" s="3">
        <f>SUM(E4:E25)</f>
        <v>14030589.723037705</v>
      </c>
      <c r="G26" s="3">
        <f>SUM(G4:G25)</f>
        <v>11915301.200613739</v>
      </c>
      <c r="P26" s="2"/>
    </row>
    <row r="27" spans="1:16" x14ac:dyDescent="0.25">
      <c r="P27" s="2"/>
    </row>
    <row r="28" spans="1:16" x14ac:dyDescent="0.25">
      <c r="P28" s="2"/>
    </row>
    <row r="29" spans="1:16" x14ac:dyDescent="0.25">
      <c r="P29" s="2"/>
    </row>
    <row r="30" spans="1:16" x14ac:dyDescent="0.25">
      <c r="P30" s="2"/>
    </row>
    <row r="31" spans="1:16" x14ac:dyDescent="0.25">
      <c r="P31" s="2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K18" sqref="K18"/>
    </sheetView>
  </sheetViews>
  <sheetFormatPr defaultRowHeight="15" x14ac:dyDescent="0.25"/>
  <cols>
    <col min="2" max="2" width="41.5703125" bestFit="1" customWidth="1"/>
    <col min="3" max="3" width="14.5703125" bestFit="1" customWidth="1"/>
    <col min="4" max="5" width="13.5703125" bestFit="1" customWidth="1"/>
    <col min="6" max="6" width="3.5703125" customWidth="1"/>
    <col min="7" max="7" width="13.5703125" bestFit="1" customWidth="1"/>
    <col min="16" max="16" width="41.5703125" bestFit="1" customWidth="1"/>
  </cols>
  <sheetData>
    <row r="1" spans="1:16" ht="15.75" x14ac:dyDescent="0.25">
      <c r="B1" s="60" t="s">
        <v>115</v>
      </c>
    </row>
    <row r="2" spans="1:16" x14ac:dyDescent="0.25">
      <c r="A2" s="76" t="s">
        <v>60</v>
      </c>
    </row>
    <row r="3" spans="1:16" x14ac:dyDescent="0.25">
      <c r="A3" s="34" t="s">
        <v>66</v>
      </c>
      <c r="B3" s="1" t="s">
        <v>113</v>
      </c>
      <c r="C3" s="13" t="s">
        <v>42</v>
      </c>
      <c r="D3" s="13" t="s">
        <v>55</v>
      </c>
      <c r="E3" s="13" t="s">
        <v>56</v>
      </c>
      <c r="G3" s="14" t="s">
        <v>58</v>
      </c>
    </row>
    <row r="4" spans="1:16" x14ac:dyDescent="0.25">
      <c r="A4" s="41">
        <v>1</v>
      </c>
      <c r="B4" t="s">
        <v>1</v>
      </c>
      <c r="C4" s="7">
        <f>SUMIF('2022 YE Gross Plant Detail'!$G$6:$G$62,'Gas Closings Summary'!$B4,'2022 YE Gross Plant Detail'!$J$6:$J$62)</f>
        <v>1300683.3958040001</v>
      </c>
      <c r="D4" s="7">
        <f>SUMIF('2022 YE Accum Depr Detail'!$G$6:$G$57,'Gas Closings Summary'!$B4,'2022 YE Accum Depr Detail'!$J$6:$J$57)</f>
        <v>46922.159137635819</v>
      </c>
      <c r="E4" s="7">
        <f>SUMIF('2022 YE Def Tax Detail'!$G$6:$G$57,'Gas Closings Summary'!$B4,'2022 YE Def Tax Detail'!$J$6:$J$57)</f>
        <v>191461.23220702639</v>
      </c>
      <c r="G4" s="7">
        <f>SUMIF('2022 YE Depr Expense'!$G$6:$G$57,'Gas Closings Summary'!$B4,'2022 YE Depr Expense'!$J$6:$J$57)</f>
        <v>46922.159137635819</v>
      </c>
    </row>
    <row r="5" spans="1:16" x14ac:dyDescent="0.25">
      <c r="A5" s="41">
        <f>A4+1</f>
        <v>2</v>
      </c>
      <c r="B5" t="s">
        <v>3</v>
      </c>
      <c r="C5" s="7">
        <f>SUMIF('2022 YE Gross Plant Detail'!$G$6:$G$62,'Gas Closings Summary'!$B5,'2022 YE Gross Plant Detail'!$J$6:$J$62)</f>
        <v>8909147.4300000016</v>
      </c>
      <c r="D5" s="7">
        <f>SUMIF('2022 YE Accum Depr Detail'!$G$6:$G$57,'Gas Closings Summary'!$B5,'2022 YE Accum Depr Detail'!$J$6:$J$57)</f>
        <v>15378.108803436426</v>
      </c>
      <c r="E5" s="7">
        <f>SUMIF('2022 YE Def Tax Detail'!$G$6:$G$57,'Gas Closings Summary'!$B5,'2022 YE Def Tax Detail'!$J$6:$J$57)</f>
        <v>362799.91256122629</v>
      </c>
      <c r="G5" s="7">
        <f>SUMIF('2022 YE Depr Expense'!$G$6:$G$57,'Gas Closings Summary'!$B5,'2022 YE Depr Expense'!$J$6:$J$57)</f>
        <v>15378.108803436426</v>
      </c>
    </row>
    <row r="6" spans="1:16" x14ac:dyDescent="0.25">
      <c r="A6" s="41">
        <f t="shared" ref="A6:A21" si="0">A5+1</f>
        <v>3</v>
      </c>
      <c r="B6" t="s">
        <v>6</v>
      </c>
      <c r="C6" s="7">
        <f>SUMIF('2022 YE Gross Plant Detail'!$G$6:$G$62,'Gas Closings Summary'!$B6,'2022 YE Gross Plant Detail'!$J$6:$J$62)</f>
        <v>3848339.8700000006</v>
      </c>
      <c r="D6" s="7">
        <f>SUMIF('2022 YE Accum Depr Detail'!$G$6:$G$57,'Gas Closings Summary'!$B6,'2022 YE Accum Depr Detail'!$J$6:$J$57)</f>
        <v>49422.315506603642</v>
      </c>
      <c r="E6" s="7">
        <f>SUMIF('2022 YE Def Tax Detail'!$G$6:$G$57,'Gas Closings Summary'!$B6,'2022 YE Def Tax Detail'!$J$6:$J$57)</f>
        <v>62413.28951603164</v>
      </c>
      <c r="G6" s="7">
        <f>SUMIF('2022 YE Depr Expense'!$G$6:$G$57,'Gas Closings Summary'!$B6,'2022 YE Depr Expense'!$J$6:$J$57)</f>
        <v>49422.315506603634</v>
      </c>
      <c r="P6" s="2"/>
    </row>
    <row r="7" spans="1:16" x14ac:dyDescent="0.25">
      <c r="A7" s="41">
        <f t="shared" si="0"/>
        <v>4</v>
      </c>
      <c r="B7" t="s">
        <v>8</v>
      </c>
      <c r="C7" s="7">
        <f>SUMIF('2022 YE Gross Plant Detail'!$G$6:$G$62,'Gas Closings Summary'!$B7,'2022 YE Gross Plant Detail'!$J$6:$J$62)</f>
        <v>-1411391.3399999999</v>
      </c>
      <c r="D7" s="7">
        <f>SUMIF('2022 YE Accum Depr Detail'!$G$6:$G$57,'Gas Closings Summary'!$B7,'2022 YE Accum Depr Detail'!$J$6:$J$57)</f>
        <v>-24971.386520759104</v>
      </c>
      <c r="E7" s="7">
        <f>SUMIF('2022 YE Def Tax Detail'!$G$6:$G$57,'Gas Closings Summary'!$B7,'2022 YE Def Tax Detail'!$J$6:$J$57)</f>
        <v>-25005.136669758933</v>
      </c>
      <c r="G7" s="7">
        <f>SUMIF('2022 YE Depr Expense'!$G$6:$G$57,'Gas Closings Summary'!$B7,'2022 YE Depr Expense'!$J$6:$J$57)</f>
        <v>-24971.386520759104</v>
      </c>
      <c r="P7" s="2"/>
    </row>
    <row r="8" spans="1:16" x14ac:dyDescent="0.25">
      <c r="A8" s="41">
        <f t="shared" si="0"/>
        <v>5</v>
      </c>
      <c r="B8" t="s">
        <v>9</v>
      </c>
      <c r="C8" s="7">
        <f>SUMIF('2022 YE Gross Plant Detail'!$G$6:$G$62,'Gas Closings Summary'!$B8,'2022 YE Gross Plant Detail'!$J$6:$J$62)</f>
        <v>13555.330000000004</v>
      </c>
      <c r="D8" s="7">
        <f>SUMIF('2022 YE Accum Depr Detail'!$G$6:$G$57,'Gas Closings Summary'!$B8,'2022 YE Accum Depr Detail'!$J$6:$J$57)</f>
        <v>242.48172473255948</v>
      </c>
      <c r="E8" s="7">
        <f>SUMIF('2022 YE Def Tax Detail'!$G$6:$G$57,'Gas Closings Summary'!$B8,'2022 YE Def Tax Detail'!$J$6:$J$57)</f>
        <v>243.13846600774417</v>
      </c>
      <c r="G8" s="7">
        <f>SUMIF('2022 YE Depr Expense'!$G$6:$G$57,'Gas Closings Summary'!$B8,'2022 YE Depr Expense'!$J$6:$J$57)</f>
        <v>242.48172473255946</v>
      </c>
      <c r="P8" s="2"/>
    </row>
    <row r="9" spans="1:16" x14ac:dyDescent="0.25">
      <c r="A9" s="41">
        <f t="shared" si="0"/>
        <v>6</v>
      </c>
      <c r="B9" t="s">
        <v>10</v>
      </c>
      <c r="C9" s="7">
        <f>SUMIF('2022 YE Gross Plant Detail'!$G$6:$G$62,'Gas Closings Summary'!$B9,'2022 YE Gross Plant Detail'!$J$6:$J$62)</f>
        <v>77503498.00999999</v>
      </c>
      <c r="D9" s="7">
        <f>SUMIF('2022 YE Accum Depr Detail'!$G$6:$G$57,'Gas Closings Summary'!$B9,'2022 YE Accum Depr Detail'!$J$6:$J$57)</f>
        <v>1161317.7066769691</v>
      </c>
      <c r="E9" s="7">
        <f>SUMIF('2022 YE Def Tax Detail'!$G$6:$G$57,'Gas Closings Summary'!$B9,'2022 YE Def Tax Detail'!$J$6:$J$57)</f>
        <v>1425947.7030838949</v>
      </c>
      <c r="G9" s="7">
        <f>SUMIF('2022 YE Depr Expense'!$G$6:$G$57,'Gas Closings Summary'!$B9,'2022 YE Depr Expense'!$J$6:$J$57)</f>
        <v>1161317.7066769688</v>
      </c>
      <c r="P9" s="2"/>
    </row>
    <row r="10" spans="1:16" x14ac:dyDescent="0.25">
      <c r="A10" s="41">
        <f t="shared" si="0"/>
        <v>7</v>
      </c>
      <c r="B10" t="s">
        <v>12</v>
      </c>
      <c r="C10" s="7">
        <f>SUMIF('2022 YE Gross Plant Detail'!$G$6:$G$62,'Gas Closings Summary'!$B10,'2022 YE Gross Plant Detail'!$J$6:$J$62)</f>
        <v>2544340.433336</v>
      </c>
      <c r="D10" s="7">
        <f>SUMIF('2022 YE Accum Depr Detail'!$G$6:$G$57,'Gas Closings Summary'!$B10,'2022 YE Accum Depr Detail'!$J$6:$J$57)</f>
        <v>223320.63075703333</v>
      </c>
      <c r="E10" s="7">
        <f>SUMIF('2022 YE Def Tax Detail'!$G$6:$G$57,'Gas Closings Summary'!$B10,'2022 YE Def Tax Detail'!$J$6:$J$57)</f>
        <v>57415.496364134102</v>
      </c>
      <c r="G10" s="7">
        <f>SUMIF('2022 YE Depr Expense'!$G$6:$G$57,'Gas Closings Summary'!$B10,'2022 YE Depr Expense'!$J$6:$J$57)</f>
        <v>223320.63075703333</v>
      </c>
      <c r="P10" s="2"/>
    </row>
    <row r="11" spans="1:16" x14ac:dyDescent="0.25">
      <c r="A11" s="41">
        <f t="shared" si="0"/>
        <v>8</v>
      </c>
      <c r="B11" t="s">
        <v>14</v>
      </c>
      <c r="C11" s="7">
        <f>SUMIF('2022 YE Gross Plant Detail'!$G$6:$G$62,'Gas Closings Summary'!$B11,'2022 YE Gross Plant Detail'!$J$6:$J$62)</f>
        <v>14576020.680000002</v>
      </c>
      <c r="D11" s="7">
        <f>SUMIF('2022 YE Accum Depr Detail'!$G$6:$G$57,'Gas Closings Summary'!$B11,'2022 YE Accum Depr Detail'!$J$6:$J$57)</f>
        <v>199605.38516592441</v>
      </c>
      <c r="E11" s="7">
        <f>SUMIF('2022 YE Def Tax Detail'!$G$6:$G$57,'Gas Closings Summary'!$B11,'2022 YE Def Tax Detail'!$J$6:$J$57)</f>
        <v>265409.40652960073</v>
      </c>
      <c r="G11" s="7">
        <f>SUMIF('2022 YE Depr Expense'!$G$6:$G$57,'Gas Closings Summary'!$B11,'2022 YE Depr Expense'!$J$6:$J$57)</f>
        <v>199605.38516592441</v>
      </c>
      <c r="P11" s="2"/>
    </row>
    <row r="12" spans="1:16" x14ac:dyDescent="0.25">
      <c r="A12" s="41">
        <f t="shared" si="0"/>
        <v>9</v>
      </c>
      <c r="B12" t="s">
        <v>16</v>
      </c>
      <c r="C12" s="7">
        <f>SUMIF('2022 YE Gross Plant Detail'!$G$6:$G$62,'Gas Closings Summary'!$B12,'2022 YE Gross Plant Detail'!$J$6:$J$62)</f>
        <v>11563966.49</v>
      </c>
      <c r="D12" s="7">
        <f>SUMIF('2022 YE Accum Depr Detail'!$G$6:$G$57,'Gas Closings Summary'!$B12,'2022 YE Accum Depr Detail'!$J$6:$J$57)</f>
        <v>170815.67126011377</v>
      </c>
      <c r="E12" s="7">
        <f>SUMIF('2022 YE Def Tax Detail'!$G$6:$G$57,'Gas Closings Summary'!$B12,'2022 YE Def Tax Detail'!$J$6:$J$57)</f>
        <v>207728.43923199398</v>
      </c>
      <c r="G12" s="7">
        <f>SUMIF('2022 YE Depr Expense'!$G$6:$G$57,'Gas Closings Summary'!$B12,'2022 YE Depr Expense'!$J$6:$J$57)</f>
        <v>170815.67126011371</v>
      </c>
      <c r="P12" s="2"/>
    </row>
    <row r="13" spans="1:16" x14ac:dyDescent="0.25">
      <c r="A13" s="41">
        <f t="shared" si="0"/>
        <v>10</v>
      </c>
      <c r="B13" t="s">
        <v>20</v>
      </c>
      <c r="C13" s="7">
        <f>SUMIF('2022 YE Gross Plant Detail'!$G$6:$G$62,'Gas Closings Summary'!$B13,'2022 YE Gross Plant Detail'!$J$6:$J$62)</f>
        <v>3278346.1573859993</v>
      </c>
      <c r="D13" s="7">
        <f>SUMIF('2022 YE Accum Depr Detail'!$G$6:$G$57,'Gas Closings Summary'!$B13,'2022 YE Accum Depr Detail'!$J$6:$J$57)</f>
        <v>524285.18765688094</v>
      </c>
      <c r="E13" s="7">
        <f>SUMIF('2022 YE Def Tax Detail'!$G$6:$G$57,'Gas Closings Summary'!$B13,'2022 YE Def Tax Detail'!$J$6:$J$57)</f>
        <v>49472.377959021745</v>
      </c>
      <c r="G13" s="7">
        <f>SUMIF('2022 YE Depr Expense'!$G$6:$G$57,'Gas Closings Summary'!$B13,'2022 YE Depr Expense'!$J$6:$J$57)</f>
        <v>524285.18765688094</v>
      </c>
      <c r="P13" s="2"/>
    </row>
    <row r="14" spans="1:16" x14ac:dyDescent="0.25">
      <c r="A14" s="41">
        <f t="shared" si="0"/>
        <v>11</v>
      </c>
      <c r="B14" t="s">
        <v>24</v>
      </c>
      <c r="C14" s="7">
        <f>SUMIF('2022 YE Gross Plant Detail'!$G$6:$G$62,'Gas Closings Summary'!$B14,'2022 YE Gross Plant Detail'!$J$6:$J$62)</f>
        <v>458640.08999999991</v>
      </c>
      <c r="D14" s="7">
        <f>SUMIF('2022 YE Accum Depr Detail'!$G$6:$G$57,'Gas Closings Summary'!$B14,'2022 YE Accum Depr Detail'!$J$6:$J$57)</f>
        <v>12141.904233791665</v>
      </c>
      <c r="E14" s="7">
        <f>SUMIF('2022 YE Def Tax Detail'!$G$6:$G$57,'Gas Closings Summary'!$B14,'2022 YE Def Tax Detail'!$J$6:$J$57)</f>
        <v>7355.9965613194927</v>
      </c>
      <c r="G14" s="7">
        <f>SUMIF('2022 YE Depr Expense'!$G$6:$G$57,'Gas Closings Summary'!$B14,'2022 YE Depr Expense'!$J$6:$J$57)</f>
        <v>12141.904233791665</v>
      </c>
      <c r="P14" s="2"/>
    </row>
    <row r="15" spans="1:16" x14ac:dyDescent="0.25">
      <c r="A15" s="41">
        <f t="shared" si="0"/>
        <v>12</v>
      </c>
      <c r="B15" t="s">
        <v>114</v>
      </c>
      <c r="C15" s="7">
        <f>SUMIF('2022 YE Gross Plant Detail'!$G$6:$G$62,'Gas Closings Summary'!$B15,'2022 YE Gross Plant Detail'!$J$6:$J$62)</f>
        <v>11165824.142211998</v>
      </c>
      <c r="D15" s="7">
        <f>SUMIF('2022 YE Accum Depr Detail'!$G$6:$G$57,'Gas Closings Summary'!$B15,'2022 YE Accum Depr Detail'!$J$6:$J$57)</f>
        <v>129151.21910210038</v>
      </c>
      <c r="E15" s="7">
        <f>SUMIF('2022 YE Def Tax Detail'!$G$6:$G$57,'Gas Closings Summary'!$B15,'2022 YE Def Tax Detail'!$J$6:$J$57)</f>
        <v>195810.20368159219</v>
      </c>
      <c r="G15" s="7">
        <f>SUMIF('2022 YE Depr Expense'!$G$6:$G$57,'Gas Closings Summary'!$B15,'2022 YE Depr Expense'!$J$6:$J$57)</f>
        <v>129151.2191021004</v>
      </c>
      <c r="P15" s="2"/>
    </row>
    <row r="16" spans="1:16" x14ac:dyDescent="0.25">
      <c r="A16" s="41">
        <f t="shared" si="0"/>
        <v>13</v>
      </c>
      <c r="B16" t="s">
        <v>27</v>
      </c>
      <c r="C16" s="7">
        <f>SUMIF('2022 YE Gross Plant Detail'!$G$6:$G$62,'Gas Closings Summary'!$B16,'2022 YE Gross Plant Detail'!$J$6:$J$62)</f>
        <v>25969979.530000005</v>
      </c>
      <c r="D16" s="7">
        <f>SUMIF('2022 YE Accum Depr Detail'!$G$6:$G$57,'Gas Closings Summary'!$B16,'2022 YE Accum Depr Detail'!$J$6:$J$57)</f>
        <v>190042.14845561283</v>
      </c>
      <c r="E16" s="7">
        <f>SUMIF('2022 YE Def Tax Detail'!$G$6:$G$57,'Gas Closings Summary'!$B16,'2022 YE Def Tax Detail'!$J$6:$J$57)</f>
        <v>491711.43093152024</v>
      </c>
      <c r="G16" s="7">
        <f>SUMIF('2022 YE Depr Expense'!$G$6:$G$57,'Gas Closings Summary'!$B16,'2022 YE Depr Expense'!$J$6:$J$57)</f>
        <v>190042.14845561283</v>
      </c>
      <c r="P16" s="2"/>
    </row>
    <row r="17" spans="1:16" x14ac:dyDescent="0.25">
      <c r="A17" s="41">
        <f t="shared" si="0"/>
        <v>14</v>
      </c>
      <c r="B17" t="s">
        <v>28</v>
      </c>
      <c r="C17" s="7">
        <f>SUMIF('2022 YE Gross Plant Detail'!$G$6:$G$62,'Gas Closings Summary'!$B17,'2022 YE Gross Plant Detail'!$J$6:$J$62)</f>
        <v>39772155.309999995</v>
      </c>
      <c r="D17" s="7">
        <f>SUMIF('2022 YE Accum Depr Detail'!$G$6:$G$57,'Gas Closings Summary'!$B17,'2022 YE Accum Depr Detail'!$J$6:$J$57)</f>
        <v>447662.99560022721</v>
      </c>
      <c r="E17" s="7">
        <f>SUMIF('2022 YE Def Tax Detail'!$G$6:$G$57,'Gas Closings Summary'!$B17,'2022 YE Def Tax Detail'!$J$6:$J$57)</f>
        <v>733477.36568307935</v>
      </c>
      <c r="G17" s="7">
        <f>SUMIF('2022 YE Depr Expense'!$G$6:$G$57,'Gas Closings Summary'!$B17,'2022 YE Depr Expense'!$J$6:$J$57)</f>
        <v>447662.99560022715</v>
      </c>
      <c r="P17" s="2"/>
    </row>
    <row r="18" spans="1:16" x14ac:dyDescent="0.25">
      <c r="A18" s="41">
        <f t="shared" si="0"/>
        <v>15</v>
      </c>
      <c r="B18" t="s">
        <v>29</v>
      </c>
      <c r="C18" s="7">
        <f>SUMIF('2022 YE Gross Plant Detail'!$G$6:$G$62,'Gas Closings Summary'!$B18,'2022 YE Gross Plant Detail'!$J$6:$J$62)</f>
        <v>24239223.060915995</v>
      </c>
      <c r="D18" s="7">
        <f>SUMIF('2022 YE Accum Depr Detail'!$G$6:$G$57,'Gas Closings Summary'!$B18,'2022 YE Accum Depr Detail'!$J$6:$J$57)</f>
        <v>1183255.441470081</v>
      </c>
      <c r="E18" s="7">
        <f>SUMIF('2022 YE Def Tax Detail'!$G$6:$G$57,'Gas Closings Summary'!$B18,'2022 YE Def Tax Detail'!$J$6:$J$57)</f>
        <v>534101.27038136288</v>
      </c>
      <c r="G18" s="7">
        <f>SUMIF('2022 YE Depr Expense'!$G$6:$G$57,'Gas Closings Summary'!$B18,'2022 YE Depr Expense'!$J$6:$J$57)</f>
        <v>1183255.441470081</v>
      </c>
      <c r="P18" s="2"/>
    </row>
    <row r="19" spans="1:16" x14ac:dyDescent="0.25">
      <c r="A19" s="41">
        <f t="shared" si="0"/>
        <v>16</v>
      </c>
      <c r="B19" t="s">
        <v>33</v>
      </c>
      <c r="C19" s="7">
        <f>SUMIF('2022 YE Gross Plant Detail'!$G$6:$G$62,'Gas Closings Summary'!$B19,'2022 YE Gross Plant Detail'!$J$6:$J$62)</f>
        <v>540650.28602000012</v>
      </c>
      <c r="D19" s="7">
        <f>SUMIF('2022 YE Accum Depr Detail'!$G$6:$G$57,'Gas Closings Summary'!$B19,'2022 YE Accum Depr Detail'!$J$6:$J$57)</f>
        <v>38712.176636108088</v>
      </c>
      <c r="E19" s="7">
        <f>SUMIF('2022 YE Def Tax Detail'!$G$6:$G$57,'Gas Closings Summary'!$B19,'2022 YE Def Tax Detail'!$J$6:$J$57)</f>
        <v>17376.34187808117</v>
      </c>
      <c r="G19" s="7">
        <f>SUMIF('2022 YE Depr Expense'!$G$6:$G$57,'Gas Closings Summary'!$B19,'2022 YE Depr Expense'!$J$6:$J$57)</f>
        <v>38712.176636108088</v>
      </c>
      <c r="P19" s="2"/>
    </row>
    <row r="20" spans="1:16" x14ac:dyDescent="0.25">
      <c r="A20" s="41">
        <f t="shared" si="0"/>
        <v>17</v>
      </c>
      <c r="B20" s="6" t="s">
        <v>57</v>
      </c>
      <c r="C20" s="12">
        <f>'2022 Pre-Cap Summary'!C18</f>
        <v>22677939.829999916</v>
      </c>
      <c r="D20" s="12">
        <f>-'2022 Pre-Cap Summary'!$D$18</f>
        <v>540456.33647983195</v>
      </c>
      <c r="E20" s="12">
        <f>-'2022 Pre-Cap Summary'!$E$18</f>
        <v>682251.80860182061</v>
      </c>
      <c r="G20" s="29">
        <f>'2022 Pre-Cap Summary'!H18</f>
        <v>540456.33647983195</v>
      </c>
      <c r="P20" s="2"/>
    </row>
    <row r="21" spans="1:16" x14ac:dyDescent="0.25">
      <c r="A21" s="41">
        <f t="shared" si="0"/>
        <v>18</v>
      </c>
      <c r="B21" s="92" t="s">
        <v>144</v>
      </c>
      <c r="C21" s="3">
        <f>SUM(C4:C20)</f>
        <v>246950918.70567396</v>
      </c>
      <c r="D21" s="3">
        <f>SUM(D4:D20)</f>
        <v>4907760.4821463246</v>
      </c>
      <c r="E21" s="3">
        <f>SUM(E4:E20)</f>
        <v>5259970.2769679548</v>
      </c>
      <c r="G21" s="3">
        <f>SUM(G4:G20)</f>
        <v>4907760.4821463246</v>
      </c>
      <c r="P21" s="2"/>
    </row>
    <row r="22" spans="1:16" x14ac:dyDescent="0.25">
      <c r="P22" s="2"/>
    </row>
    <row r="23" spans="1:16" x14ac:dyDescent="0.25">
      <c r="P23" s="2"/>
    </row>
    <row r="24" spans="1:16" x14ac:dyDescent="0.25">
      <c r="P24" s="2"/>
    </row>
    <row r="25" spans="1:16" x14ac:dyDescent="0.25">
      <c r="P25" s="2"/>
    </row>
    <row r="26" spans="1:16" x14ac:dyDescent="0.25">
      <c r="P26" s="2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zoomScale="90" zoomScaleNormal="90" workbookViewId="0">
      <selection activeCell="H14" sqref="H14"/>
    </sheetView>
  </sheetViews>
  <sheetFormatPr defaultColWidth="8.85546875" defaultRowHeight="15" x14ac:dyDescent="0.25"/>
  <cols>
    <col min="1" max="1" width="8.85546875" style="30"/>
    <col min="2" max="2" width="39.85546875" style="30" bestFit="1" customWidth="1"/>
    <col min="3" max="3" width="20.42578125" style="30" bestFit="1" customWidth="1"/>
    <col min="4" max="4" width="17.28515625" style="30" bestFit="1" customWidth="1"/>
    <col min="5" max="5" width="14.5703125" style="30" customWidth="1"/>
    <col min="6" max="6" width="5.140625" style="30" customWidth="1"/>
    <col min="7" max="7" width="39.85546875" style="30" bestFit="1" customWidth="1"/>
    <col min="8" max="8" width="20.42578125" style="30" bestFit="1" customWidth="1"/>
    <col min="9" max="9" width="17.28515625" style="30" bestFit="1" customWidth="1"/>
    <col min="10" max="10" width="15.7109375" style="30" bestFit="1" customWidth="1"/>
    <col min="11" max="11" width="7.85546875" style="30" bestFit="1" customWidth="1"/>
    <col min="12" max="12" width="27.5703125" style="30" bestFit="1" customWidth="1"/>
    <col min="13" max="14" width="11.5703125" style="30" customWidth="1"/>
    <col min="15" max="16384" width="8.85546875" style="30"/>
  </cols>
  <sheetData>
    <row r="2" spans="1:12" ht="18.75" x14ac:dyDescent="0.3">
      <c r="B2" s="80" t="s">
        <v>135</v>
      </c>
      <c r="C2" s="77"/>
      <c r="D2" s="31"/>
      <c r="E2" s="31"/>
      <c r="F2" s="78"/>
      <c r="G2" s="80" t="s">
        <v>136</v>
      </c>
      <c r="H2" s="77"/>
      <c r="I2" s="31"/>
      <c r="J2" s="31"/>
    </row>
    <row r="3" spans="1:12" ht="18.75" x14ac:dyDescent="0.3">
      <c r="B3" s="80"/>
      <c r="C3" s="77"/>
      <c r="D3" s="31"/>
      <c r="E3" s="31"/>
      <c r="F3" s="78"/>
      <c r="G3" s="80"/>
      <c r="H3" s="77"/>
      <c r="I3" s="31"/>
      <c r="J3" s="31"/>
    </row>
    <row r="4" spans="1:12" x14ac:dyDescent="0.25">
      <c r="C4" s="76" t="s">
        <v>133</v>
      </c>
      <c r="D4" s="31" t="s">
        <v>134</v>
      </c>
      <c r="E4" s="32"/>
      <c r="F4" s="78"/>
      <c r="H4" s="76" t="s">
        <v>133</v>
      </c>
      <c r="I4" s="31" t="s">
        <v>134</v>
      </c>
      <c r="J4" s="32"/>
    </row>
    <row r="5" spans="1:12" x14ac:dyDescent="0.25">
      <c r="A5" s="76" t="s">
        <v>60</v>
      </c>
      <c r="C5" s="33" t="s">
        <v>81</v>
      </c>
      <c r="D5" s="33" t="s">
        <v>81</v>
      </c>
      <c r="E5" s="33" t="s">
        <v>138</v>
      </c>
      <c r="F5" s="78"/>
      <c r="H5" s="33" t="s">
        <v>81</v>
      </c>
      <c r="I5" s="33" t="s">
        <v>81</v>
      </c>
      <c r="J5" s="33" t="s">
        <v>138</v>
      </c>
    </row>
    <row r="6" spans="1:12" x14ac:dyDescent="0.25">
      <c r="A6" s="34" t="s">
        <v>66</v>
      </c>
      <c r="B6" s="90"/>
      <c r="C6" s="34" t="s">
        <v>82</v>
      </c>
      <c r="D6" s="34" t="s">
        <v>83</v>
      </c>
      <c r="E6" s="34" t="s">
        <v>137</v>
      </c>
      <c r="F6" s="91"/>
      <c r="G6" s="90"/>
      <c r="H6" s="34" t="s">
        <v>82</v>
      </c>
      <c r="I6" s="34" t="s">
        <v>83</v>
      </c>
      <c r="J6" s="34" t="s">
        <v>137</v>
      </c>
      <c r="L6" s="35"/>
    </row>
    <row r="7" spans="1:12" x14ac:dyDescent="0.25">
      <c r="A7" s="41">
        <v>1</v>
      </c>
      <c r="B7" s="67" t="s">
        <v>126</v>
      </c>
      <c r="C7" s="33"/>
      <c r="D7" s="33"/>
      <c r="E7" s="33"/>
      <c r="F7" s="78"/>
      <c r="G7" s="67" t="s">
        <v>126</v>
      </c>
      <c r="H7" s="33"/>
      <c r="I7" s="33"/>
      <c r="J7" s="33"/>
      <c r="L7" s="35"/>
    </row>
    <row r="8" spans="1:12" x14ac:dyDescent="0.25">
      <c r="A8" s="41">
        <f>A7+1</f>
        <v>2</v>
      </c>
      <c r="B8" s="30" t="s">
        <v>84</v>
      </c>
      <c r="C8" s="188">
        <v>488246218.25586998</v>
      </c>
      <c r="D8" s="188">
        <f>'Electric Closings Summary'!C26</f>
        <v>507875039.91432595</v>
      </c>
      <c r="E8" s="188">
        <f t="shared" ref="E8:E13" si="0">(D8-C8)*C$32/C$34</f>
        <v>1868032.5521136262</v>
      </c>
      <c r="F8" s="78"/>
      <c r="G8" s="30" t="s">
        <v>84</v>
      </c>
      <c r="H8" s="188">
        <v>275180706.80413002</v>
      </c>
      <c r="I8" s="188">
        <f>'Gas Closings Summary'!C21</f>
        <v>246950918.70567396</v>
      </c>
      <c r="J8" s="188">
        <f t="shared" ref="J8:J13" si="1">(I8-H8)*H$32/H$34</f>
        <v>-2677861.8839262975</v>
      </c>
      <c r="L8" s="36"/>
    </row>
    <row r="9" spans="1:12" x14ac:dyDescent="0.25">
      <c r="A9" s="41">
        <f t="shared" ref="A9:A34" si="2">A8+1</f>
        <v>3</v>
      </c>
      <c r="B9" s="30" t="s">
        <v>85</v>
      </c>
      <c r="C9" s="36">
        <v>-10030413.777323999</v>
      </c>
      <c r="D9" s="36">
        <f>-'Electric Closings Summary'!D26</f>
        <v>-11915301.200613739</v>
      </c>
      <c r="E9" s="36">
        <f t="shared" si="0"/>
        <v>-179380.66405825096</v>
      </c>
      <c r="F9" s="78"/>
      <c r="G9" s="30" t="s">
        <v>85</v>
      </c>
      <c r="H9" s="36">
        <v>-5253997.1026760004</v>
      </c>
      <c r="I9" s="36">
        <f>-'Gas Closings Summary'!D21</f>
        <v>-4907760.4821463246</v>
      </c>
      <c r="J9" s="36">
        <f t="shared" si="1"/>
        <v>32843.811852295883</v>
      </c>
    </row>
    <row r="10" spans="1:12" x14ac:dyDescent="0.25">
      <c r="A10" s="41">
        <f t="shared" si="2"/>
        <v>4</v>
      </c>
      <c r="B10" s="30" t="s">
        <v>86</v>
      </c>
      <c r="C10" s="37">
        <v>-4742307.5805559997</v>
      </c>
      <c r="D10" s="37">
        <f>-'Electric Closings Summary'!E26</f>
        <v>-14030589.723037705</v>
      </c>
      <c r="E10" s="36">
        <f t="shared" si="0"/>
        <v>-883945.74556119123</v>
      </c>
      <c r="F10" s="78"/>
      <c r="G10" s="30" t="s">
        <v>86</v>
      </c>
      <c r="H10" s="37">
        <v>-1951090.2194439999</v>
      </c>
      <c r="I10" s="37">
        <f>-'Gas Closings Summary'!E21</f>
        <v>-5259970.2769679548</v>
      </c>
      <c r="J10" s="36">
        <f t="shared" si="1"/>
        <v>-313878.50853233517</v>
      </c>
    </row>
    <row r="11" spans="1:12" x14ac:dyDescent="0.25">
      <c r="A11" s="41">
        <f t="shared" si="2"/>
        <v>5</v>
      </c>
      <c r="B11" s="30" t="s">
        <v>87</v>
      </c>
      <c r="C11" s="37">
        <v>0</v>
      </c>
      <c r="D11" s="37">
        <v>0</v>
      </c>
      <c r="E11" s="36">
        <f t="shared" si="0"/>
        <v>0</v>
      </c>
      <c r="F11" s="78"/>
      <c r="G11" s="30" t="s">
        <v>87</v>
      </c>
      <c r="H11" s="37">
        <v>0</v>
      </c>
      <c r="I11" s="37">
        <v>0</v>
      </c>
      <c r="J11" s="36">
        <f t="shared" si="1"/>
        <v>0</v>
      </c>
    </row>
    <row r="12" spans="1:12" x14ac:dyDescent="0.25">
      <c r="A12" s="41">
        <f t="shared" si="2"/>
        <v>6</v>
      </c>
      <c r="B12" s="30" t="s">
        <v>88</v>
      </c>
      <c r="C12" s="37">
        <v>2973871.9584680009</v>
      </c>
      <c r="D12" s="38">
        <f>'2022 Retirement Depr Adj'!F13</f>
        <v>2607017.0229187747</v>
      </c>
      <c r="E12" s="36">
        <f t="shared" si="0"/>
        <v>-34912.79168122042</v>
      </c>
      <c r="F12" s="78"/>
      <c r="G12" s="30" t="s">
        <v>88</v>
      </c>
      <c r="H12" s="37">
        <v>691150.87153200002</v>
      </c>
      <c r="I12" s="38">
        <f>'2022 Retirement Depr Adj'!F23</f>
        <v>906593.54143960041</v>
      </c>
      <c r="J12" s="36">
        <f t="shared" si="1"/>
        <v>20436.770970605743</v>
      </c>
    </row>
    <row r="13" spans="1:12" x14ac:dyDescent="0.25">
      <c r="A13" s="41">
        <f t="shared" si="2"/>
        <v>7</v>
      </c>
      <c r="B13" s="30" t="s">
        <v>89</v>
      </c>
      <c r="C13" s="37">
        <v>-9603810.1312885284</v>
      </c>
      <c r="D13" s="38">
        <f>'2022 Retirement Depr Adj'!F15+'2022 Retirement Depr Adj'!F16</f>
        <v>-6276401.9387100171</v>
      </c>
      <c r="E13" s="36">
        <f t="shared" si="0"/>
        <v>316662.24932195758</v>
      </c>
      <c r="F13" s="78"/>
      <c r="G13" s="30" t="s">
        <v>89</v>
      </c>
      <c r="H13" s="37">
        <v>-4750426.2986774743</v>
      </c>
      <c r="I13" s="38">
        <f>'2022 Retirement Depr Adj'!F25+'2022 Retirement Depr Adj'!F26</f>
        <v>-1423274.1576899998</v>
      </c>
      <c r="J13" s="36">
        <f t="shared" si="1"/>
        <v>315611.78813316778</v>
      </c>
      <c r="K13"/>
      <c r="L13"/>
    </row>
    <row r="14" spans="1:12" ht="15.75" thickBot="1" x14ac:dyDescent="0.3">
      <c r="A14" s="41">
        <f t="shared" si="2"/>
        <v>8</v>
      </c>
      <c r="B14" s="68" t="s">
        <v>127</v>
      </c>
      <c r="C14" s="69">
        <f>SUM(C8:C13)</f>
        <v>466843558.72516948</v>
      </c>
      <c r="D14" s="69">
        <f>SUM(D8:D13)</f>
        <v>478259764.07488322</v>
      </c>
      <c r="E14" s="69">
        <f>SUM(E8:E13)</f>
        <v>1086455.6001349213</v>
      </c>
      <c r="F14" s="187">
        <f>(D14-C14)*$C$32/$C$34-E14</f>
        <v>-6.28642737865448E-9</v>
      </c>
      <c r="G14" s="68" t="s">
        <v>127</v>
      </c>
      <c r="H14" s="69">
        <f>SUM(H8:H13)</f>
        <v>263916344.05486456</v>
      </c>
      <c r="I14" s="69">
        <f>SUM(I8:I13)</f>
        <v>236266507.3303093</v>
      </c>
      <c r="J14" s="69">
        <f>SUM(J8:J13)</f>
        <v>-2622848.0215025633</v>
      </c>
      <c r="K14" s="190">
        <f>(I14-H14)*$H$32/$H$34-J14</f>
        <v>0</v>
      </c>
    </row>
    <row r="15" spans="1:12" x14ac:dyDescent="0.25">
      <c r="A15" s="41">
        <f t="shared" si="2"/>
        <v>9</v>
      </c>
      <c r="B15" s="71"/>
      <c r="C15" s="72"/>
      <c r="D15" s="72"/>
      <c r="E15" s="70"/>
      <c r="F15" s="79"/>
      <c r="G15" s="71"/>
      <c r="H15" s="72"/>
      <c r="I15" s="72"/>
      <c r="J15" s="70"/>
      <c r="K15" s="71"/>
    </row>
    <row r="16" spans="1:12" x14ac:dyDescent="0.25">
      <c r="A16" s="41">
        <f t="shared" si="2"/>
        <v>10</v>
      </c>
      <c r="B16" s="67" t="s">
        <v>128</v>
      </c>
      <c r="E16" s="40"/>
      <c r="F16" s="78"/>
      <c r="G16" s="67" t="s">
        <v>128</v>
      </c>
      <c r="J16" s="40"/>
      <c r="K16" s="191"/>
    </row>
    <row r="17" spans="1:14" x14ac:dyDescent="0.25">
      <c r="A17" s="41">
        <f t="shared" si="2"/>
        <v>11</v>
      </c>
      <c r="B17" s="30" t="s">
        <v>90</v>
      </c>
      <c r="C17" s="36">
        <v>-10030413.777324</v>
      </c>
      <c r="D17" s="36">
        <f>-'Electric Closings Summary'!G26</f>
        <v>-11915301.200613739</v>
      </c>
      <c r="E17" s="39">
        <f>(D17-C17)/C$34</f>
        <v>-2505316.537126408</v>
      </c>
      <c r="F17" s="78"/>
      <c r="G17" s="30" t="s">
        <v>90</v>
      </c>
      <c r="H17" s="36">
        <v>-5253997.1026760004</v>
      </c>
      <c r="I17" s="36">
        <f>-'Gas Closings Summary'!G21</f>
        <v>-4907760.4821463246</v>
      </c>
      <c r="J17" s="39">
        <f>(I17-H17)/H$34</f>
        <v>458712.4560376521</v>
      </c>
      <c r="K17" s="191"/>
    </row>
    <row r="18" spans="1:14" x14ac:dyDescent="0.25">
      <c r="A18" s="41">
        <f t="shared" si="2"/>
        <v>12</v>
      </c>
      <c r="B18" s="30" t="s">
        <v>91</v>
      </c>
      <c r="C18" s="37">
        <v>2106386.8932380402</v>
      </c>
      <c r="D18" s="37">
        <f>D17*-C33</f>
        <v>2502213.2521288851</v>
      </c>
      <c r="E18" s="39">
        <f>(D18-C18)/C$34</f>
        <v>526116.47279654548</v>
      </c>
      <c r="F18" s="78"/>
      <c r="G18" s="30" t="s">
        <v>91</v>
      </c>
      <c r="H18" s="37">
        <v>1103339.3915619601</v>
      </c>
      <c r="I18" s="37">
        <f>I17*-H33</f>
        <v>1030629.7012507281</v>
      </c>
      <c r="J18" s="39">
        <f>(I18-H18)/H$34</f>
        <v>-96329.615767907031</v>
      </c>
      <c r="K18" s="191"/>
    </row>
    <row r="19" spans="1:14" x14ac:dyDescent="0.25">
      <c r="A19" s="41">
        <f t="shared" si="2"/>
        <v>13</v>
      </c>
      <c r="B19" s="30" t="s">
        <v>92</v>
      </c>
      <c r="C19" s="37">
        <v>2973871.9584680009</v>
      </c>
      <c r="D19" s="38">
        <f>-'2022 Retirement Depr Adj'!C13</f>
        <v>2607017.0229187747</v>
      </c>
      <c r="E19" s="39">
        <f>(D19-C19)/C$34</f>
        <v>-487608.8223634137</v>
      </c>
      <c r="F19" s="78"/>
      <c r="G19" s="30" t="s">
        <v>92</v>
      </c>
      <c r="H19" s="37">
        <v>691150.87153200095</v>
      </c>
      <c r="I19" s="38">
        <f>'2022 Retirement Depr Adj'!F23</f>
        <v>906593.54143960041</v>
      </c>
      <c r="J19" s="39">
        <f>(I19-H19)/H$34</f>
        <v>285429.76215929689</v>
      </c>
      <c r="K19" s="191"/>
    </row>
    <row r="20" spans="1:14" x14ac:dyDescent="0.25">
      <c r="A20" s="41">
        <f t="shared" si="2"/>
        <v>14</v>
      </c>
      <c r="B20" s="30" t="s">
        <v>93</v>
      </c>
      <c r="C20" s="37">
        <v>-375232.61574703921</v>
      </c>
      <c r="D20" s="38">
        <f>SUM('2022 Retirement Depr Adj'!C15:C17)</f>
        <v>681838.94392494205</v>
      </c>
      <c r="E20" s="39">
        <f>(D20-C20)/C$34</f>
        <v>1405016.9928716912</v>
      </c>
      <c r="F20" s="78"/>
      <c r="G20" s="30" t="s">
        <v>93</v>
      </c>
      <c r="H20" s="37">
        <v>193331.15524704225</v>
      </c>
      <c r="I20" s="38">
        <f>SUM('2022 Retirement Depr Adj'!C25:C27)</f>
        <v>106594.0745903159</v>
      </c>
      <c r="J20" s="39">
        <f>(I20-H20)/H$34</f>
        <v>-114913.83908702605</v>
      </c>
      <c r="K20" s="191"/>
    </row>
    <row r="21" spans="1:14" x14ac:dyDescent="0.25">
      <c r="A21" s="41">
        <f t="shared" si="2"/>
        <v>15</v>
      </c>
      <c r="B21" s="73" t="s">
        <v>130</v>
      </c>
      <c r="C21" s="74">
        <f>SUM(C17:C20)</f>
        <v>-5325387.5413649986</v>
      </c>
      <c r="D21" s="74">
        <f>SUM(D17:D20)</f>
        <v>-6124231.9816411361</v>
      </c>
      <c r="E21" s="74">
        <f>SUM(E17:E20)</f>
        <v>-1061791.8938215852</v>
      </c>
      <c r="F21" s="78"/>
      <c r="G21" s="73" t="s">
        <v>130</v>
      </c>
      <c r="H21" s="74">
        <f>SUM(H17:H20)</f>
        <v>-3266175.6843349971</v>
      </c>
      <c r="I21" s="74">
        <f>SUM(I17:I20)</f>
        <v>-2863943.16486568</v>
      </c>
      <c r="J21" s="74">
        <f>SUM(J17:J20)</f>
        <v>532898.76334201591</v>
      </c>
      <c r="K21" s="191"/>
    </row>
    <row r="22" spans="1:14" x14ac:dyDescent="0.25">
      <c r="A22" s="41">
        <f t="shared" si="2"/>
        <v>16</v>
      </c>
      <c r="F22" s="78"/>
      <c r="K22" s="191"/>
    </row>
    <row r="23" spans="1:14" x14ac:dyDescent="0.25">
      <c r="A23" s="41">
        <f t="shared" si="2"/>
        <v>17</v>
      </c>
      <c r="B23" s="30" t="s">
        <v>131</v>
      </c>
      <c r="C23" s="37">
        <f>C14*C31*C33</f>
        <v>2499947.2569732824</v>
      </c>
      <c r="D23" s="37">
        <f>D14*C31*C33</f>
        <v>2561081.0366209992</v>
      </c>
      <c r="E23" s="39">
        <f>(D23-C23)/C$34</f>
        <v>81256.560596682131</v>
      </c>
      <c r="F23" s="78"/>
      <c r="G23" s="30" t="s">
        <v>131</v>
      </c>
      <c r="H23" s="37">
        <f>H14*H31*H33</f>
        <v>1413272.0224137995</v>
      </c>
      <c r="I23" s="37">
        <f>I14*H31*H33</f>
        <v>1265207.1467538062</v>
      </c>
      <c r="J23" s="39">
        <f>(I23-H23)/H$34</f>
        <v>-196164.12227857855</v>
      </c>
      <c r="K23" s="191"/>
    </row>
    <row r="24" spans="1:14" ht="15.75" thickBot="1" x14ac:dyDescent="0.3">
      <c r="A24" s="41">
        <f t="shared" si="2"/>
        <v>18</v>
      </c>
      <c r="B24" s="68" t="s">
        <v>129</v>
      </c>
      <c r="C24" s="69">
        <f>C21+C23</f>
        <v>-2825440.2843917161</v>
      </c>
      <c r="D24" s="69">
        <f>D21+D23</f>
        <v>-3563150.9450201369</v>
      </c>
      <c r="E24" s="69">
        <f>E21+E23</f>
        <v>-980535.33322490309</v>
      </c>
      <c r="F24" s="78"/>
      <c r="G24" s="68" t="s">
        <v>129</v>
      </c>
      <c r="H24" s="69">
        <f>H21+H23</f>
        <v>-1852903.6619211975</v>
      </c>
      <c r="I24" s="69">
        <f>I21+I23</f>
        <v>-1598736.0181118739</v>
      </c>
      <c r="J24" s="69">
        <f>J21+J23</f>
        <v>336734.64106343733</v>
      </c>
      <c r="K24" s="191"/>
    </row>
    <row r="25" spans="1:14" x14ac:dyDescent="0.25">
      <c r="A25" s="41">
        <f t="shared" si="2"/>
        <v>19</v>
      </c>
      <c r="C25" s="36"/>
      <c r="D25" s="36"/>
      <c r="E25" s="36"/>
      <c r="F25" s="78"/>
      <c r="H25" s="36"/>
      <c r="I25" s="36"/>
      <c r="J25" s="36"/>
      <c r="K25" s="191"/>
    </row>
    <row r="26" spans="1:14" x14ac:dyDescent="0.25">
      <c r="A26" s="41">
        <f t="shared" si="2"/>
        <v>20</v>
      </c>
      <c r="B26" s="30" t="s">
        <v>132</v>
      </c>
      <c r="C26" s="37">
        <f>C14*C32</f>
        <v>33425998.804722134</v>
      </c>
      <c r="D26" s="37">
        <f>D14*C32</f>
        <v>34243399.107761636</v>
      </c>
      <c r="E26" s="37"/>
      <c r="F26" s="187">
        <f>(D26-C26)/C34-E14</f>
        <v>-8.3819031715393066E-9</v>
      </c>
      <c r="G26" s="30" t="s">
        <v>132</v>
      </c>
      <c r="H26" s="37">
        <f>H14*H32</f>
        <v>18896410.2343283</v>
      </c>
      <c r="I26" s="37">
        <f>I14*H32</f>
        <v>16916681.924850143</v>
      </c>
      <c r="J26" s="37"/>
      <c r="K26" s="190">
        <f>(I26-H26)/H34-J14</f>
        <v>0</v>
      </c>
    </row>
    <row r="27" spans="1:14" ht="15.75" thickBot="1" x14ac:dyDescent="0.3">
      <c r="A27" s="41">
        <f t="shared" si="2"/>
        <v>21</v>
      </c>
      <c r="B27" s="68" t="s">
        <v>94</v>
      </c>
      <c r="C27" s="69">
        <f>C26-C24</f>
        <v>36251439.089113846</v>
      </c>
      <c r="D27" s="69">
        <f>D26-D24</f>
        <v>37806550.052781776</v>
      </c>
      <c r="E27" s="37"/>
      <c r="F27" s="187">
        <f>E27/C34</f>
        <v>0</v>
      </c>
      <c r="G27" s="68" t="s">
        <v>94</v>
      </c>
      <c r="H27" s="69">
        <f>H26-H24</f>
        <v>20749313.896249495</v>
      </c>
      <c r="I27" s="69">
        <f>I26-I24</f>
        <v>18515417.942962017</v>
      </c>
      <c r="J27" s="37"/>
      <c r="K27" s="190">
        <f>J27/H34</f>
        <v>0</v>
      </c>
    </row>
    <row r="28" spans="1:14" x14ac:dyDescent="0.25">
      <c r="A28" s="41">
        <f t="shared" si="2"/>
        <v>22</v>
      </c>
      <c r="C28" s="36"/>
      <c r="D28" s="36"/>
      <c r="E28" s="36"/>
      <c r="F28" s="78"/>
      <c r="H28" s="36"/>
      <c r="I28" s="36"/>
      <c r="J28" s="36"/>
      <c r="K28" s="191"/>
      <c r="M28"/>
      <c r="N28"/>
    </row>
    <row r="29" spans="1:14" ht="15.75" thickBot="1" x14ac:dyDescent="0.3">
      <c r="A29" s="41">
        <f t="shared" si="2"/>
        <v>23</v>
      </c>
      <c r="B29" s="75" t="s">
        <v>95</v>
      </c>
      <c r="C29" s="189">
        <f>C27/C34</f>
        <v>48183954.501683176</v>
      </c>
      <c r="D29" s="189">
        <f>D27/C34</f>
        <v>50250945.435043</v>
      </c>
      <c r="E29" s="189">
        <f>E14-E24</f>
        <v>2066990.9333598244</v>
      </c>
      <c r="F29" s="187">
        <f>(D29-C29)-E29</f>
        <v>0</v>
      </c>
      <c r="G29" s="75" t="s">
        <v>95</v>
      </c>
      <c r="H29" s="189">
        <f>H27/H34</f>
        <v>27489780.612703871</v>
      </c>
      <c r="I29" s="189">
        <f>I27/H34</f>
        <v>24530197.950137872</v>
      </c>
      <c r="J29" s="189">
        <f>J14-J24</f>
        <v>-2959582.6625660006</v>
      </c>
      <c r="K29" s="190">
        <f>(I29-H29)-J29</f>
        <v>0</v>
      </c>
      <c r="M29"/>
      <c r="N29"/>
    </row>
    <row r="30" spans="1:14" ht="15.75" thickTop="1" x14ac:dyDescent="0.25">
      <c r="A30" s="41">
        <f t="shared" si="2"/>
        <v>24</v>
      </c>
      <c r="E30" s="333"/>
      <c r="F30" s="78"/>
    </row>
    <row r="31" spans="1:14" x14ac:dyDescent="0.25">
      <c r="A31" s="41">
        <f t="shared" si="2"/>
        <v>25</v>
      </c>
      <c r="B31" s="30" t="s">
        <v>96</v>
      </c>
      <c r="C31" s="42">
        <f>'SEF-23'!D9</f>
        <v>2.5499999999999998E-2</v>
      </c>
      <c r="E31" s="225"/>
      <c r="F31" s="78"/>
      <c r="G31" s="30" t="s">
        <v>96</v>
      </c>
      <c r="H31" s="42">
        <f>'SEF-24'!D9</f>
        <v>2.5499999999999998E-2</v>
      </c>
      <c r="J31" s="225"/>
      <c r="K31" s="225"/>
    </row>
    <row r="32" spans="1:14" x14ac:dyDescent="0.25">
      <c r="A32" s="41">
        <f t="shared" si="2"/>
        <v>26</v>
      </c>
      <c r="B32" s="30" t="s">
        <v>97</v>
      </c>
      <c r="C32" s="42">
        <f>'SEF-23'!D10</f>
        <v>7.1599999999999997E-2</v>
      </c>
      <c r="F32" s="78"/>
      <c r="G32" s="30" t="s">
        <v>97</v>
      </c>
      <c r="H32" s="42">
        <f>'SEF-24'!D10</f>
        <v>7.1599999999999997E-2</v>
      </c>
    </row>
    <row r="33" spans="1:8" x14ac:dyDescent="0.25">
      <c r="A33" s="41">
        <f t="shared" si="2"/>
        <v>27</v>
      </c>
      <c r="B33" s="30" t="s">
        <v>98</v>
      </c>
      <c r="C33" s="42">
        <f>'SEF-23'!C11</f>
        <v>0.21</v>
      </c>
      <c r="F33" s="78"/>
      <c r="G33" s="30" t="s">
        <v>98</v>
      </c>
      <c r="H33" s="42">
        <f>'SEF-24'!C11</f>
        <v>0.21</v>
      </c>
    </row>
    <row r="34" spans="1:8" x14ac:dyDescent="0.25">
      <c r="A34" s="41">
        <f t="shared" si="2"/>
        <v>28</v>
      </c>
      <c r="B34" s="30" t="s">
        <v>99</v>
      </c>
      <c r="C34" s="95">
        <f>'SEF-23'!C12</f>
        <v>0.752355</v>
      </c>
      <c r="F34" s="78"/>
      <c r="G34" s="30" t="s">
        <v>99</v>
      </c>
      <c r="H34" s="95">
        <f>'SEF-24'!C12</f>
        <v>0.75480100000000006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0A6C047F5E9E4CB30FC5B40F879497" ma:contentTypeVersion="16" ma:contentTypeDescription="" ma:contentTypeScope="" ma:versionID="51d5a9bb2ef53f14cfb4697d7bc230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13D8B6-4C13-4030-BDFA-045C05FDC74F}"/>
</file>

<file path=customXml/itemProps2.xml><?xml version="1.0" encoding="utf-8"?>
<ds:datastoreItem xmlns:ds="http://schemas.openxmlformats.org/officeDocument/2006/customXml" ds:itemID="{5207C658-88F7-44CF-8403-446D86FC96D4}"/>
</file>

<file path=customXml/itemProps3.xml><?xml version="1.0" encoding="utf-8"?>
<ds:datastoreItem xmlns:ds="http://schemas.openxmlformats.org/officeDocument/2006/customXml" ds:itemID="{F25BE522-6441-4348-8FBA-6B92394620F0}"/>
</file>

<file path=customXml/itemProps4.xml><?xml version="1.0" encoding="utf-8"?>
<ds:datastoreItem xmlns:ds="http://schemas.openxmlformats.org/officeDocument/2006/customXml" ds:itemID="{F2E31958-3CE4-4EBF-820B-E3D5CD3907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Source Data - Act v Plan by WBS</vt:lpstr>
      <vt:lpstr>Report Tables--&gt;</vt:lpstr>
      <vt:lpstr>STR RR Recalc</vt:lpstr>
      <vt:lpstr>Gross Plant Compare</vt:lpstr>
      <vt:lpstr>Variance Summary</vt:lpstr>
      <vt:lpstr>Electric Closings Summary</vt:lpstr>
      <vt:lpstr>Gas Closings Summary</vt:lpstr>
      <vt:lpstr>Rev Req Comparison</vt:lpstr>
      <vt:lpstr>Att D Tables--&gt;</vt:lpstr>
      <vt:lpstr>Att D Table</vt:lpstr>
      <vt:lpstr>Ops Detail for Rpt</vt:lpstr>
      <vt:lpstr>Addtl Info--&gt;</vt:lpstr>
      <vt:lpstr>Ops Detail</vt:lpstr>
      <vt:lpstr>Ops Explain Table</vt:lpstr>
      <vt:lpstr>Eng ES Stlmt Chg</vt:lpstr>
      <vt:lpstr>SEF-23</vt:lpstr>
      <vt:lpstr>SEF-24</vt:lpstr>
      <vt:lpstr>2022 YE Gross Plant Detail</vt:lpstr>
      <vt:lpstr>2022 YE Accum Depr Detail</vt:lpstr>
      <vt:lpstr>2022 YE Def Tax Detail</vt:lpstr>
      <vt:lpstr>2022 YE Depr Expense</vt:lpstr>
      <vt:lpstr>2022 Pre-Cap Summary</vt:lpstr>
      <vt:lpstr>2022 Retirement Depr Adj</vt:lpstr>
      <vt:lpstr>RB Act v Rates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NC</cp:lastModifiedBy>
  <cp:lastPrinted>2023-03-25T15:36:11Z</cp:lastPrinted>
  <dcterms:created xsi:type="dcterms:W3CDTF">2023-02-14T21:02:27Z</dcterms:created>
  <dcterms:modified xsi:type="dcterms:W3CDTF">2023-08-30T17:07:27Z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0x0101006E56B4D1795A2E4DB2F0B01679ED314A00870A6C047F5E9E4CB30FC5B40F879497</vt:lpwstr>
  </property>
  <property fmtid="{D5CDD505-2E9C-101B-9397-08002B2CF9AE}" pid="3" name="_docset_NoMedatataSyncRequired">
    <vt:lpwstr>False</vt:lpwstr>
  </property>
</Properties>
</file>