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0F08400B-253E-4C7B-92ED-503AD0AC859D}" xr6:coauthVersionLast="47" xr6:coauthVersionMax="47" xr10:uidLastSave="{00000000-0000-0000-0000-000000000000}"/>
  <bookViews>
    <workbookView xWindow="20370" yWindow="-11055" windowWidth="16440" windowHeight="28440" tabRatio="883" xr2:uid="{00000000-000D-0000-FFFF-FFFF00000000}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externalReferences>
    <externalReference r:id="rId8"/>
  </externalReference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'!$A$1:$Y$36</definedName>
    <definedName name="_xlnm.Print_Area" localSheetId="6">'Pg 7 Reacquired Debt'!$A$1:$I$23</definedName>
    <definedName name="_xlnm.Print_Titles" localSheetId="6">'Pg 7 Reacquired Debt'!$1:$7</definedName>
    <definedName name="tblAmount">OFFSET([1]Amount_Data!$E$2,0,0,COUNTA([1]Amount_Data!$A:$A)-1-COUNTIF([1]Amount_Data!$A:$A,TODAY()),COUNTA([1]Amount_Data!$2:$2)-4)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1" l="1"/>
  <c r="A20" i="2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17" i="21"/>
  <c r="A18" i="21"/>
  <c r="A19" i="21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X6" i="7" l="1"/>
  <c r="O34" i="1" l="1"/>
  <c r="N34" i="1"/>
  <c r="M34" i="1"/>
  <c r="L34" i="1"/>
  <c r="K34" i="1"/>
  <c r="J34" i="1"/>
  <c r="I34" i="1"/>
  <c r="H34" i="1"/>
  <c r="G34" i="1"/>
  <c r="F34" i="1"/>
  <c r="E34" i="1"/>
  <c r="C34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F21" i="7" l="1"/>
  <c r="H21" i="7"/>
  <c r="F22" i="7"/>
  <c r="H22" i="7"/>
  <c r="F6" i="7"/>
  <c r="I10" i="29"/>
  <c r="I9" i="29"/>
  <c r="A11" i="29"/>
  <c r="A14" i="29"/>
  <c r="A17" i="29"/>
  <c r="A20" i="29"/>
  <c r="I22" i="7" l="1"/>
  <c r="I21" i="7"/>
  <c r="X22" i="7"/>
  <c r="X21" i="7"/>
  <c r="Q20" i="1" l="1"/>
  <c r="Q12" i="1" l="1"/>
  <c r="Q7" i="1"/>
  <c r="E11" i="21" l="1"/>
  <c r="H6" i="7" l="1"/>
  <c r="G27" i="71" l="1"/>
  <c r="G31" i="71" l="1"/>
  <c r="F27" i="71"/>
  <c r="F31" i="71" l="1"/>
  <c r="J43" i="1"/>
  <c r="E16" i="2" l="1"/>
  <c r="C16" i="2"/>
  <c r="E13" i="2"/>
  <c r="D13" i="2" s="1"/>
  <c r="C13" i="2"/>
  <c r="Q9" i="1" l="1"/>
  <c r="O43" i="1"/>
  <c r="M43" i="1"/>
  <c r="E27" i="71"/>
  <c r="E31" i="71" s="1"/>
  <c r="C27" i="71"/>
  <c r="C31" i="71" s="1"/>
  <c r="C14" i="2"/>
  <c r="Q36" i="1"/>
  <c r="Q34" i="1"/>
  <c r="E38" i="1"/>
  <c r="D38" i="1"/>
  <c r="C38" i="1"/>
  <c r="B3" i="29"/>
  <c r="A2" i="7"/>
  <c r="B3" i="71"/>
  <c r="B3" i="21"/>
  <c r="B4" i="2"/>
  <c r="E26" i="21"/>
  <c r="G26" i="21"/>
  <c r="H26" i="21" s="1"/>
  <c r="J26" i="21" s="1"/>
  <c r="F13" i="21" s="1"/>
  <c r="E13" i="21"/>
  <c r="A14" i="21"/>
  <c r="A15" i="21" s="1"/>
  <c r="A16" i="21" s="1"/>
  <c r="V27" i="7"/>
  <c r="U27" i="7"/>
  <c r="T27" i="7"/>
  <c r="G27" i="21"/>
  <c r="H27" i="21" s="1"/>
  <c r="Q41" i="1"/>
  <c r="Q14" i="1"/>
  <c r="M38" i="1"/>
  <c r="N38" i="1"/>
  <c r="O38" i="1"/>
  <c r="O16" i="1"/>
  <c r="N16" i="1"/>
  <c r="M16" i="1"/>
  <c r="M10" i="1"/>
  <c r="N10" i="1"/>
  <c r="O10" i="1"/>
  <c r="Q8" i="1"/>
  <c r="D16" i="2"/>
  <c r="E15" i="21"/>
  <c r="E14" i="21"/>
  <c r="E12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T5" i="7"/>
  <c r="U5" i="7"/>
  <c r="V5" i="7"/>
  <c r="C16" i="1"/>
  <c r="D16" i="1"/>
  <c r="E16" i="1"/>
  <c r="F16" i="1"/>
  <c r="H16" i="1"/>
  <c r="I16" i="1"/>
  <c r="J16" i="1"/>
  <c r="L43" i="1"/>
  <c r="K43" i="1"/>
  <c r="L16" i="1"/>
  <c r="K16" i="1"/>
  <c r="Q42" i="1"/>
  <c r="I43" i="1"/>
  <c r="I38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L38" i="1"/>
  <c r="L10" i="1"/>
  <c r="E15" i="2"/>
  <c r="D15" i="2" s="1"/>
  <c r="H11" i="7"/>
  <c r="X11" i="7" s="1"/>
  <c r="H10" i="7"/>
  <c r="C15" i="2"/>
  <c r="H20" i="7"/>
  <c r="H19" i="7"/>
  <c r="X19" i="7" s="1"/>
  <c r="H18" i="7"/>
  <c r="X18" i="7" s="1"/>
  <c r="H17" i="7"/>
  <c r="X17" i="7" s="1"/>
  <c r="H16" i="7"/>
  <c r="X16" i="7" s="1"/>
  <c r="H7" i="7"/>
  <c r="X7" i="7" s="1"/>
  <c r="H8" i="7"/>
  <c r="H9" i="7"/>
  <c r="X9" i="7" s="1"/>
  <c r="H12" i="7"/>
  <c r="H13" i="7"/>
  <c r="H14" i="7"/>
  <c r="H15" i="7"/>
  <c r="X15" i="7" s="1"/>
  <c r="S27" i="7"/>
  <c r="X28" i="7"/>
  <c r="A6" i="21"/>
  <c r="A7" i="21"/>
  <c r="A8" i="21" s="1"/>
  <c r="A9" i="21" s="1"/>
  <c r="A10" i="21" s="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E14" i="2"/>
  <c r="D14" i="2" s="1"/>
  <c r="D16" i="21"/>
  <c r="C16" i="21"/>
  <c r="D43" i="1"/>
  <c r="C43" i="1"/>
  <c r="Q10" i="1" l="1"/>
  <c r="C14" i="83" s="1"/>
  <c r="I14" i="7"/>
  <c r="I10" i="7"/>
  <c r="I8" i="7"/>
  <c r="I19" i="7"/>
  <c r="I18" i="7"/>
  <c r="X8" i="7"/>
  <c r="F27" i="7"/>
  <c r="F29" i="7" s="1"/>
  <c r="I6" i="7"/>
  <c r="C17" i="2"/>
  <c r="F31" i="7" s="1"/>
  <c r="I13" i="29"/>
  <c r="C22" i="1"/>
  <c r="C28" i="1" s="1"/>
  <c r="C44" i="1"/>
  <c r="C46" i="1" s="1"/>
  <c r="J22" i="1"/>
  <c r="J27" i="1" s="1"/>
  <c r="J44" i="1"/>
  <c r="J46" i="1" s="1"/>
  <c r="D27" i="71"/>
  <c r="H27" i="71" s="1"/>
  <c r="F44" i="1"/>
  <c r="F46" i="1" s="1"/>
  <c r="I11" i="7"/>
  <c r="I9" i="7"/>
  <c r="X14" i="7"/>
  <c r="I17" i="7"/>
  <c r="I15" i="7"/>
  <c r="I7" i="7"/>
  <c r="E17" i="2"/>
  <c r="L22" i="1"/>
  <c r="L28" i="1" s="1"/>
  <c r="X10" i="7"/>
  <c r="X20" i="7"/>
  <c r="I20" i="7"/>
  <c r="X12" i="7"/>
  <c r="I12" i="7"/>
  <c r="X13" i="7"/>
  <c r="I13" i="7"/>
  <c r="I16" i="7"/>
  <c r="K44" i="1"/>
  <c r="K46" i="1" s="1"/>
  <c r="H44" i="1"/>
  <c r="H46" i="1" s="1"/>
  <c r="D44" i="1"/>
  <c r="D46" i="1" s="1"/>
  <c r="I44" i="1"/>
  <c r="I46" i="1" s="1"/>
  <c r="K22" i="1"/>
  <c r="K25" i="1" s="1"/>
  <c r="Q16" i="1"/>
  <c r="E44" i="1"/>
  <c r="E46" i="1" s="1"/>
  <c r="J28" i="21"/>
  <c r="M22" i="1"/>
  <c r="M28" i="1" s="1"/>
  <c r="N22" i="1"/>
  <c r="N25" i="1" s="1"/>
  <c r="E16" i="21"/>
  <c r="C23" i="2"/>
  <c r="O44" i="1"/>
  <c r="O46" i="1" s="1"/>
  <c r="O22" i="1"/>
  <c r="O28" i="1" s="1"/>
  <c r="M44" i="1"/>
  <c r="M46" i="1" s="1"/>
  <c r="Q38" i="1"/>
  <c r="G44" i="1"/>
  <c r="G46" i="1" s="1"/>
  <c r="D22" i="1"/>
  <c r="D25" i="1" s="1"/>
  <c r="H22" i="1"/>
  <c r="H27" i="1" s="1"/>
  <c r="G22" i="1"/>
  <c r="G24" i="1" s="1"/>
  <c r="L44" i="1"/>
  <c r="L46" i="1" s="1"/>
  <c r="F22" i="1"/>
  <c r="E22" i="1"/>
  <c r="E24" i="1" s="1"/>
  <c r="C28" i="83"/>
  <c r="I22" i="1"/>
  <c r="I28" i="1" s="1"/>
  <c r="J33" i="21" l="1"/>
  <c r="F15" i="21" s="1"/>
  <c r="F33" i="7"/>
  <c r="X25" i="7"/>
  <c r="C24" i="1"/>
  <c r="G29" i="7"/>
  <c r="H29" i="7" s="1"/>
  <c r="G31" i="7"/>
  <c r="H31" i="7" s="1"/>
  <c r="E14" i="83" s="1"/>
  <c r="F17" i="2"/>
  <c r="I26" i="7"/>
  <c r="X26" i="7" s="1"/>
  <c r="J28" i="1"/>
  <c r="J25" i="1"/>
  <c r="J24" i="1"/>
  <c r="D31" i="71"/>
  <c r="E21" i="2"/>
  <c r="F21" i="2" s="1"/>
  <c r="L27" i="1"/>
  <c r="K27" i="1"/>
  <c r="L24" i="1"/>
  <c r="C16" i="83"/>
  <c r="D17" i="2"/>
  <c r="L25" i="1"/>
  <c r="K28" i="1"/>
  <c r="K24" i="1"/>
  <c r="K26" i="1" s="1"/>
  <c r="F14" i="21"/>
  <c r="M24" i="1"/>
  <c r="M27" i="1"/>
  <c r="M25" i="1"/>
  <c r="H25" i="1"/>
  <c r="N27" i="1"/>
  <c r="N28" i="1"/>
  <c r="N24" i="1"/>
  <c r="N26" i="1" s="1"/>
  <c r="G25" i="1"/>
  <c r="G26" i="1" s="1"/>
  <c r="D24" i="1"/>
  <c r="D26" i="1" s="1"/>
  <c r="O25" i="1"/>
  <c r="D28" i="1"/>
  <c r="D27" i="1"/>
  <c r="O27" i="1"/>
  <c r="O24" i="1"/>
  <c r="H24" i="1"/>
  <c r="H28" i="1"/>
  <c r="Q22" i="1"/>
  <c r="I27" i="1"/>
  <c r="C27" i="1"/>
  <c r="G28" i="1"/>
  <c r="G27" i="1"/>
  <c r="C25" i="1"/>
  <c r="E25" i="1"/>
  <c r="E26" i="1" s="1"/>
  <c r="I25" i="1"/>
  <c r="E27" i="1"/>
  <c r="F25" i="1"/>
  <c r="F27" i="1"/>
  <c r="E28" i="1"/>
  <c r="I24" i="1"/>
  <c r="F28" i="1"/>
  <c r="F24" i="1"/>
  <c r="F16" i="21" l="1"/>
  <c r="E19" i="2" s="1"/>
  <c r="F19" i="2" s="1"/>
  <c r="X27" i="7"/>
  <c r="Y27" i="7" s="1"/>
  <c r="J26" i="1"/>
  <c r="J30" i="1" s="1"/>
  <c r="I27" i="7"/>
  <c r="H27" i="7" s="1"/>
  <c r="C26" i="83"/>
  <c r="Q25" i="1"/>
  <c r="Q24" i="1"/>
  <c r="L26" i="1"/>
  <c r="L30" i="1" s="1"/>
  <c r="K30" i="1"/>
  <c r="M26" i="1"/>
  <c r="M30" i="1" s="1"/>
  <c r="H26" i="1"/>
  <c r="H30" i="1" s="1"/>
  <c r="O26" i="1"/>
  <c r="O30" i="1" s="1"/>
  <c r="N30" i="1"/>
  <c r="D30" i="1"/>
  <c r="G33" i="7"/>
  <c r="E16" i="83"/>
  <c r="Q28" i="1"/>
  <c r="Q27" i="1"/>
  <c r="I26" i="1"/>
  <c r="I30" i="1" s="1"/>
  <c r="G30" i="1"/>
  <c r="E30" i="1"/>
  <c r="F26" i="1"/>
  <c r="F30" i="1" s="1"/>
  <c r="C26" i="1"/>
  <c r="C30" i="1" s="1"/>
  <c r="Q26" i="1" l="1"/>
  <c r="E23" i="2"/>
  <c r="F23" i="2" s="1"/>
  <c r="H33" i="7"/>
  <c r="E18" i="83" s="1"/>
  <c r="C30" i="83"/>
  <c r="Q30" i="1"/>
  <c r="D28" i="83" l="1"/>
  <c r="D14" i="83"/>
  <c r="F14" i="83" s="1"/>
  <c r="D18" i="83"/>
  <c r="D26" i="83" s="1"/>
  <c r="I15" i="29"/>
  <c r="I17" i="29" s="1"/>
  <c r="F24" i="83" s="1"/>
  <c r="H33" i="71"/>
  <c r="D16" i="83"/>
  <c r="F16" i="83" s="1"/>
  <c r="F18" i="21"/>
  <c r="F18" i="83" l="1"/>
  <c r="F20" i="21"/>
  <c r="F20" i="83" s="1"/>
  <c r="H35" i="71"/>
  <c r="F22" i="83" s="1"/>
  <c r="F28" i="83"/>
  <c r="D30" i="83"/>
  <c r="Q40" i="1"/>
  <c r="N43" i="1"/>
  <c r="N44" i="1" s="1"/>
  <c r="F26" i="83" l="1"/>
  <c r="E26" i="83" s="1"/>
  <c r="N46" i="1"/>
  <c r="Q44" i="1"/>
  <c r="Q43" i="1"/>
  <c r="F30" i="8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B34" authorId="0" shapeId="0" xr:uid="{00000000-0006-0000-0100-000003000000}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100-000007000000}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F9" authorId="0" shapeId="0" xr:uid="{00000000-0006-0000-0300-000002000000}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I13" authorId="0" shapeId="0" xr:uid="{00000000-0006-0000-0600-000001000000}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<sst xmlns="http://schemas.openxmlformats.org/spreadsheetml/2006/main" count="282" uniqueCount="172">
  <si>
    <t>($ thousands)</t>
  </si>
  <si>
    <t xml:space="preserve"> 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</si>
  <si>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</si>
  <si>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</si>
  <si>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</si>
  <si>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</si>
  <si>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</si>
  <si>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</si>
  <si>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</si>
  <si>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</si>
  <si>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</si>
  <si>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</si>
  <si>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</si>
  <si>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</si>
  <si>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</si>
  <si>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</si>
  <si>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</si>
  <si>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</si>
  <si>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Schedule of Annual Charges on Reacquired Debt</t>
  </si>
  <si>
    <t>(B)</t>
  </si>
  <si>
    <t xml:space="preserve">Total Amortization on Reacquired Debt </t>
  </si>
  <si>
    <t>Short-term debt</t>
  </si>
  <si>
    <t>Long-term debt</t>
  </si>
  <si>
    <t>Subsidiary R.E.</t>
  </si>
  <si>
    <t xml:space="preserve">       Total Subsidiary R.E.</t>
  </si>
  <si>
    <t>Commercial Paper</t>
  </si>
  <si>
    <t>Cost of Short-Term Debt</t>
  </si>
  <si>
    <t>Interest</t>
  </si>
  <si>
    <t>Total Short-Term Debt/Cost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</si>
  <si>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</si>
  <si>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</si>
  <si>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</si>
  <si>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</si>
  <si>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</si>
  <si>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</si>
  <si>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</si>
  <si>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</si>
  <si>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</si>
  <si>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</si>
  <si>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</si>
  <si>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</si>
  <si>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</si>
  <si>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</si>
  <si>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</si>
  <si>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</si>
  <si>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</si>
  <si>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</si>
  <si>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</si>
  <si>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</si>
  <si>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</si>
  <si>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</si>
  <si>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</si>
  <si>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</si>
  <si>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</si>
  <si>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</si>
  <si>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</si>
  <si>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</si>
  <si>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</si>
  <si>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</si>
  <si>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</si>
  <si>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</si>
  <si>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</si>
  <si>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</si>
  <si>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</si>
  <si>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</si>
  <si>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</si>
  <si>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</si>
  <si>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</si>
  <si>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</si>
  <si>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</si>
  <si>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</si>
  <si>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</si>
  <si>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</si>
  <si>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</si>
  <si>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</si>
  <si>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</si>
  <si>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</si>
  <si>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Bank Facility Fees</t>
  </si>
  <si>
    <t>(iii)</t>
  </si>
  <si>
    <t>Rate (365)</t>
  </si>
  <si>
    <t>Interest Rate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</si>
  <si>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</si>
  <si>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</si>
  <si>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</si>
  <si>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</si>
  <si>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</si>
  <si>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</si>
  <si>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</si>
  <si>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</si>
  <si>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</si>
  <si>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</si>
  <si>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</si>
  <si>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</si>
  <si>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</si>
  <si>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</si>
  <si>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</si>
  <si>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</si>
  <si>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</si>
  <si>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</si>
  <si>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</si>
  <si>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</si>
  <si>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</si>
  <si>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</si>
  <si>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</si>
  <si>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</si>
  <si>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</si>
  <si>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(i) Applicable monthly amortization during the 12 month reporting period;</t>
  </si>
  <si>
    <t>Amortization (i)</t>
  </si>
  <si>
    <t>Redemption</t>
  </si>
  <si>
    <t>for Amort.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</si>
  <si>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</si>
  <si>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Outstandings</t>
  </si>
  <si>
    <t>Fees</t>
  </si>
  <si>
    <t>(Drawn)</t>
  </si>
  <si>
    <t>Utilized</t>
  </si>
  <si>
    <t>Unutilized</t>
  </si>
  <si>
    <t>Interest Charges &amp; Avg Borrowing Rate</t>
  </si>
  <si>
    <t>Letters of Credit</t>
  </si>
  <si>
    <t>W. Avg Amount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</si>
  <si>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</si>
  <si>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</si>
  <si>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</si>
  <si>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</si>
  <si>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</si>
  <si>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</si>
  <si>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</si>
  <si>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</si>
  <si>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</si>
  <si>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</si>
  <si>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</si>
  <si>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r>
      <t>(i)</t>
    </r>
    <r>
      <rPr>
        <sz val="9"/>
        <rFont val="Arial"/>
        <family val="2"/>
      </rPr>
      <t xml:space="preserve"> - Average of Month-End Balances</t>
    </r>
  </si>
  <si>
    <t>FERC end of Period Cost</t>
  </si>
  <si>
    <t>Wgt Cost Rate</t>
  </si>
  <si>
    <t>$650mm Liquidity  Facility</t>
  </si>
  <si>
    <t xml:space="preserve">Wgtd Avg 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</si>
  <si>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</si>
  <si>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</si>
  <si>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</si>
  <si>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</si>
  <si>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</si>
  <si>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</si>
  <si>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</si>
  <si>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</si>
  <si>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</si>
  <si>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</si>
  <si>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</si>
  <si>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Variance</t>
  </si>
  <si>
    <t>December 31, 2021 Through December 31, 2022</t>
  </si>
  <si>
    <t>As of: 12/31/21</t>
  </si>
  <si>
    <t>For The 12 Months Ending December 31, 2022</t>
  </si>
  <si>
    <t>Total Amortization for 12 months ended 12/31/22</t>
  </si>
  <si>
    <t>Cascade Natural Gas</t>
  </si>
  <si>
    <t>Cascade Natural Gas - Cost of Long Term Debt ($in 000's)</t>
  </si>
  <si>
    <t xml:space="preserve">Insured Quarterly Notes Due </t>
  </si>
  <si>
    <t>MTN</t>
  </si>
  <si>
    <t>$100 million</t>
  </si>
  <si>
    <t>Line of Credit</t>
  </si>
  <si>
    <t>$100mm Line of Credit</t>
  </si>
  <si>
    <t>Bank Line of Credit</t>
  </si>
  <si>
    <t>OneStream B/S</t>
  </si>
  <si>
    <t>JDE 47.2242.01</t>
  </si>
  <si>
    <t>LOC Fee Worksheet</t>
  </si>
  <si>
    <t>LOC Accd Int Worksheet</t>
  </si>
  <si>
    <t>Debt Amortization Worksheet</t>
  </si>
  <si>
    <t>Debt Interest Worksheet</t>
  </si>
  <si>
    <t>Net Proceeds from Annual Debt filings with UTC's</t>
  </si>
  <si>
    <t>Debt Amortization Worksheets</t>
  </si>
  <si>
    <t>Utility Capital Structure Calculation (000's)</t>
  </si>
  <si>
    <t>Senior Notes</t>
  </si>
  <si>
    <r>
      <t xml:space="preserve">  </t>
    </r>
    <r>
      <rPr>
        <sz val="9"/>
        <rFont val="Arial"/>
        <family val="2"/>
      </rPr>
      <t xml:space="preserve">  Amortization is over life of replacement issue.</t>
    </r>
  </si>
  <si>
    <t xml:space="preserve">  Bremerton MGP - EPA</t>
  </si>
  <si>
    <t>Access Database-Bremerton MGP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</si>
</sst>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_(* #,##0.000_);_(* \(#,##0.000\);_(* &quot;-&quot;??_);_(@_)"/>
    <numFmt numFmtId="189" formatCode="[$-409]mmm\-yy;@"/>
  </numFmts>
  <fonts count="78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00B050"/>
      <name val="Arial"/>
      <family val="2"/>
    </font>
    <font>
      <b/>
      <sz val="10"/>
      <color rgb="FF00B050"/>
      <name val="Times New Roman"/>
      <family val="1"/>
    </font>
    <font>
      <b/>
      <sz val="8"/>
      <color rgb="FF00B050"/>
      <name val="Times New Roman"/>
      <family val="1"/>
    </font>
    <font>
      <b/>
      <sz val="8"/>
      <color rgb="FF00B05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4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37" fontId="0" fillId="0" borderId="0" xfId="0"/>
    <xf numFmtId="0" fontId="5" fillId="0" borderId="0" xfId="88" applyFont="1"/>
    <xf numFmtId="37" fontId="5" fillId="0" borderId="0" xfId="89" applyFont="1" applyAlignment="1">
      <alignment horizontal="center"/>
    </xf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>
      <alignment horizontal="left"/>
    </xf>
    <xf numFmtId="10" fontId="5" fillId="0" borderId="0" xfId="89" applyNumberFormat="1" applyFont="1"/>
    <xf numFmtId="15" fontId="5" fillId="0" borderId="0" xfId="89" applyNumberFormat="1" applyFont="1"/>
    <xf numFmtId="7" fontId="5" fillId="0" borderId="0" xfId="89" applyNumberFormat="1" applyFont="1"/>
    <xf numFmtId="168" fontId="5" fillId="0" borderId="0" xfId="89" applyNumberFormat="1" applyFont="1"/>
    <xf numFmtId="1" fontId="5" fillId="0" borderId="0" xfId="92" applyNumberFormat="1" applyFont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>
      <alignment horizontal="center"/>
    </xf>
    <xf numFmtId="37" fontId="5" fillId="0" borderId="0" xfId="0" applyFont="1"/>
    <xf numFmtId="5" fontId="5" fillId="0" borderId="0" xfId="92" applyNumberFormat="1" applyFont="1"/>
    <xf numFmtId="165" fontId="5" fillId="0" borderId="0" xfId="92" applyNumberFormat="1" applyFont="1"/>
    <xf numFmtId="37" fontId="5" fillId="0" borderId="0" xfId="90" applyFont="1"/>
    <xf numFmtId="37" fontId="5" fillId="0" borderId="0" xfId="90" applyFont="1" applyAlignment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/>
    <xf numFmtId="15" fontId="5" fillId="0" borderId="0" xfId="90" applyNumberFormat="1" applyFont="1"/>
    <xf numFmtId="0" fontId="5" fillId="0" borderId="0" xfId="93" applyFont="1" applyAlignment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/>
    <xf numFmtId="37" fontId="3" fillId="0" borderId="0" xfId="89" applyFont="1" applyAlignment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20" fillId="0" borderId="0" xfId="0" applyFont="1" applyAlignment="1">
      <alignment horizontal="right"/>
    </xf>
    <xf numFmtId="37" fontId="20" fillId="0" borderId="0" xfId="0" applyFont="1" applyAlignment="1">
      <alignment horizontal="center"/>
    </xf>
    <xf numFmtId="14" fontId="16" fillId="0" borderId="0" xfId="0" applyNumberFormat="1" applyFont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Alignment="1">
      <alignment horizontal="center"/>
    </xf>
    <xf numFmtId="5" fontId="8" fillId="0" borderId="0" xfId="90" applyNumberFormat="1" applyFont="1"/>
    <xf numFmtId="37" fontId="8" fillId="0" borderId="0" xfId="90" applyFont="1" applyAlignment="1">
      <alignment horizontal="center"/>
    </xf>
    <xf numFmtId="37" fontId="8" fillId="0" borderId="0" xfId="0" applyFont="1"/>
    <xf numFmtId="10" fontId="8" fillId="0" borderId="0" xfId="0" applyNumberFormat="1" applyFont="1" applyAlignment="1">
      <alignment horizontal="left"/>
    </xf>
    <xf numFmtId="15" fontId="8" fillId="0" borderId="0" xfId="0" applyNumberFormat="1" applyFont="1" applyAlignment="1">
      <alignment horizontal="center"/>
    </xf>
    <xf numFmtId="169" fontId="8" fillId="0" borderId="0" xfId="0" applyNumberFormat="1" applyFont="1"/>
    <xf numFmtId="2" fontId="8" fillId="0" borderId="0" xfId="0" applyNumberFormat="1" applyFont="1"/>
    <xf numFmtId="10" fontId="8" fillId="0" borderId="0" xfId="0" applyNumberFormat="1" applyFont="1"/>
    <xf numFmtId="10" fontId="8" fillId="0" borderId="0" xfId="90" applyNumberFormat="1" applyFont="1"/>
    <xf numFmtId="168" fontId="8" fillId="0" borderId="0" xfId="90" applyNumberFormat="1" applyFont="1" applyAlignment="1">
      <alignment horizontal="fill"/>
    </xf>
    <xf numFmtId="166" fontId="5" fillId="0" borderId="0" xfId="90" applyNumberFormat="1" applyFont="1"/>
    <xf numFmtId="0" fontId="16" fillId="0" borderId="0" xfId="93" applyFont="1"/>
    <xf numFmtId="0" fontId="17" fillId="0" borderId="0" xfId="93" quotePrefix="1" applyFont="1" applyAlignment="1">
      <alignment horizontal="center"/>
    </xf>
    <xf numFmtId="0" fontId="18" fillId="0" borderId="0" xfId="93" applyFont="1" applyAlignment="1">
      <alignment horizontal="center"/>
    </xf>
    <xf numFmtId="0" fontId="23" fillId="0" borderId="10" xfId="93" applyFont="1" applyBorder="1" applyAlignment="1">
      <alignment horizontal="center" wrapText="1"/>
    </xf>
    <xf numFmtId="7" fontId="16" fillId="0" borderId="0" xfId="93" applyNumberFormat="1" applyFont="1"/>
    <xf numFmtId="0" fontId="18" fillId="0" borderId="0" xfId="93" quotePrefix="1" applyFont="1" applyAlignment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>
      <alignment horizontal="center"/>
    </xf>
    <xf numFmtId="37" fontId="26" fillId="0" borderId="0" xfId="89" applyFont="1" applyAlignment="1">
      <alignment horizontal="center"/>
    </xf>
    <xf numFmtId="37" fontId="13" fillId="0" borderId="0" xfId="89" applyFont="1" applyAlignment="1">
      <alignment horizontal="left"/>
    </xf>
    <xf numFmtId="37" fontId="13" fillId="0" borderId="0" xfId="89" applyFont="1" applyAlignment="1">
      <alignment horizontal="fill"/>
    </xf>
    <xf numFmtId="37" fontId="13" fillId="0" borderId="0" xfId="89" applyFont="1" applyAlignment="1">
      <alignment horizontal="center"/>
    </xf>
    <xf numFmtId="10" fontId="13" fillId="0" borderId="0" xfId="89" applyNumberFormat="1" applyFont="1"/>
    <xf numFmtId="5" fontId="13" fillId="0" borderId="0" xfId="89" applyNumberFormat="1" applyFont="1"/>
    <xf numFmtId="5" fontId="28" fillId="0" borderId="0" xfId="89" applyNumberFormat="1" applyFont="1"/>
    <xf numFmtId="37" fontId="15" fillId="0" borderId="11" xfId="89" applyFont="1" applyBorder="1" applyAlignment="1">
      <alignment horizontal="left"/>
    </xf>
    <xf numFmtId="5" fontId="15" fillId="0" borderId="12" xfId="89" applyNumberFormat="1" applyFont="1" applyBorder="1"/>
    <xf numFmtId="5" fontId="29" fillId="0" borderId="0" xfId="89" applyNumberFormat="1" applyFont="1"/>
    <xf numFmtId="170" fontId="29" fillId="0" borderId="0" xfId="55" applyNumberFormat="1" applyFont="1"/>
    <xf numFmtId="5" fontId="30" fillId="0" borderId="0" xfId="89" applyNumberFormat="1" applyFont="1"/>
    <xf numFmtId="0" fontId="9" fillId="0" borderId="0" xfId="88" applyFont="1"/>
    <xf numFmtId="164" fontId="9" fillId="0" borderId="0" xfId="88" applyNumberFormat="1" applyFont="1"/>
    <xf numFmtId="175" fontId="9" fillId="0" borderId="0" xfId="88" applyNumberFormat="1" applyFont="1"/>
    <xf numFmtId="164" fontId="33" fillId="0" borderId="0" xfId="88" applyNumberFormat="1" applyFont="1"/>
    <xf numFmtId="175" fontId="33" fillId="0" borderId="0" xfId="88" applyNumberFormat="1" applyFont="1"/>
    <xf numFmtId="17" fontId="19" fillId="0" borderId="0" xfId="88" applyNumberFormat="1" applyFont="1" applyAlignment="1">
      <alignment horizontal="center"/>
    </xf>
    <xf numFmtId="0" fontId="19" fillId="0" borderId="0" xfId="88" applyFont="1" applyAlignment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26" fillId="0" borderId="0" xfId="92" applyFont="1" applyAlignment="1">
      <alignment horizontal="center"/>
    </xf>
    <xf numFmtId="10" fontId="13" fillId="0" borderId="0" xfId="92" applyFont="1" applyAlignment="1">
      <alignment horizontal="left"/>
    </xf>
    <xf numFmtId="10" fontId="15" fillId="0" borderId="0" xfId="92" applyFont="1" applyAlignment="1">
      <alignment horizontal="left"/>
    </xf>
    <xf numFmtId="10" fontId="15" fillId="0" borderId="0" xfId="92" applyFont="1"/>
    <xf numFmtId="0" fontId="23" fillId="0" borderId="10" xfId="93" applyFont="1" applyBorder="1" applyAlignment="1">
      <alignment horizontal="left"/>
    </xf>
    <xf numFmtId="168" fontId="16" fillId="0" borderId="0" xfId="93" applyNumberFormat="1" applyFont="1" applyAlignment="1">
      <alignment horizontal="left"/>
    </xf>
    <xf numFmtId="15" fontId="16" fillId="0" borderId="0" xfId="93" applyNumberFormat="1" applyFont="1" applyAlignment="1">
      <alignment horizontal="center"/>
    </xf>
    <xf numFmtId="15" fontId="32" fillId="0" borderId="0" xfId="93" applyNumberFormat="1" applyFont="1" applyAlignment="1">
      <alignment horizontal="left"/>
    </xf>
    <xf numFmtId="37" fontId="32" fillId="0" borderId="0" xfId="0" applyFont="1"/>
    <xf numFmtId="37" fontId="22" fillId="0" borderId="0" xfId="0" applyFont="1"/>
    <xf numFmtId="0" fontId="34" fillId="0" borderId="0" xfId="88" applyFont="1" applyAlignment="1">
      <alignment horizontal="center" wrapText="1"/>
    </xf>
    <xf numFmtId="172" fontId="18" fillId="0" borderId="0" xfId="93" applyNumberFormat="1" applyFont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8" fillId="0" borderId="0" xfId="0" applyFont="1" applyAlignment="1">
      <alignment horizontal="left"/>
    </xf>
    <xf numFmtId="37" fontId="23" fillId="0" borderId="0" xfId="89" applyFont="1" applyAlignment="1">
      <alignment horizontal="center"/>
    </xf>
    <xf numFmtId="37" fontId="24" fillId="0" borderId="0" xfId="91" applyFont="1" applyAlignment="1">
      <alignment horizontal="left"/>
    </xf>
    <xf numFmtId="1" fontId="16" fillId="0" borderId="0" xfId="92" applyNumberFormat="1" applyFont="1" applyAlignment="1">
      <alignment horizontal="center"/>
    </xf>
    <xf numFmtId="37" fontId="18" fillId="0" borderId="0" xfId="89" applyFont="1" applyAlignment="1">
      <alignment horizontal="left"/>
    </xf>
    <xf numFmtId="37" fontId="25" fillId="0" borderId="0" xfId="89" applyFont="1" applyAlignment="1">
      <alignment horizontal="left"/>
    </xf>
    <xf numFmtId="37" fontId="24" fillId="0" borderId="0" xfId="90" applyFont="1" applyAlignment="1">
      <alignment horizontal="center"/>
    </xf>
    <xf numFmtId="37" fontId="36" fillId="0" borderId="0" xfId="90" applyFont="1"/>
    <xf numFmtId="37" fontId="23" fillId="0" borderId="0" xfId="90" applyFont="1"/>
    <xf numFmtId="37" fontId="24" fillId="0" borderId="0" xfId="90" applyFont="1"/>
    <xf numFmtId="37" fontId="24" fillId="0" borderId="0" xfId="0" applyFont="1"/>
    <xf numFmtId="171" fontId="24" fillId="0" borderId="0" xfId="0" applyNumberFormat="1" applyFont="1"/>
    <xf numFmtId="37" fontId="23" fillId="0" borderId="0" xfId="90" applyFont="1" applyAlignment="1">
      <alignment horizontal="left"/>
    </xf>
    <xf numFmtId="38" fontId="13" fillId="0" borderId="0" xfId="92" applyNumberFormat="1" applyFont="1"/>
    <xf numFmtId="0" fontId="24" fillId="0" borderId="0" xfId="88" applyFont="1" applyAlignment="1">
      <alignment horizontal="left"/>
    </xf>
    <xf numFmtId="0" fontId="24" fillId="0" borderId="0" xfId="88" applyFont="1"/>
    <xf numFmtId="0" fontId="23" fillId="0" borderId="0" xfId="88" applyFont="1" applyAlignment="1">
      <alignment horizontal="left"/>
    </xf>
    <xf numFmtId="0" fontId="23" fillId="0" borderId="0" xfId="88" applyFont="1" applyAlignment="1">
      <alignment horizontal="centerContinuous"/>
    </xf>
    <xf numFmtId="0" fontId="36" fillId="0" borderId="0" xfId="88" applyFont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0" applyFont="1" applyAlignment="1">
      <alignment horizontal="centerContinuous"/>
    </xf>
    <xf numFmtId="37" fontId="24" fillId="0" borderId="0" xfId="0" applyFont="1" applyAlignment="1">
      <alignment horizontal="centerContinuous"/>
    </xf>
    <xf numFmtId="166" fontId="24" fillId="0" borderId="0" xfId="90" applyNumberFormat="1" applyFont="1" applyAlignment="1">
      <alignment horizontal="centerContinuous"/>
    </xf>
    <xf numFmtId="166" fontId="24" fillId="0" borderId="0" xfId="0" applyNumberFormat="1" applyFont="1" applyAlignment="1">
      <alignment horizontal="centerContinuous"/>
    </xf>
    <xf numFmtId="14" fontId="24" fillId="0" borderId="0" xfId="0" applyNumberFormat="1" applyFont="1"/>
    <xf numFmtId="37" fontId="23" fillId="0" borderId="0" xfId="0" applyFont="1"/>
    <xf numFmtId="175" fontId="33" fillId="0" borderId="19" xfId="88" applyNumberFormat="1" applyFont="1" applyBorder="1"/>
    <xf numFmtId="164" fontId="33" fillId="0" borderId="19" xfId="88" applyNumberFormat="1" applyFont="1" applyBorder="1"/>
    <xf numFmtId="175" fontId="33" fillId="0" borderId="20" xfId="88" applyNumberFormat="1" applyFont="1" applyBorder="1"/>
    <xf numFmtId="5" fontId="13" fillId="0" borderId="0" xfId="92" applyNumberFormat="1" applyFont="1"/>
    <xf numFmtId="165" fontId="13" fillId="0" borderId="0" xfId="92" applyNumberFormat="1" applyFont="1"/>
    <xf numFmtId="5" fontId="35" fillId="0" borderId="0" xfId="92" applyNumberFormat="1" applyFont="1"/>
    <xf numFmtId="10" fontId="35" fillId="0" borderId="0" xfId="92" applyFont="1"/>
    <xf numFmtId="5" fontId="33" fillId="0" borderId="0" xfId="88" applyNumberFormat="1" applyFont="1"/>
    <xf numFmtId="37" fontId="24" fillId="0" borderId="0" xfId="90" applyFont="1" applyAlignment="1">
      <alignment horizontal="right"/>
    </xf>
    <xf numFmtId="37" fontId="38" fillId="0" borderId="0" xfId="89" applyFont="1" applyAlignment="1">
      <alignment horizontal="center"/>
    </xf>
    <xf numFmtId="10" fontId="24" fillId="0" borderId="0" xfId="0" applyNumberFormat="1" applyFont="1"/>
    <xf numFmtId="37" fontId="16" fillId="0" borderId="15" xfId="0" applyFont="1" applyBorder="1" applyAlignment="1">
      <alignment horizontal="centerContinuous"/>
    </xf>
    <xf numFmtId="37" fontId="18" fillId="0" borderId="16" xfId="0" applyFont="1" applyBorder="1" applyAlignment="1">
      <alignment horizontal="left"/>
    </xf>
    <xf numFmtId="170" fontId="16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8" fillId="0" borderId="18" xfId="0" applyFont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/>
    <xf numFmtId="37" fontId="24" fillId="0" borderId="0" xfId="89" applyFont="1" applyAlignment="1">
      <alignment horizontal="center"/>
    </xf>
    <xf numFmtId="1" fontId="24" fillId="0" borderId="0" xfId="92" applyNumberFormat="1" applyFont="1" applyAlignment="1">
      <alignment horizontal="center"/>
    </xf>
    <xf numFmtId="164" fontId="33" fillId="0" borderId="22" xfId="88" applyNumberFormat="1" applyFont="1" applyBorder="1"/>
    <xf numFmtId="17" fontId="43" fillId="0" borderId="0" xfId="88" applyNumberFormat="1" applyFont="1" applyAlignment="1">
      <alignment horizontal="center"/>
    </xf>
    <xf numFmtId="175" fontId="42" fillId="0" borderId="0" xfId="88" applyNumberFormat="1" applyFont="1"/>
    <xf numFmtId="164" fontId="24" fillId="0" borderId="0" xfId="88" applyNumberFormat="1" applyFont="1"/>
    <xf numFmtId="0" fontId="18" fillId="0" borderId="0" xfId="93" quotePrefix="1" applyFont="1" applyAlignment="1">
      <alignment horizontal="centerContinuous" vertical="center" wrapText="1"/>
    </xf>
    <xf numFmtId="172" fontId="43" fillId="0" borderId="0" xfId="93" quotePrefix="1" applyNumberFormat="1" applyFont="1" applyAlignment="1">
      <alignment horizontal="centerContinuous" vertical="center" wrapText="1"/>
    </xf>
    <xf numFmtId="178" fontId="16" fillId="0" borderId="0" xfId="98" applyNumberFormat="1" applyFont="1"/>
    <xf numFmtId="37" fontId="16" fillId="0" borderId="16" xfId="0" applyFont="1" applyBorder="1"/>
    <xf numFmtId="44" fontId="21" fillId="0" borderId="0" xfId="59" applyFont="1" applyFill="1" applyBorder="1"/>
    <xf numFmtId="167" fontId="21" fillId="0" borderId="0" xfId="0" applyNumberFormat="1" applyFont="1"/>
    <xf numFmtId="37" fontId="16" fillId="0" borderId="18" xfId="0" applyFont="1" applyBorder="1"/>
    <xf numFmtId="170" fontId="16" fillId="0" borderId="0" xfId="55" applyNumberFormat="1" applyFont="1" applyFill="1" applyBorder="1"/>
    <xf numFmtId="168" fontId="29" fillId="0" borderId="0" xfId="89" applyNumberFormat="1" applyFont="1"/>
    <xf numFmtId="37" fontId="16" fillId="0" borderId="0" xfId="0" applyFont="1" applyAlignment="1">
      <alignment horizontal="center"/>
    </xf>
    <xf numFmtId="10" fontId="23" fillId="18" borderId="23" xfId="90" applyNumberFormat="1" applyFont="1" applyFill="1" applyBorder="1"/>
    <xf numFmtId="10" fontId="15" fillId="18" borderId="23" xfId="89" applyNumberFormat="1" applyFont="1" applyFill="1" applyBorder="1" applyAlignment="1">
      <alignment horizontal="center"/>
    </xf>
    <xf numFmtId="175" fontId="34" fillId="18" borderId="23" xfId="88" applyNumberFormat="1" applyFont="1" applyFill="1" applyBorder="1"/>
    <xf numFmtId="164" fontId="34" fillId="18" borderId="23" xfId="88" applyNumberFormat="1" applyFont="1" applyFill="1" applyBorder="1"/>
    <xf numFmtId="37" fontId="37" fillId="0" borderId="0" xfId="0" applyFont="1" applyAlignment="1">
      <alignment horizontal="right"/>
    </xf>
    <xf numFmtId="0" fontId="23" fillId="0" borderId="0" xfId="93" applyFont="1" applyAlignment="1">
      <alignment horizontal="center" wrapText="1"/>
    </xf>
    <xf numFmtId="0" fontId="47" fillId="0" borderId="0" xfId="93" applyFont="1"/>
    <xf numFmtId="37" fontId="9" fillId="0" borderId="0" xfId="88" applyNumberFormat="1" applyFont="1"/>
    <xf numFmtId="0" fontId="24" fillId="0" borderId="12" xfId="88" applyFont="1" applyBorder="1" applyAlignment="1">
      <alignment horizontal="left"/>
    </xf>
    <xf numFmtId="175" fontId="24" fillId="0" borderId="12" xfId="88" applyNumberFormat="1" applyFont="1" applyBorder="1"/>
    <xf numFmtId="0" fontId="24" fillId="0" borderId="0" xfId="88" applyFont="1" applyAlignment="1">
      <alignment horizontal="left" indent="1"/>
    </xf>
    <xf numFmtId="0" fontId="24" fillId="0" borderId="12" xfId="88" applyFont="1" applyBorder="1" applyAlignment="1">
      <alignment horizontal="left" indent="2"/>
    </xf>
    <xf numFmtId="37" fontId="18" fillId="0" borderId="0" xfId="90" applyFont="1" applyAlignment="1">
      <alignment horizontal="centerContinuous"/>
    </xf>
    <xf numFmtId="0" fontId="18" fillId="0" borderId="0" xfId="93" applyFont="1" applyAlignment="1">
      <alignment horizontal="left"/>
    </xf>
    <xf numFmtId="1" fontId="16" fillId="0" borderId="0" xfId="93" applyNumberFormat="1" applyFont="1" applyAlignment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Border="1"/>
    <xf numFmtId="10" fontId="23" fillId="0" borderId="0" xfId="90" applyNumberFormat="1" applyFont="1"/>
    <xf numFmtId="175" fontId="34" fillId="0" borderId="19" xfId="88" applyNumberFormat="1" applyFont="1" applyBorder="1"/>
    <xf numFmtId="164" fontId="34" fillId="0" borderId="24" xfId="88" applyNumberFormat="1" applyFont="1" applyBorder="1"/>
    <xf numFmtId="0" fontId="23" fillId="0" borderId="0" xfId="93" applyFont="1" applyAlignment="1">
      <alignment horizontal="center"/>
    </xf>
    <xf numFmtId="10" fontId="44" fillId="0" borderId="0" xfId="92" applyFont="1"/>
    <xf numFmtId="182" fontId="27" fillId="0" borderId="0" xfId="92" applyNumberFormat="1" applyFont="1" applyAlignment="1">
      <alignment horizontal="center"/>
    </xf>
    <xf numFmtId="37" fontId="13" fillId="0" borderId="0" xfId="92" applyNumberFormat="1" applyFont="1" applyAlignment="1">
      <alignment horizontal="center"/>
    </xf>
    <xf numFmtId="10" fontId="27" fillId="0" borderId="0" xfId="92" applyFont="1"/>
    <xf numFmtId="181" fontId="40" fillId="0" borderId="0" xfId="92" applyNumberFormat="1" applyFont="1" applyAlignment="1">
      <alignment horizontal="centerContinuous" vertical="center" wrapText="1"/>
    </xf>
    <xf numFmtId="166" fontId="18" fillId="0" borderId="0" xfId="0" applyNumberFormat="1" applyFont="1" applyAlignment="1">
      <alignment horizontal="centerContinuous" vertical="center" wrapText="1"/>
    </xf>
    <xf numFmtId="37" fontId="16" fillId="0" borderId="0" xfId="0" applyFont="1" applyAlignment="1">
      <alignment horizontal="centerContinuous" vertical="center" wrapText="1"/>
    </xf>
    <xf numFmtId="37" fontId="16" fillId="0" borderId="0" xfId="0" applyFont="1" applyAlignment="1">
      <alignment horizontal="left" vertical="center" wrapText="1"/>
    </xf>
    <xf numFmtId="5" fontId="16" fillId="0" borderId="0" xfId="59" applyNumberFormat="1" applyFont="1" applyFill="1" applyBorder="1"/>
    <xf numFmtId="179" fontId="33" fillId="0" borderId="0" xfId="88" applyNumberFormat="1" applyFont="1"/>
    <xf numFmtId="37" fontId="23" fillId="0" borderId="0" xfId="89" quotePrefix="1" applyFont="1" applyAlignment="1">
      <alignment horizontal="center"/>
    </xf>
    <xf numFmtId="14" fontId="18" fillId="0" borderId="16" xfId="0" applyNumberFormat="1" applyFont="1" applyBorder="1"/>
    <xf numFmtId="14" fontId="16" fillId="0" borderId="16" xfId="0" applyNumberFormat="1" applyFont="1" applyBorder="1" applyAlignment="1">
      <alignment horizontal="left" indent="1"/>
    </xf>
    <xf numFmtId="181" fontId="15" fillId="0" borderId="0" xfId="92" applyNumberFormat="1" applyFont="1" applyAlignment="1">
      <alignment horizontal="centerContinuous" vertical="center" wrapText="1"/>
    </xf>
    <xf numFmtId="181" fontId="18" fillId="0" borderId="0" xfId="90" applyNumberFormat="1" applyFont="1" applyAlignment="1">
      <alignment horizontal="centerContinuous"/>
    </xf>
    <xf numFmtId="168" fontId="16" fillId="0" borderId="0" xfId="0" applyNumberFormat="1" applyFont="1" applyAlignment="1">
      <alignment horizontal="center"/>
    </xf>
    <xf numFmtId="5" fontId="36" fillId="0" borderId="0" xfId="90" applyNumberFormat="1" applyFont="1"/>
    <xf numFmtId="175" fontId="24" fillId="0" borderId="0" xfId="88" applyNumberFormat="1" applyFont="1"/>
    <xf numFmtId="175" fontId="23" fillId="0" borderId="0" xfId="88" applyNumberFormat="1" applyFont="1"/>
    <xf numFmtId="37" fontId="45" fillId="0" borderId="0" xfId="0" applyFont="1"/>
    <xf numFmtId="37" fontId="25" fillId="0" borderId="0" xfId="0" applyFont="1" applyAlignment="1">
      <alignment horizontal="center"/>
    </xf>
    <xf numFmtId="37" fontId="46" fillId="0" borderId="0" xfId="0" applyFont="1"/>
    <xf numFmtId="170" fontId="25" fillId="0" borderId="0" xfId="59" applyNumberFormat="1" applyFont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Alignment="1">
      <alignment horizontal="center"/>
    </xf>
    <xf numFmtId="171" fontId="24" fillId="0" borderId="0" xfId="0" applyNumberFormat="1" applyFont="1" applyAlignment="1">
      <alignment horizontal="center"/>
    </xf>
    <xf numFmtId="175" fontId="23" fillId="0" borderId="12" xfId="88" applyNumberFormat="1" applyFont="1" applyBorder="1"/>
    <xf numFmtId="2" fontId="24" fillId="0" borderId="0" xfId="0" applyNumberFormat="1" applyFont="1" applyAlignment="1">
      <alignment horizontal="center"/>
    </xf>
    <xf numFmtId="175" fontId="23" fillId="0" borderId="25" xfId="88" applyNumberFormat="1" applyFont="1" applyBorder="1"/>
    <xf numFmtId="37" fontId="46" fillId="0" borderId="0" xfId="90" applyFont="1"/>
    <xf numFmtId="37" fontId="46" fillId="0" borderId="0" xfId="90" applyFont="1" applyAlignment="1">
      <alignment horizontal="right"/>
    </xf>
    <xf numFmtId="175" fontId="46" fillId="0" borderId="0" xfId="88" applyNumberFormat="1" applyFont="1"/>
    <xf numFmtId="15" fontId="16" fillId="0" borderId="0" xfId="93" applyNumberFormat="1" applyFont="1" applyAlignment="1">
      <alignment horizontal="right"/>
    </xf>
    <xf numFmtId="5" fontId="20" fillId="0" borderId="0" xfId="93" applyNumberFormat="1" applyFont="1"/>
    <xf numFmtId="5" fontId="18" fillId="0" borderId="25" xfId="93" applyNumberFormat="1" applyFont="1" applyBorder="1" applyAlignment="1">
      <alignment horizontal="right"/>
    </xf>
    <xf numFmtId="43" fontId="42" fillId="0" borderId="0" xfId="88" applyNumberFormat="1" applyFont="1"/>
    <xf numFmtId="164" fontId="33" fillId="0" borderId="26" xfId="88" applyNumberFormat="1" applyFont="1" applyBorder="1"/>
    <xf numFmtId="164" fontId="33" fillId="0" borderId="25" xfId="88" applyNumberFormat="1" applyFont="1" applyBorder="1"/>
    <xf numFmtId="165" fontId="33" fillId="0" borderId="0" xfId="88" applyNumberFormat="1" applyFont="1"/>
    <xf numFmtId="165" fontId="33" fillId="0" borderId="19" xfId="88" applyNumberFormat="1" applyFont="1" applyBorder="1"/>
    <xf numFmtId="165" fontId="33" fillId="0" borderId="10" xfId="88" applyNumberFormat="1" applyFont="1" applyBorder="1"/>
    <xf numFmtId="165" fontId="33" fillId="0" borderId="20" xfId="88" applyNumberFormat="1" applyFont="1" applyBorder="1"/>
    <xf numFmtId="0" fontId="33" fillId="0" borderId="0" xfId="88" applyFont="1"/>
    <xf numFmtId="0" fontId="33" fillId="0" borderId="19" xfId="88" applyFont="1" applyBorder="1"/>
    <xf numFmtId="165" fontId="33" fillId="0" borderId="27" xfId="88" applyNumberFormat="1" applyFont="1" applyBorder="1"/>
    <xf numFmtId="165" fontId="33" fillId="0" borderId="28" xfId="88" applyNumberFormat="1" applyFont="1" applyBorder="1"/>
    <xf numFmtId="164" fontId="42" fillId="0" borderId="0" xfId="88" applyNumberFormat="1" applyFont="1"/>
    <xf numFmtId="164" fontId="24" fillId="0" borderId="12" xfId="88" applyNumberFormat="1" applyFont="1" applyBorder="1"/>
    <xf numFmtId="37" fontId="12" fillId="0" borderId="0" xfId="90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/>
    <xf numFmtId="169" fontId="45" fillId="0" borderId="0" xfId="0" applyNumberFormat="1" applyFont="1"/>
    <xf numFmtId="10" fontId="4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/>
    <xf numFmtId="5" fontId="29" fillId="0" borderId="26" xfId="89" applyNumberFormat="1" applyFont="1" applyBorder="1"/>
    <xf numFmtId="168" fontId="29" fillId="0" borderId="26" xfId="89" applyNumberFormat="1" applyFont="1" applyBorder="1"/>
    <xf numFmtId="14" fontId="18" fillId="0" borderId="16" xfId="0" applyNumberFormat="1" applyFont="1" applyBorder="1" applyAlignment="1">
      <alignment horizontal="left" indent="2"/>
    </xf>
    <xf numFmtId="37" fontId="18" fillId="0" borderId="16" xfId="0" applyFont="1" applyBorder="1" applyAlignment="1">
      <alignment horizontal="left" indent="1"/>
    </xf>
    <xf numFmtId="0" fontId="15" fillId="0" borderId="0" xfId="93" quotePrefix="1" applyFont="1" applyAlignment="1">
      <alignment horizontal="centerContinuous" vertical="center" wrapText="1"/>
    </xf>
    <xf numFmtId="181" fontId="15" fillId="0" borderId="0" xfId="93" quotePrefix="1" applyNumberFormat="1" applyFont="1" applyAlignment="1">
      <alignment horizontal="centerContinuous" vertical="center" wrapText="1"/>
    </xf>
    <xf numFmtId="37" fontId="48" fillId="0" borderId="0" xfId="0" applyFont="1" applyAlignment="1">
      <alignment horizontal="center"/>
    </xf>
    <xf numFmtId="10" fontId="28" fillId="0" borderId="0" xfId="92" applyFont="1"/>
    <xf numFmtId="10" fontId="33" fillId="0" borderId="0" xfId="98" applyNumberFormat="1" applyFont="1" applyFill="1" applyBorder="1" applyProtection="1"/>
    <xf numFmtId="10" fontId="33" fillId="0" borderId="10" xfId="88" applyNumberFormat="1" applyFont="1" applyBorder="1"/>
    <xf numFmtId="184" fontId="33" fillId="0" borderId="0" xfId="88" applyNumberFormat="1" applyFont="1"/>
    <xf numFmtId="0" fontId="31" fillId="0" borderId="0" xfId="88" applyFont="1" applyAlignment="1">
      <alignment horizontal="centerContinuous" vertical="center" wrapText="1"/>
    </xf>
    <xf numFmtId="10" fontId="31" fillId="0" borderId="0" xfId="92" applyFont="1" applyAlignment="1">
      <alignment horizontal="centerContinuous" vertical="center" wrapText="1"/>
    </xf>
    <xf numFmtId="172" fontId="31" fillId="0" borderId="0" xfId="92" applyNumberFormat="1" applyFont="1" applyAlignment="1">
      <alignment horizontal="centerContinuous" vertical="center" wrapText="1"/>
    </xf>
    <xf numFmtId="180" fontId="48" fillId="0" borderId="0" xfId="0" applyNumberFormat="1" applyFont="1" applyAlignment="1">
      <alignment horizontal="left" indent="1"/>
    </xf>
    <xf numFmtId="1" fontId="16" fillId="0" borderId="0" xfId="0" applyNumberFormat="1" applyFont="1" applyAlignment="1">
      <alignment horizontal="center"/>
    </xf>
    <xf numFmtId="37" fontId="23" fillId="0" borderId="13" xfId="0" applyFont="1" applyBorder="1"/>
    <xf numFmtId="37" fontId="39" fillId="0" borderId="29" xfId="0" applyFont="1" applyBorder="1"/>
    <xf numFmtId="37" fontId="16" fillId="0" borderId="15" xfId="0" applyFont="1" applyBorder="1"/>
    <xf numFmtId="37" fontId="0" fillId="0" borderId="14" xfId="0" applyBorder="1"/>
    <xf numFmtId="37" fontId="16" fillId="0" borderId="17" xfId="0" applyFont="1" applyBorder="1"/>
    <xf numFmtId="37" fontId="16" fillId="0" borderId="21" xfId="0" applyFont="1" applyBorder="1"/>
    <xf numFmtId="37" fontId="23" fillId="0" borderId="0" xfId="90" applyFont="1" applyAlignment="1">
      <alignment horizontal="center" wrapText="1"/>
    </xf>
    <xf numFmtId="17" fontId="18" fillId="0" borderId="0" xfId="88" applyNumberFormat="1" applyFont="1" applyAlignment="1">
      <alignment horizontal="right"/>
    </xf>
    <xf numFmtId="164" fontId="24" fillId="0" borderId="26" xfId="88" applyNumberFormat="1" applyFont="1" applyBorder="1"/>
    <xf numFmtId="39" fontId="42" fillId="0" borderId="0" xfId="0" applyNumberFormat="1" applyFont="1"/>
    <xf numFmtId="168" fontId="45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5" fillId="0" borderId="0" xfId="0" applyNumberFormat="1" applyFont="1" applyAlignment="1">
      <alignment horizontal="center"/>
    </xf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>
      <alignment horizontal="left"/>
    </xf>
    <xf numFmtId="176" fontId="42" fillId="0" borderId="0" xfId="88" applyNumberFormat="1" applyFont="1"/>
    <xf numFmtId="0" fontId="42" fillId="0" borderId="0" xfId="88" applyFont="1"/>
    <xf numFmtId="5" fontId="45" fillId="0" borderId="0" xfId="55" applyNumberFormat="1" applyFont="1" applyFill="1" applyBorder="1"/>
    <xf numFmtId="168" fontId="45" fillId="0" borderId="0" xfId="0" applyNumberFormat="1" applyFont="1" applyAlignment="1">
      <alignment horizontal="center"/>
    </xf>
    <xf numFmtId="37" fontId="25" fillId="0" borderId="0" xfId="0" applyFont="1"/>
    <xf numFmtId="37" fontId="18" fillId="0" borderId="0" xfId="89" applyFont="1" applyAlignment="1">
      <alignment horizontal="center"/>
    </xf>
    <xf numFmtId="37" fontId="18" fillId="0" borderId="10" xfId="0" applyFont="1" applyBorder="1"/>
    <xf numFmtId="37" fontId="18" fillId="0" borderId="0" xfId="0" applyFont="1" applyAlignment="1">
      <alignment horizontal="center"/>
    </xf>
    <xf numFmtId="174" fontId="18" fillId="0" borderId="10" xfId="93" applyNumberFormat="1" applyFont="1" applyBorder="1" applyAlignment="1">
      <alignment horizontal="center"/>
    </xf>
    <xf numFmtId="37" fontId="25" fillId="0" borderId="0" xfId="0" applyFont="1" applyAlignment="1">
      <alignment horizontal="left" indent="1"/>
    </xf>
    <xf numFmtId="37" fontId="16" fillId="0" borderId="0" xfId="0" applyFont="1" applyAlignment="1">
      <alignment horizontal="left" indent="1"/>
    </xf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5" fillId="0" borderId="0" xfId="0" applyNumberFormat="1" applyFont="1" applyAlignment="1">
      <alignment horizontal="left" indent="1"/>
    </xf>
    <xf numFmtId="37" fontId="23" fillId="0" borderId="0" xfId="89" applyFont="1" applyAlignment="1">
      <alignment horizontal="left"/>
    </xf>
    <xf numFmtId="37" fontId="23" fillId="0" borderId="10" xfId="90" applyFont="1" applyBorder="1" applyAlignment="1">
      <alignment horizontal="center" wrapText="1"/>
    </xf>
    <xf numFmtId="175" fontId="34" fillId="0" borderId="12" xfId="88" applyNumberFormat="1" applyFont="1" applyBorder="1"/>
    <xf numFmtId="10" fontId="23" fillId="19" borderId="23" xfId="90" applyNumberFormat="1" applyFont="1" applyFill="1" applyBorder="1"/>
    <xf numFmtId="186" fontId="42" fillId="0" borderId="0" xfId="88" applyNumberFormat="1" applyFont="1"/>
    <xf numFmtId="5" fontId="16" fillId="0" borderId="0" xfId="55" applyNumberFormat="1" applyFont="1" applyFill="1" applyBorder="1"/>
    <xf numFmtId="176" fontId="19" fillId="0" borderId="0" xfId="88" applyNumberFormat="1" applyFont="1" applyAlignment="1">
      <alignment horizontal="center" wrapText="1"/>
    </xf>
    <xf numFmtId="0" fontId="65" fillId="0" borderId="0" xfId="88" applyFont="1"/>
    <xf numFmtId="10" fontId="66" fillId="0" borderId="0" xfId="92" applyFont="1"/>
    <xf numFmtId="10" fontId="9" fillId="0" borderId="0" xfId="98" applyNumberFormat="1" applyFont="1"/>
    <xf numFmtId="5" fontId="45" fillId="0" borderId="0" xfId="59" applyNumberFormat="1" applyFont="1" applyFill="1"/>
    <xf numFmtId="188" fontId="13" fillId="0" borderId="0" xfId="55" applyNumberFormat="1" applyFont="1" applyBorder="1" applyAlignment="1"/>
    <xf numFmtId="37" fontId="67" fillId="0" borderId="0" xfId="0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4" fillId="0" borderId="0" xfId="92" applyNumberFormat="1" applyFont="1"/>
    <xf numFmtId="37" fontId="18" fillId="0" borderId="16" xfId="0" applyFont="1" applyBorder="1"/>
    <xf numFmtId="10" fontId="24" fillId="0" borderId="0" xfId="99" applyNumberFormat="1" applyFont="1" applyFill="1"/>
    <xf numFmtId="37" fontId="23" fillId="0" borderId="0" xfId="87" applyFont="1"/>
    <xf numFmtId="37" fontId="16" fillId="0" borderId="0" xfId="0" applyFont="1" applyAlignment="1">
      <alignment horizontal="right"/>
    </xf>
    <xf numFmtId="37" fontId="46" fillId="0" borderId="0" xfId="0" applyFont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4" fillId="0" borderId="0" xfId="88" applyNumberFormat="1" applyFont="1"/>
    <xf numFmtId="10" fontId="0" fillId="0" borderId="0" xfId="98" applyNumberFormat="1" applyFont="1"/>
    <xf numFmtId="168" fontId="5" fillId="0" borderId="0" xfId="98" applyNumberFormat="1" applyFont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Font="1"/>
    <xf numFmtId="168" fontId="13" fillId="0" borderId="0" xfId="92" applyNumberFormat="1" applyFont="1"/>
    <xf numFmtId="164" fontId="34" fillId="0" borderId="23" xfId="88" applyNumberFormat="1" applyFont="1" applyBorder="1"/>
    <xf numFmtId="0" fontId="23" fillId="0" borderId="0" xfId="88" applyFont="1" applyAlignment="1">
      <alignment horizontal="right"/>
    </xf>
    <xf numFmtId="189" fontId="42" fillId="0" borderId="0" xfId="88" applyNumberFormat="1" applyFont="1"/>
    <xf numFmtId="7" fontId="6" fillId="0" borderId="0" xfId="93" applyNumberFormat="1" applyFont="1"/>
    <xf numFmtId="1" fontId="42" fillId="0" borderId="0" xfId="88" applyNumberFormat="1" applyFont="1"/>
    <xf numFmtId="0" fontId="7" fillId="0" borderId="0" xfId="88" applyFont="1"/>
    <xf numFmtId="37" fontId="68" fillId="0" borderId="0" xfId="90" applyFont="1" applyAlignment="1">
      <alignment horizontal="right"/>
    </xf>
    <xf numFmtId="166" fontId="70" fillId="0" borderId="0" xfId="90" applyNumberFormat="1" applyFont="1" applyAlignment="1">
      <alignment horizontal="centerContinuous"/>
    </xf>
    <xf numFmtId="166" fontId="70" fillId="0" borderId="0" xfId="0" applyNumberFormat="1" applyFont="1" applyAlignment="1">
      <alignment horizontal="centerContinuous"/>
    </xf>
    <xf numFmtId="17" fontId="69" fillId="0" borderId="0" xfId="88" applyNumberFormat="1" applyFont="1" applyAlignment="1">
      <alignment horizontal="center"/>
    </xf>
    <xf numFmtId="166" fontId="71" fillId="0" borderId="0" xfId="90" applyNumberFormat="1" applyFont="1"/>
    <xf numFmtId="9" fontId="42" fillId="0" borderId="0" xfId="98" applyFont="1" applyFill="1" applyBorder="1" applyProtection="1"/>
    <xf numFmtId="168" fontId="0" fillId="0" borderId="0" xfId="98" applyNumberFormat="1" applyFont="1"/>
    <xf numFmtId="37" fontId="18" fillId="0" borderId="12" xfId="0" applyFont="1" applyBorder="1"/>
    <xf numFmtId="181" fontId="18" fillId="0" borderId="0" xfId="0" applyNumberFormat="1" applyFont="1" applyAlignment="1">
      <alignment horizontal="left"/>
    </xf>
    <xf numFmtId="10" fontId="71" fillId="0" borderId="0" xfId="92" applyFont="1"/>
    <xf numFmtId="10" fontId="2" fillId="0" borderId="0" xfId="0" applyNumberFormat="1" applyFont="1"/>
    <xf numFmtId="37" fontId="2" fillId="0" borderId="0" xfId="89" applyFont="1"/>
    <xf numFmtId="37" fontId="72" fillId="0" borderId="0" xfId="0" applyFont="1"/>
    <xf numFmtId="0" fontId="73" fillId="0" borderId="0" xfId="88" applyFont="1"/>
    <xf numFmtId="0" fontId="74" fillId="0" borderId="0" xfId="88" applyFont="1"/>
    <xf numFmtId="175" fontId="75" fillId="0" borderId="0" xfId="88" applyNumberFormat="1" applyFont="1"/>
    <xf numFmtId="183" fontId="75" fillId="0" borderId="0" xfId="88" applyNumberFormat="1" applyFont="1"/>
    <xf numFmtId="37" fontId="75" fillId="0" borderId="0" xfId="88" applyNumberFormat="1" applyFont="1"/>
    <xf numFmtId="168" fontId="72" fillId="0" borderId="0" xfId="98" applyNumberFormat="1" applyFont="1"/>
    <xf numFmtId="37" fontId="75" fillId="0" borderId="0" xfId="0" applyFont="1"/>
    <xf numFmtId="175" fontId="76" fillId="0" borderId="0" xfId="88" applyNumberFormat="1" applyFont="1"/>
    <xf numFmtId="168" fontId="76" fillId="0" borderId="0" xfId="0" applyNumberFormat="1" applyFont="1"/>
    <xf numFmtId="17" fontId="76" fillId="0" borderId="0" xfId="0" applyNumberFormat="1" applyFont="1" applyAlignment="1">
      <alignment horizontal="center"/>
    </xf>
    <xf numFmtId="39" fontId="76" fillId="0" borderId="0" xfId="0" applyNumberFormat="1" applyFont="1" applyAlignment="1">
      <alignment horizontal="center"/>
    </xf>
    <xf numFmtId="37" fontId="73" fillId="0" borderId="0" xfId="90" applyFont="1"/>
    <xf numFmtId="15" fontId="77" fillId="0" borderId="0" xfId="93" applyNumberFormat="1" applyFont="1" applyAlignment="1">
      <alignment horizontal="center"/>
    </xf>
    <xf numFmtId="15" fontId="77" fillId="0" borderId="0" xfId="93" applyNumberFormat="1" applyFont="1" applyAlignment="1">
      <alignment horizontal="right"/>
    </xf>
    <xf numFmtId="5" fontId="77" fillId="0" borderId="0" xfId="93" applyNumberFormat="1" applyFont="1"/>
    <xf numFmtId="5" fontId="16" fillId="20" borderId="0" xfId="93" applyNumberFormat="1" applyFont="1" applyFill="1"/>
    <xf numFmtId="175" fontId="23" fillId="20" borderId="12" xfId="88" applyNumberFormat="1" applyFont="1" applyFill="1" applyBorder="1"/>
    <xf numFmtId="175" fontId="23" fillId="20" borderId="0" xfId="88" applyNumberFormat="1" applyFont="1" applyFill="1"/>
    <xf numFmtId="37" fontId="16" fillId="20" borderId="0" xfId="0" applyFont="1" applyFill="1"/>
    <xf numFmtId="37" fontId="0" fillId="20" borderId="0" xfId="0" applyFill="1"/>
    <xf numFmtId="5" fontId="19" fillId="20" borderId="0" xfId="59" applyNumberFormat="1" applyFont="1" applyFill="1" applyBorder="1"/>
    <xf numFmtId="5" fontId="45" fillId="20" borderId="0" xfId="59" applyNumberFormat="1" applyFont="1" applyFill="1" applyBorder="1"/>
    <xf numFmtId="5" fontId="13" fillId="20" borderId="0" xfId="89" applyNumberFormat="1" applyFont="1" applyFill="1"/>
    <xf numFmtId="5" fontId="29" fillId="20" borderId="0" xfId="89" applyNumberFormat="1" applyFont="1" applyFill="1"/>
    <xf numFmtId="164" fontId="42" fillId="20" borderId="0" xfId="88" applyNumberFormat="1" applyFont="1" applyFill="1"/>
    <xf numFmtId="5" fontId="13" fillId="20" borderId="0" xfId="55" applyNumberFormat="1" applyFont="1" applyFill="1" applyAlignment="1" applyProtection="1"/>
    <xf numFmtId="5" fontId="13" fillId="20" borderId="0" xfId="92" applyNumberFormat="1" applyFont="1" applyFill="1"/>
    <xf numFmtId="10" fontId="13" fillId="20" borderId="0" xfId="92" applyFont="1" applyFill="1"/>
    <xf numFmtId="5" fontId="28" fillId="20" borderId="0" xfId="92" applyNumberFormat="1" applyFont="1" applyFill="1"/>
    <xf numFmtId="0" fontId="23" fillId="0" borderId="0" xfId="88" applyFont="1" applyAlignment="1">
      <alignment horizontal="center"/>
    </xf>
    <xf numFmtId="0" fontId="41" fillId="0" borderId="0" xfId="88" applyFont="1" applyAlignment="1">
      <alignment horizontal="center" vertical="center" wrapText="1"/>
    </xf>
    <xf numFmtId="37" fontId="18" fillId="0" borderId="16" xfId="0" applyFont="1" applyBorder="1" applyAlignment="1">
      <alignment horizontal="left"/>
    </xf>
    <xf numFmtId="37" fontId="18" fillId="0" borderId="0" xfId="0" applyFont="1" applyAlignment="1">
      <alignment horizontal="left"/>
    </xf>
    <xf numFmtId="37" fontId="39" fillId="0" borderId="29" xfId="0" applyFont="1" applyBorder="1" applyAlignment="1">
      <alignment horizontal="left"/>
    </xf>
    <xf numFmtId="37" fontId="39" fillId="0" borderId="15" xfId="0" applyFont="1" applyBorder="1" applyAlignment="1">
      <alignment horizontal="left"/>
    </xf>
    <xf numFmtId="181" fontId="18" fillId="0" borderId="0" xfId="93" applyNumberFormat="1" applyFont="1" applyAlignment="1">
      <alignment horizontal="left"/>
    </xf>
  </cellXfs>
  <cellStyles count="11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3" xfId="57" xr:uid="{00000000-0005-0000-0000-000038000000}"/>
    <cellStyle name="Comma 4" xfId="108" xr:uid="{00000000-0005-0000-0000-000039000000}"/>
    <cellStyle name="Comma0" xfId="58" xr:uid="{00000000-0005-0000-0000-00003A000000}"/>
    <cellStyle name="Currency" xfId="59" builtinId="4"/>
    <cellStyle name="Currency 2" xfId="60" xr:uid="{00000000-0005-0000-0000-00003C000000}"/>
    <cellStyle name="Currency 3" xfId="61" xr:uid="{00000000-0005-0000-0000-00003D000000}"/>
    <cellStyle name="Currency 4" xfId="109" xr:uid="{00000000-0005-0000-0000-00003E000000}"/>
    <cellStyle name="Currency0" xfId="62" xr:uid="{00000000-0005-0000-0000-00003F000000}"/>
    <cellStyle name="Date" xfId="63" xr:uid="{00000000-0005-0000-0000-000040000000}"/>
    <cellStyle name="Explanatory Text" xfId="64" builtinId="53" customBuiltin="1"/>
    <cellStyle name="Explanatory Text 2" xfId="65" xr:uid="{00000000-0005-0000-0000-000042000000}"/>
    <cellStyle name="Good" xfId="66" builtinId="26" customBuiltin="1"/>
    <cellStyle name="Good 2" xfId="67" xr:uid="{00000000-0005-0000-0000-000044000000}"/>
    <cellStyle name="Heading 1" xfId="68" builtinId="16" customBuiltin="1"/>
    <cellStyle name="Heading 1 2" xfId="69" xr:uid="{00000000-0005-0000-0000-000046000000}"/>
    <cellStyle name="Heading 2" xfId="70" builtinId="17" customBuiltin="1"/>
    <cellStyle name="Heading 2 2" xfId="71" xr:uid="{00000000-0005-0000-0000-000048000000}"/>
    <cellStyle name="Heading 3" xfId="72" builtinId="18" customBuiltin="1"/>
    <cellStyle name="Heading 3 2" xfId="73" xr:uid="{00000000-0005-0000-0000-00004A000000}"/>
    <cellStyle name="Heading 4" xfId="74" builtinId="19" customBuiltin="1"/>
    <cellStyle name="Heading 4 2" xfId="75" xr:uid="{00000000-0005-0000-0000-00004C000000}"/>
    <cellStyle name="Input" xfId="76" builtinId="20" customBuiltin="1"/>
    <cellStyle name="Input 2" xfId="77" xr:uid="{00000000-0005-0000-0000-00004E000000}"/>
    <cellStyle name="Linked Cell" xfId="78" builtinId="24" customBuiltin="1"/>
    <cellStyle name="Linked Cell 2" xfId="79" xr:uid="{00000000-0005-0000-0000-000050000000}"/>
    <cellStyle name="Lisa" xfId="80" xr:uid="{00000000-0005-0000-0000-000051000000}"/>
    <cellStyle name="Neutral" xfId="81" builtinId="28" customBuiltin="1"/>
    <cellStyle name="Neutral 2" xfId="82" xr:uid="{00000000-0005-0000-0000-000053000000}"/>
    <cellStyle name="Normal" xfId="0" builtinId="0"/>
    <cellStyle name="Normal 2" xfId="83" xr:uid="{00000000-0005-0000-0000-000055000000}"/>
    <cellStyle name="Normal 2 2" xfId="84" xr:uid="{00000000-0005-0000-0000-000056000000}"/>
    <cellStyle name="Normal 2 2 2" xfId="85" xr:uid="{00000000-0005-0000-0000-000057000000}"/>
    <cellStyle name="Normal 2 3" xfId="86" xr:uid="{00000000-0005-0000-0000-000058000000}"/>
    <cellStyle name="Normal 3" xfId="87" xr:uid="{00000000-0005-0000-0000-000059000000}"/>
    <cellStyle name="Normal 4" xfId="107" xr:uid="{00000000-0005-0000-0000-00005A000000}"/>
    <cellStyle name="Normal_AMACAPST" xfId="88" xr:uid="{00000000-0005-0000-0000-00005B000000}"/>
    <cellStyle name="Normal_COSTOF" xfId="89" xr:uid="{00000000-0005-0000-0000-00005C000000}"/>
    <cellStyle name="Normal_COSTOFD" xfId="90" xr:uid="{00000000-0005-0000-0000-00005D000000}"/>
    <cellStyle name="Normal_COSTOFPR" xfId="91" xr:uid="{00000000-0005-0000-0000-00005E000000}"/>
    <cellStyle name="Normal_RATEOFRE" xfId="92" xr:uid="{00000000-0005-0000-0000-00005F000000}"/>
    <cellStyle name="Normal_SCHEDULE" xfId="93" xr:uid="{00000000-0005-0000-0000-000060000000}"/>
    <cellStyle name="Note" xfId="94" builtinId="10" customBuiltin="1"/>
    <cellStyle name="Note 2" xfId="95" xr:uid="{00000000-0005-0000-0000-000062000000}"/>
    <cellStyle name="Output" xfId="96" builtinId="21" customBuiltin="1"/>
    <cellStyle name="Output 2" xfId="97" xr:uid="{00000000-0005-0000-0000-000064000000}"/>
    <cellStyle name="Percent" xfId="98" builtinId="5"/>
    <cellStyle name="Percent 2" xfId="99" xr:uid="{00000000-0005-0000-0000-000066000000}"/>
    <cellStyle name="Percent 3" xfId="100" xr:uid="{00000000-0005-0000-0000-000067000000}"/>
    <cellStyle name="Percent 4" xfId="110" xr:uid="{00000000-0005-0000-0000-000068000000}"/>
    <cellStyle name="Title" xfId="101" builtinId="15" customBuiltin="1"/>
    <cellStyle name="Title 2" xfId="102" xr:uid="{00000000-0005-0000-0000-00006A000000}"/>
    <cellStyle name="Total" xfId="103" builtinId="25" customBuiltin="1"/>
    <cellStyle name="Total 2" xfId="104" xr:uid="{00000000-0005-0000-0000-00006C000000}"/>
    <cellStyle name="Warning Text" xfId="105" builtinId="11" customBuiltin="1"/>
    <cellStyle name="Warning Text 2" xfId="106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28</xdr:row>
      <xdr:rowOff>0</xdr:rowOff>
    </xdr:from>
    <xdr:to>
      <xdr:col>21</xdr:col>
      <xdr:colOff>199733</xdr:colOff>
      <xdr:row>44</xdr:row>
      <xdr:rowOff>142556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FD9E71-968F-77FA-5164-E4997C9D3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11075" y="4029075"/>
          <a:ext cx="2333333" cy="25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YMENT%20PROCESSING\Wong%20Matthew\Reports\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M35" sqref="M35"/>
    </sheetView>
  </sheetViews>
  <sheetFormatPr defaultColWidth="11.5" defaultRowHeight="12.75"/>
  <cols>
    <col min="1" max="1" width="3.83203125" style="12" customWidth="1"/>
    <col min="2" max="2" width="37.33203125" style="12" customWidth="1"/>
    <col min="3" max="3" width="18.1640625" style="12" customWidth="1"/>
    <col min="4" max="4" width="13.5" style="12" customWidth="1"/>
    <col min="5" max="5" width="13.1640625" style="12" customWidth="1"/>
    <col min="6" max="6" width="13.5" style="12" customWidth="1"/>
    <col min="7" max="7" width="11.5" style="12" customWidth="1"/>
    <col min="8" max="8" width="13.83203125" style="12" customWidth="1"/>
    <col min="9" max="9" width="17.6640625" style="12" customWidth="1"/>
    <col min="10" max="10" width="8.5" style="12" customWidth="1"/>
    <col min="11" max="11" width="9" style="12" customWidth="1"/>
    <col min="12" max="12" width="8.6640625" style="12" customWidth="1"/>
    <col min="13" max="16384" width="11.5" style="12"/>
  </cols>
  <sheetData>
    <row r="1" spans="1:12" ht="15.75">
      <c r="B1" s="256" t="s">
        <v>151</v>
      </c>
      <c r="C1" s="256"/>
      <c r="D1" s="256"/>
      <c r="E1" s="256"/>
      <c r="F1" s="256"/>
    </row>
    <row r="2" spans="1:12">
      <c r="A2" s="78"/>
      <c r="B2" s="13"/>
      <c r="C2" s="13"/>
      <c r="D2" s="13"/>
      <c r="E2" s="13"/>
      <c r="F2" s="13"/>
    </row>
    <row r="3" spans="1:12" ht="15.75">
      <c r="B3" s="257" t="s">
        <v>3</v>
      </c>
      <c r="C3" s="257"/>
      <c r="D3" s="257"/>
      <c r="E3" s="257"/>
      <c r="F3" s="257"/>
    </row>
    <row r="4" spans="1:12" ht="15.75">
      <c r="B4" s="258" t="s">
        <v>39</v>
      </c>
      <c r="C4" s="258"/>
      <c r="D4" s="258"/>
      <c r="E4" s="258"/>
      <c r="F4" s="258"/>
      <c r="H4" s="179"/>
      <c r="L4" s="181"/>
    </row>
    <row r="5" spans="1:12">
      <c r="A5" s="79"/>
      <c r="B5" s="192" t="s">
        <v>149</v>
      </c>
      <c r="C5" s="192"/>
      <c r="D5" s="192"/>
      <c r="E5" s="192"/>
      <c r="F5" s="192"/>
      <c r="H5" s="179"/>
      <c r="L5" s="181"/>
    </row>
    <row r="6" spans="1:12">
      <c r="A6" s="14"/>
      <c r="C6" s="15"/>
      <c r="F6" s="341"/>
      <c r="H6" s="179"/>
      <c r="L6" s="181"/>
    </row>
    <row r="7" spans="1:12">
      <c r="A7" s="14"/>
      <c r="B7" s="79"/>
      <c r="C7" s="79"/>
      <c r="D7" s="79"/>
      <c r="E7" s="79"/>
      <c r="F7" s="79"/>
      <c r="H7" s="179"/>
      <c r="L7" s="181"/>
    </row>
    <row r="8" spans="1:12">
      <c r="A8" s="148">
        <v>1</v>
      </c>
      <c r="B8" s="97" t="s">
        <v>2</v>
      </c>
      <c r="C8" s="97" t="s">
        <v>19</v>
      </c>
      <c r="D8" s="97" t="s">
        <v>34</v>
      </c>
      <c r="E8" s="97" t="s">
        <v>45</v>
      </c>
      <c r="F8" s="97" t="s">
        <v>46</v>
      </c>
      <c r="H8" s="179"/>
      <c r="L8" s="181"/>
    </row>
    <row r="9" spans="1:12">
      <c r="A9" s="148">
        <f>+A8+1</f>
        <v>2</v>
      </c>
      <c r="B9" s="79"/>
      <c r="C9" s="79"/>
      <c r="D9" s="79"/>
      <c r="E9" s="79"/>
      <c r="F9" s="79"/>
      <c r="H9" s="179"/>
      <c r="L9" s="181"/>
    </row>
    <row r="10" spans="1:12">
      <c r="A10" s="148">
        <f t="shared" ref="A10:A17" si="0">+A9+1</f>
        <v>3</v>
      </c>
      <c r="B10" s="80" t="s">
        <v>1</v>
      </c>
      <c r="C10" s="81"/>
      <c r="D10" s="81"/>
      <c r="E10" s="81"/>
      <c r="F10" s="81" t="s">
        <v>4</v>
      </c>
      <c r="H10" s="179"/>
      <c r="L10" s="181"/>
    </row>
    <row r="11" spans="1:12">
      <c r="A11" s="148">
        <f t="shared" si="0"/>
        <v>4</v>
      </c>
      <c r="B11" s="81"/>
      <c r="C11" s="81"/>
      <c r="D11" s="81"/>
      <c r="E11" s="81"/>
      <c r="F11" s="81" t="s">
        <v>5</v>
      </c>
      <c r="H11" s="179"/>
      <c r="L11" s="181"/>
    </row>
    <row r="12" spans="1:12">
      <c r="A12" s="148">
        <f t="shared" si="0"/>
        <v>5</v>
      </c>
      <c r="B12" s="82" t="s">
        <v>6</v>
      </c>
      <c r="C12" s="82" t="s">
        <v>60</v>
      </c>
      <c r="D12" s="82" t="s">
        <v>7</v>
      </c>
      <c r="E12" s="82" t="s">
        <v>8</v>
      </c>
      <c r="F12" s="82" t="s">
        <v>9</v>
      </c>
      <c r="H12" s="179"/>
      <c r="L12" s="181"/>
    </row>
    <row r="13" spans="1:12">
      <c r="A13" s="148">
        <f t="shared" si="0"/>
        <v>6</v>
      </c>
      <c r="B13" s="83"/>
      <c r="C13" s="83"/>
      <c r="D13" s="83"/>
      <c r="E13" s="83"/>
      <c r="F13" s="83"/>
      <c r="H13" s="179"/>
      <c r="L13" s="181"/>
    </row>
    <row r="14" spans="1:12">
      <c r="A14" s="148">
        <f t="shared" si="0"/>
        <v>7</v>
      </c>
      <c r="B14" s="83" t="s">
        <v>10</v>
      </c>
      <c r="C14" s="370">
        <f>'Pg 2 CapStructure'!Q10</f>
        <v>52406250</v>
      </c>
      <c r="D14" s="325">
        <f>ROUND(C14/$C$30,4)</f>
        <v>6.4799999999999996E-2</v>
      </c>
      <c r="E14" s="372">
        <f>'Pg 6 LTD Cost '!H31</f>
        <v>3.3000000000000002E-2</v>
      </c>
      <c r="F14" s="79">
        <f>ROUND(D14*E14,4)</f>
        <v>2.0999999999999999E-3</v>
      </c>
      <c r="L14" s="179"/>
    </row>
    <row r="15" spans="1:12">
      <c r="A15" s="148">
        <f t="shared" si="0"/>
        <v>8</v>
      </c>
      <c r="B15" s="83"/>
      <c r="C15" s="131"/>
      <c r="D15" s="79"/>
      <c r="E15" s="79"/>
      <c r="F15" s="79"/>
      <c r="L15" s="179"/>
    </row>
    <row r="16" spans="1:12">
      <c r="A16" s="148">
        <f t="shared" si="0"/>
        <v>9</v>
      </c>
      <c r="B16" s="83" t="s">
        <v>11</v>
      </c>
      <c r="C16" s="371">
        <f>'Pg 2 CapStructure'!Q16</f>
        <v>375000000</v>
      </c>
      <c r="D16" s="302">
        <f>ROUND(C16/$C$30,4)</f>
        <v>0.4637</v>
      </c>
      <c r="E16" s="372">
        <f>'Pg 6 LTD Cost '!H29</f>
        <v>4.5600000000000002E-2</v>
      </c>
      <c r="F16" s="79">
        <f>ROUND(D16*E16,4)</f>
        <v>2.1100000000000001E-2</v>
      </c>
      <c r="L16" s="179"/>
    </row>
    <row r="17" spans="1:12">
      <c r="A17" s="148">
        <f t="shared" si="0"/>
        <v>10</v>
      </c>
      <c r="B17" s="85"/>
      <c r="C17" s="131"/>
      <c r="D17" s="79"/>
      <c r="E17" s="79"/>
      <c r="F17" s="79"/>
      <c r="H17" s="188"/>
      <c r="L17" s="179"/>
    </row>
    <row r="18" spans="1:12">
      <c r="A18" s="148">
        <v>11</v>
      </c>
      <c r="B18" s="79" t="s">
        <v>137</v>
      </c>
      <c r="C18" s="131"/>
      <c r="D18" s="79">
        <f>ROUND((C14+C16)/C30,4)</f>
        <v>0.52849999999999997</v>
      </c>
      <c r="E18" s="372">
        <f>'Pg 6 LTD Cost '!H33</f>
        <v>4.3999999999999997E-2</v>
      </c>
      <c r="F18" s="79">
        <f>F16+F14</f>
        <v>2.3200000000000002E-2</v>
      </c>
      <c r="H18" s="310"/>
      <c r="L18" s="179"/>
    </row>
    <row r="19" spans="1:12">
      <c r="A19" s="148">
        <v>12</v>
      </c>
      <c r="B19" s="85"/>
      <c r="C19" s="131"/>
      <c r="D19" s="79"/>
      <c r="E19" s="79"/>
      <c r="F19" s="79"/>
      <c r="H19" s="188"/>
      <c r="L19" s="179"/>
    </row>
    <row r="20" spans="1:12">
      <c r="A20" s="148">
        <v>13</v>
      </c>
      <c r="B20" s="79" t="s">
        <v>36</v>
      </c>
      <c r="C20" s="131"/>
      <c r="D20" s="79"/>
      <c r="E20" s="79"/>
      <c r="F20" s="372">
        <f>'Pg 4 STD OS &amp; Comm Fees'!F20</f>
        <v>2.0000000000000001E-4</v>
      </c>
      <c r="H20" s="188"/>
      <c r="L20" s="179"/>
    </row>
    <row r="21" spans="1:12">
      <c r="A21" s="148">
        <v>14</v>
      </c>
      <c r="B21" s="85"/>
      <c r="C21" s="131"/>
      <c r="D21" s="79"/>
      <c r="E21" s="79"/>
      <c r="F21" s="79"/>
      <c r="H21" s="188"/>
      <c r="L21" s="179"/>
    </row>
    <row r="22" spans="1:12">
      <c r="A22" s="148">
        <v>15</v>
      </c>
      <c r="B22" s="79" t="s">
        <v>138</v>
      </c>
      <c r="C22" s="131"/>
      <c r="D22" s="79"/>
      <c r="E22" s="79"/>
      <c r="F22" s="372">
        <f>'Pg 5 STD Amort'!H35</f>
        <v>1E-4</v>
      </c>
      <c r="H22" s="188"/>
      <c r="L22" s="179"/>
    </row>
    <row r="23" spans="1:12">
      <c r="A23" s="148">
        <v>16</v>
      </c>
      <c r="B23" s="85"/>
      <c r="C23" s="131"/>
      <c r="D23" s="79"/>
      <c r="E23" s="79"/>
      <c r="F23" s="79"/>
      <c r="H23" s="188"/>
      <c r="L23" s="179"/>
    </row>
    <row r="24" spans="1:12">
      <c r="A24" s="148">
        <v>17</v>
      </c>
      <c r="B24" s="79" t="s">
        <v>139</v>
      </c>
      <c r="C24" s="131"/>
      <c r="D24" s="79"/>
      <c r="E24" s="79"/>
      <c r="F24" s="372">
        <f>'Pg 7 Reacquired Debt'!I17</f>
        <v>1E-4</v>
      </c>
      <c r="H24" s="188"/>
      <c r="L24" s="179"/>
    </row>
    <row r="25" spans="1:12">
      <c r="A25" s="148">
        <v>18</v>
      </c>
      <c r="B25" s="85"/>
      <c r="C25" s="131"/>
      <c r="D25" s="79"/>
      <c r="E25" s="79"/>
      <c r="F25" s="79"/>
      <c r="H25" s="188"/>
      <c r="L25" s="179"/>
    </row>
    <row r="26" spans="1:12">
      <c r="A26" s="148">
        <v>19</v>
      </c>
      <c r="B26" s="85" t="s">
        <v>140</v>
      </c>
      <c r="C26" s="131">
        <f>C16+C14</f>
        <v>427406250</v>
      </c>
      <c r="D26" s="79">
        <f>D18</f>
        <v>0.52849999999999997</v>
      </c>
      <c r="E26" s="342">
        <f>F26/D26</f>
        <v>4.4654683065279095E-2</v>
      </c>
      <c r="F26" s="79">
        <f>SUM(F18:F25)</f>
        <v>2.3599999999999999E-2</v>
      </c>
      <c r="G26" s="321"/>
      <c r="H26" s="188"/>
      <c r="L26" s="179"/>
    </row>
    <row r="27" spans="1:12">
      <c r="A27" s="148">
        <v>20</v>
      </c>
      <c r="B27" s="85"/>
      <c r="C27" s="131"/>
      <c r="D27" s="79"/>
      <c r="E27" s="79"/>
      <c r="F27" s="79"/>
      <c r="H27" s="188"/>
      <c r="L27" s="179"/>
    </row>
    <row r="28" spans="1:12">
      <c r="A28" s="148">
        <v>21</v>
      </c>
      <c r="B28" s="84" t="s">
        <v>12</v>
      </c>
      <c r="C28" s="373">
        <f>'Pg 2 CapStructure'!Q20</f>
        <v>381279069</v>
      </c>
      <c r="D28" s="252">
        <f>ROUND(C28/$C$30,4)</f>
        <v>0.47149999999999997</v>
      </c>
      <c r="E28" s="324">
        <v>9.4E-2</v>
      </c>
      <c r="F28" s="252">
        <f>ROUND(D28*E28,4)</f>
        <v>4.4299999999999999E-2</v>
      </c>
      <c r="H28" s="189"/>
      <c r="I28" s="324"/>
      <c r="J28" s="190"/>
      <c r="K28" s="191"/>
      <c r="L28" s="79"/>
    </row>
    <row r="29" spans="1:12">
      <c r="A29" s="148">
        <v>22</v>
      </c>
      <c r="B29" s="85"/>
      <c r="C29" s="79"/>
      <c r="D29" s="132"/>
      <c r="E29" s="191"/>
      <c r="F29" s="79"/>
      <c r="H29" s="189"/>
      <c r="I29" s="324"/>
      <c r="J29" s="190"/>
      <c r="K29" s="191"/>
      <c r="L29" s="79"/>
    </row>
    <row r="30" spans="1:12">
      <c r="A30" s="148">
        <v>23</v>
      </c>
      <c r="B30" s="84" t="s">
        <v>13</v>
      </c>
      <c r="C30" s="133">
        <f>C28+C26</f>
        <v>808685319</v>
      </c>
      <c r="D30" s="134">
        <f>D28+D18</f>
        <v>1</v>
      </c>
      <c r="E30" s="305"/>
      <c r="F30" s="134">
        <f>F28+F26</f>
        <v>6.7900000000000002E-2</v>
      </c>
      <c r="H30" s="79"/>
      <c r="I30" s="79"/>
      <c r="J30" s="190"/>
      <c r="K30" s="79"/>
      <c r="L30" s="79"/>
    </row>
    <row r="31" spans="1:12">
      <c r="A31" s="148">
        <v>24</v>
      </c>
      <c r="B31" s="79"/>
      <c r="C31" s="79"/>
      <c r="D31" s="79"/>
      <c r="E31" s="134"/>
      <c r="F31" s="79"/>
      <c r="H31" s="79"/>
      <c r="I31" s="79"/>
      <c r="J31" s="79"/>
    </row>
    <row r="32" spans="1:12">
      <c r="A32" s="148">
        <v>25</v>
      </c>
      <c r="B32" s="79"/>
      <c r="C32" s="79"/>
      <c r="D32" s="79"/>
      <c r="E32" s="79"/>
      <c r="F32" s="79"/>
    </row>
    <row r="33" spans="1:7">
      <c r="A33" s="148">
        <v>26</v>
      </c>
      <c r="B33" s="277" t="s">
        <v>130</v>
      </c>
      <c r="C33" s="79"/>
      <c r="D33" s="79"/>
      <c r="E33" s="109"/>
      <c r="F33" s="79"/>
      <c r="G33" s="182"/>
    </row>
    <row r="34" spans="1:7">
      <c r="A34" s="11"/>
      <c r="B34" s="79"/>
      <c r="C34" s="79"/>
      <c r="D34" s="79"/>
      <c r="E34" s="79"/>
      <c r="F34" s="79"/>
    </row>
    <row r="35" spans="1:7">
      <c r="A35" s="11"/>
      <c r="B35" s="79"/>
      <c r="C35" s="131"/>
      <c r="D35" s="79"/>
      <c r="E35" s="79"/>
      <c r="F35" s="79"/>
    </row>
    <row r="36" spans="1:7">
      <c r="A36" s="11"/>
      <c r="B36" s="79"/>
      <c r="C36" s="131"/>
      <c r="D36" s="79"/>
      <c r="E36" s="79"/>
      <c r="F36" s="79"/>
    </row>
    <row r="37" spans="1:7">
      <c r="A37" s="11"/>
      <c r="B37" s="79"/>
      <c r="C37" s="131"/>
      <c r="D37" s="79"/>
      <c r="E37" s="79"/>
      <c r="F37" s="79"/>
    </row>
    <row r="38" spans="1:7">
      <c r="A38" s="11"/>
      <c r="B38" s="79"/>
      <c r="D38" s="79"/>
      <c r="E38" s="79"/>
      <c r="F38" s="79"/>
    </row>
    <row r="39" spans="1:7">
      <c r="A39" s="11"/>
      <c r="B39" s="79"/>
      <c r="C39" s="131"/>
      <c r="D39" s="79"/>
      <c r="E39" s="79"/>
      <c r="F39" s="79"/>
    </row>
    <row r="40" spans="1:7">
      <c r="A40" s="11"/>
      <c r="B40" s="79"/>
      <c r="C40" s="79"/>
      <c r="D40" s="79"/>
      <c r="E40" s="79"/>
      <c r="F40" s="79"/>
    </row>
    <row r="41" spans="1:7">
      <c r="A41" s="11"/>
      <c r="B41" s="79"/>
      <c r="C41" s="79"/>
      <c r="D41" s="79"/>
      <c r="E41" s="79"/>
      <c r="F41" s="79"/>
    </row>
    <row r="42" spans="1:7">
      <c r="B42" s="79"/>
      <c r="C42" s="79"/>
      <c r="D42" s="79"/>
      <c r="E42" s="79"/>
      <c r="F42" s="79"/>
    </row>
    <row r="43" spans="1:7">
      <c r="B43" s="79"/>
      <c r="C43" s="79"/>
      <c r="D43" s="79"/>
      <c r="E43" s="79"/>
      <c r="F43" s="79"/>
    </row>
    <row r="44" spans="1:7">
      <c r="E44" s="79"/>
    </row>
    <row r="46" spans="1:7">
      <c r="C46" s="16"/>
      <c r="D46" s="17"/>
    </row>
    <row r="47" spans="1:7">
      <c r="D47" s="17"/>
    </row>
    <row r="48" spans="1:7">
      <c r="C48" s="16"/>
      <c r="D48" s="17"/>
    </row>
    <row r="49" spans="3:4">
      <c r="C49" s="16"/>
      <c r="D49" s="17"/>
    </row>
    <row r="50" spans="3:4">
      <c r="C50" s="16"/>
      <c r="D50" s="17"/>
    </row>
    <row r="51" spans="3:4">
      <c r="C51" s="16"/>
      <c r="D51" s="17"/>
    </row>
    <row r="52" spans="3:4">
      <c r="D52" s="17"/>
    </row>
    <row r="53" spans="3:4">
      <c r="C53" s="16"/>
      <c r="D53" s="17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A677"/>
  <sheetViews>
    <sheetView zoomScaleNormal="100" workbookViewId="0">
      <pane xSplit="2" ySplit="6" topLeftCell="C7" activePane="bottomRight" state="frozen"/>
      <selection activeCell="C28" sqref="C28"/>
      <selection pane="topRight" activeCell="C28" sqref="C28"/>
      <selection pane="bottomLeft" activeCell="C28" sqref="C28"/>
      <selection pane="bottomRight" activeCell="C12" sqref="C12:O12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4.1640625" style="1" customWidth="1"/>
    <col min="4" max="4" width="11" style="1" customWidth="1"/>
    <col min="5" max="5" width="11.1640625" style="1" customWidth="1"/>
    <col min="6" max="7" width="10.83203125" style="1" customWidth="1"/>
    <col min="8" max="9" width="10.5" style="1" customWidth="1"/>
    <col min="10" max="11" width="10.83203125" style="1" customWidth="1"/>
    <col min="12" max="14" width="10.6640625" style="1" customWidth="1"/>
    <col min="15" max="15" width="11.5" style="1" customWidth="1"/>
    <col min="16" max="16" width="2.6640625" style="1" customWidth="1"/>
    <col min="17" max="17" width="12.5" style="1" customWidth="1"/>
    <col min="18" max="18" width="10.33203125" style="1" customWidth="1"/>
    <col min="19" max="19" width="17.83203125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 ht="15.75">
      <c r="B1" s="256" t="s">
        <v>151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53">
      <c r="B2" s="113" t="s">
        <v>167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53" ht="12.75" customHeight="1">
      <c r="B3" s="375" t="s">
        <v>147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</row>
    <row r="4" spans="1:53">
      <c r="B4" s="374" t="s">
        <v>40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53">
      <c r="A5" s="99">
        <v>1</v>
      </c>
      <c r="B5" s="97" t="s">
        <v>2</v>
      </c>
      <c r="C5" s="97" t="s">
        <v>19</v>
      </c>
      <c r="D5" s="97" t="s">
        <v>34</v>
      </c>
      <c r="E5" s="97" t="s">
        <v>45</v>
      </c>
      <c r="F5" s="97" t="s">
        <v>46</v>
      </c>
      <c r="G5" s="97" t="s">
        <v>47</v>
      </c>
      <c r="H5" s="97" t="s">
        <v>48</v>
      </c>
      <c r="I5" s="97" t="s">
        <v>49</v>
      </c>
      <c r="J5" s="97" t="s">
        <v>50</v>
      </c>
      <c r="K5" s="97" t="s">
        <v>52</v>
      </c>
      <c r="L5" s="97" t="s">
        <v>53</v>
      </c>
      <c r="M5" s="97" t="s">
        <v>54</v>
      </c>
      <c r="N5" s="97" t="s">
        <v>55</v>
      </c>
      <c r="O5" s="97" t="s">
        <v>56</v>
      </c>
      <c r="P5" s="97"/>
      <c r="Q5" s="97" t="s">
        <v>57</v>
      </c>
    </row>
    <row r="6" spans="1:53" ht="35.1" customHeight="1">
      <c r="A6" s="99">
        <f>+A5+1</f>
        <v>2</v>
      </c>
      <c r="B6" s="77" t="s">
        <v>0</v>
      </c>
      <c r="C6" s="150">
        <v>44561</v>
      </c>
      <c r="D6" s="150">
        <v>44592</v>
      </c>
      <c r="E6" s="150">
        <v>44620</v>
      </c>
      <c r="F6" s="150">
        <v>44651</v>
      </c>
      <c r="G6" s="150">
        <v>44681</v>
      </c>
      <c r="H6" s="150">
        <v>44712</v>
      </c>
      <c r="I6" s="150">
        <v>44742</v>
      </c>
      <c r="J6" s="150">
        <v>44773</v>
      </c>
      <c r="K6" s="150">
        <v>44804</v>
      </c>
      <c r="L6" s="150">
        <v>44834</v>
      </c>
      <c r="M6" s="150">
        <v>44865</v>
      </c>
      <c r="N6" s="150">
        <v>44895</v>
      </c>
      <c r="O6" s="150">
        <v>44926</v>
      </c>
      <c r="P6" s="150"/>
      <c r="Q6" s="92" t="s">
        <v>91</v>
      </c>
      <c r="R6" s="76"/>
      <c r="S6" s="70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</row>
    <row r="7" spans="1:53">
      <c r="A7" s="99">
        <f>+A6+1</f>
        <v>3</v>
      </c>
      <c r="B7" s="111" t="s">
        <v>25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128">
        <f>ROUND(((C7+O7)+(SUM(D7:N7)*2))/24,0)</f>
        <v>0</v>
      </c>
      <c r="R7" s="300"/>
      <c r="S7" s="301"/>
      <c r="T7" s="301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3">
      <c r="A8" s="99">
        <f>+A7+1</f>
        <v>4</v>
      </c>
      <c r="B8" s="111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128">
        <f>ROUND(((C8+L8)+(SUM(D8:N8)*2))/24,0)</f>
        <v>0</v>
      </c>
      <c r="R8" s="300"/>
      <c r="S8" s="301"/>
      <c r="T8" s="301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</row>
    <row r="9" spans="1:53" ht="13.5" thickBot="1">
      <c r="A9" s="99">
        <f>+A8+1</f>
        <v>5</v>
      </c>
      <c r="B9" s="111" t="s">
        <v>158</v>
      </c>
      <c r="C9" s="278">
        <v>70950000</v>
      </c>
      <c r="D9" s="278">
        <v>72600000</v>
      </c>
      <c r="E9" s="278">
        <v>60800000</v>
      </c>
      <c r="F9" s="278">
        <v>49900000</v>
      </c>
      <c r="G9" s="278">
        <v>47300000</v>
      </c>
      <c r="H9" s="278">
        <v>47300000</v>
      </c>
      <c r="I9" s="278">
        <v>8660000</v>
      </c>
      <c r="J9" s="278">
        <v>26980000</v>
      </c>
      <c r="K9" s="278">
        <v>39580000</v>
      </c>
      <c r="L9" s="278">
        <v>60580000</v>
      </c>
      <c r="M9" s="278">
        <v>81800000</v>
      </c>
      <c r="N9" s="278">
        <v>75700000</v>
      </c>
      <c r="O9" s="278">
        <v>44400000</v>
      </c>
      <c r="P9" s="278"/>
      <c r="Q9" s="128">
        <f>ROUND(((C9+O9)+(SUM(D9:N9)*2))/24,0)</f>
        <v>52406250</v>
      </c>
      <c r="R9" s="76"/>
      <c r="S9" s="345" t="s">
        <v>160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</row>
    <row r="10" spans="1:53" ht="13.5" thickBot="1">
      <c r="A10" s="99">
        <f>+A9+1</f>
        <v>6</v>
      </c>
      <c r="B10" s="112" t="s">
        <v>21</v>
      </c>
      <c r="C10" s="269">
        <f t="shared" ref="C10:H10" si="0">SUM(C7:C9)</f>
        <v>70950000</v>
      </c>
      <c r="D10" s="269">
        <f t="shared" si="0"/>
        <v>72600000</v>
      </c>
      <c r="E10" s="269">
        <f t="shared" si="0"/>
        <v>60800000</v>
      </c>
      <c r="F10" s="269">
        <f t="shared" si="0"/>
        <v>49900000</v>
      </c>
      <c r="G10" s="269">
        <f t="shared" si="0"/>
        <v>47300000</v>
      </c>
      <c r="H10" s="269">
        <f t="shared" si="0"/>
        <v>47300000</v>
      </c>
      <c r="I10" s="269">
        <f t="shared" ref="I10:O10" si="1">SUM(I7:I9)</f>
        <v>8660000</v>
      </c>
      <c r="J10" s="269">
        <f t="shared" si="1"/>
        <v>26980000</v>
      </c>
      <c r="K10" s="269">
        <f t="shared" si="1"/>
        <v>39580000</v>
      </c>
      <c r="L10" s="269">
        <f t="shared" si="1"/>
        <v>60580000</v>
      </c>
      <c r="M10" s="269">
        <f t="shared" si="1"/>
        <v>81800000</v>
      </c>
      <c r="N10" s="269">
        <f t="shared" si="1"/>
        <v>75700000</v>
      </c>
      <c r="O10" s="269">
        <f t="shared" si="1"/>
        <v>44400000</v>
      </c>
      <c r="P10" s="152"/>
      <c r="Q10" s="166">
        <f>SUM(Q7:Q9)</f>
        <v>52406250</v>
      </c>
      <c r="R10" s="74"/>
      <c r="S10" s="345"/>
      <c r="T10" s="74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1"/>
      <c r="AG10" s="71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</row>
    <row r="11" spans="1:53" ht="6.95" customHeight="1" thickBot="1">
      <c r="A11" s="99"/>
      <c r="B11" s="110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28"/>
      <c r="R11" s="74"/>
      <c r="S11" s="345"/>
      <c r="T11" s="74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1"/>
      <c r="AG11" s="71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</row>
    <row r="12" spans="1:53" ht="13.5" thickBot="1">
      <c r="A12" s="99">
        <f>+A10+1</f>
        <v>7</v>
      </c>
      <c r="B12" s="112" t="s">
        <v>101</v>
      </c>
      <c r="C12" s="369">
        <f>'Pg 6 LTD Cost '!J27</f>
        <v>375000000</v>
      </c>
      <c r="D12" s="369">
        <f>'Pg 6 LTD Cost '!K27</f>
        <v>375000000</v>
      </c>
      <c r="E12" s="369">
        <f>'Pg 6 LTD Cost '!L27</f>
        <v>375000000</v>
      </c>
      <c r="F12" s="369">
        <f>'Pg 6 LTD Cost '!M27</f>
        <v>375000000</v>
      </c>
      <c r="G12" s="369">
        <f>'Pg 6 LTD Cost '!N27</f>
        <v>375000000</v>
      </c>
      <c r="H12" s="369">
        <f>'Pg 6 LTD Cost '!O27</f>
        <v>375000000</v>
      </c>
      <c r="I12" s="369">
        <f>'Pg 6 LTD Cost '!P27</f>
        <v>375000000</v>
      </c>
      <c r="J12" s="369">
        <f>'Pg 6 LTD Cost '!Q27</f>
        <v>375000000</v>
      </c>
      <c r="K12" s="369">
        <f>'Pg 6 LTD Cost '!R27</f>
        <v>375000000</v>
      </c>
      <c r="L12" s="369">
        <f>'Pg 6 LTD Cost '!S27</f>
        <v>375000000</v>
      </c>
      <c r="M12" s="369">
        <f>'Pg 6 LTD Cost '!T27</f>
        <v>375000000</v>
      </c>
      <c r="N12" s="369">
        <f>'Pg 6 LTD Cost '!U27</f>
        <v>375000000</v>
      </c>
      <c r="O12" s="369">
        <f>'Pg 6 LTD Cost '!V27</f>
        <v>375000000</v>
      </c>
      <c r="P12" s="235"/>
      <c r="Q12" s="166">
        <f>ROUND(((C12+O12)+(SUM(D12:N12)*2))/24,0)</f>
        <v>375000000</v>
      </c>
      <c r="R12" s="74"/>
      <c r="S12" s="346"/>
      <c r="T12" s="301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1"/>
      <c r="AG12" s="71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</row>
    <row r="13" spans="1:53" ht="6" customHeight="1">
      <c r="A13" s="99"/>
      <c r="B13" s="11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29"/>
      <c r="R13" s="74"/>
      <c r="S13" s="345"/>
      <c r="T13" s="74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</row>
    <row r="14" spans="1:53" ht="13.5" customHeight="1">
      <c r="A14" s="99">
        <f>+A12+1</f>
        <v>8</v>
      </c>
      <c r="B14" s="112" t="s">
        <v>99</v>
      </c>
      <c r="C14" s="151"/>
      <c r="D14" s="151">
        <v>0</v>
      </c>
      <c r="E14" s="151">
        <v>0</v>
      </c>
      <c r="F14" s="151">
        <v>0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85">
        <f>ROUND(((C14+O14)+(SUM(D14:N14)*2))/24,0)</f>
        <v>0</v>
      </c>
      <c r="R14" s="74"/>
      <c r="S14" s="346"/>
      <c r="T14" s="301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</row>
    <row r="15" spans="1:53" ht="5.25" customHeight="1" thickBot="1">
      <c r="A15" s="99"/>
      <c r="B15" s="11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129"/>
      <c r="R15" s="74"/>
      <c r="S15" s="347"/>
      <c r="T15" s="74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</row>
    <row r="16" spans="1:53" ht="13.5" customHeight="1" thickBot="1">
      <c r="A16" s="99">
        <f>+A14+1</f>
        <v>9</v>
      </c>
      <c r="B16" s="112" t="s">
        <v>11</v>
      </c>
      <c r="C16" s="225">
        <f>SUM(C12:C14)</f>
        <v>375000000</v>
      </c>
      <c r="D16" s="225">
        <f>SUM(D12:D14)</f>
        <v>375000000</v>
      </c>
      <c r="E16" s="225">
        <f>SUM(E12:E14)</f>
        <v>375000000</v>
      </c>
      <c r="F16" s="225">
        <f>SUM(F12:F14)</f>
        <v>375000000</v>
      </c>
      <c r="G16" s="225">
        <f t="shared" ref="G16:O16" si="2">SUM(G12:G14)</f>
        <v>375000000</v>
      </c>
      <c r="H16" s="225">
        <f t="shared" si="2"/>
        <v>375000000</v>
      </c>
      <c r="I16" s="225">
        <f t="shared" si="2"/>
        <v>375000000</v>
      </c>
      <c r="J16" s="225">
        <f t="shared" si="2"/>
        <v>375000000</v>
      </c>
      <c r="K16" s="225">
        <f t="shared" si="2"/>
        <v>375000000</v>
      </c>
      <c r="L16" s="225">
        <f t="shared" si="2"/>
        <v>375000000</v>
      </c>
      <c r="M16" s="225">
        <f t="shared" si="2"/>
        <v>375000000</v>
      </c>
      <c r="N16" s="225">
        <f t="shared" si="2"/>
        <v>375000000</v>
      </c>
      <c r="O16" s="225">
        <f t="shared" si="2"/>
        <v>375000000</v>
      </c>
      <c r="P16" s="73"/>
      <c r="Q16" s="166">
        <f>SUM(Q12:Q14)</f>
        <v>375000000</v>
      </c>
      <c r="R16" s="74"/>
      <c r="S16" s="348"/>
      <c r="T16" s="74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</row>
    <row r="17" spans="1:53" ht="6.75" customHeight="1" thickBot="1">
      <c r="A17" s="99"/>
      <c r="B17" s="112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129"/>
      <c r="R17" s="74"/>
      <c r="S17" s="347"/>
      <c r="T17" s="74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</row>
    <row r="18" spans="1:53" ht="13.5" thickBot="1">
      <c r="A18" s="99">
        <f>+A16+1</f>
        <v>10</v>
      </c>
      <c r="B18" s="112" t="s">
        <v>63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/>
      <c r="Q18" s="165"/>
      <c r="R18" s="74"/>
      <c r="S18" s="349"/>
      <c r="T18" s="74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</row>
    <row r="19" spans="1:53" ht="6.95" customHeight="1" thickBot="1">
      <c r="A19" s="99"/>
      <c r="B19" s="11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28"/>
      <c r="R19" s="74"/>
      <c r="S19" s="347"/>
      <c r="T19" s="74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</row>
    <row r="20" spans="1:53" ht="13.5" thickBot="1">
      <c r="A20" s="99">
        <f>+A18+1</f>
        <v>11</v>
      </c>
      <c r="B20" s="112" t="s">
        <v>81</v>
      </c>
      <c r="C20" s="235">
        <v>374154175.17000002</v>
      </c>
      <c r="D20" s="235">
        <v>380449487.17000002</v>
      </c>
      <c r="E20" s="235">
        <v>381951230.27999997</v>
      </c>
      <c r="F20" s="235">
        <v>385023796.17000002</v>
      </c>
      <c r="G20" s="235">
        <v>385118506.67000002</v>
      </c>
      <c r="H20" s="235">
        <v>384955935.29000002</v>
      </c>
      <c r="I20" s="235">
        <v>382085256.31</v>
      </c>
      <c r="J20" s="235">
        <v>379461151.26999998</v>
      </c>
      <c r="K20" s="235">
        <v>372491903.60000002</v>
      </c>
      <c r="L20" s="235">
        <v>370434139.01999998</v>
      </c>
      <c r="M20" s="235">
        <v>372050660.88</v>
      </c>
      <c r="N20" s="235">
        <v>383507522.69999999</v>
      </c>
      <c r="O20" s="235">
        <v>421484304.38999999</v>
      </c>
      <c r="P20" s="205"/>
      <c r="Q20" s="165">
        <f>ROUND(((C20+O20)+(SUM(D20:N20)*2))/24,0)</f>
        <v>381279069</v>
      </c>
      <c r="R20" s="74"/>
      <c r="S20" s="347" t="s">
        <v>159</v>
      </c>
      <c r="T20" s="74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</row>
    <row r="21" spans="1:53" ht="6.95" customHeight="1">
      <c r="A21" s="99"/>
      <c r="B21" s="112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30"/>
      <c r="R21" s="74"/>
      <c r="S21" s="347"/>
      <c r="T21" s="74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</row>
    <row r="22" spans="1:53" ht="13.5" thickBot="1">
      <c r="A22" s="99">
        <f>+A20+1</f>
        <v>12</v>
      </c>
      <c r="B22" s="112" t="s">
        <v>67</v>
      </c>
      <c r="C22" s="226">
        <f>C10+C16+C18+C20</f>
        <v>820104175.17000008</v>
      </c>
      <c r="D22" s="226">
        <f t="shared" ref="D22:O22" si="3">D10+D16+D18+D20</f>
        <v>828049487.17000008</v>
      </c>
      <c r="E22" s="226">
        <f t="shared" si="3"/>
        <v>817751230.27999997</v>
      </c>
      <c r="F22" s="226">
        <f t="shared" si="3"/>
        <v>809923796.17000008</v>
      </c>
      <c r="G22" s="226">
        <f t="shared" si="3"/>
        <v>807418506.67000008</v>
      </c>
      <c r="H22" s="226">
        <f t="shared" si="3"/>
        <v>807255935.28999996</v>
      </c>
      <c r="I22" s="226">
        <f t="shared" si="3"/>
        <v>765745256.30999994</v>
      </c>
      <c r="J22" s="226">
        <f t="shared" si="3"/>
        <v>781441151.26999998</v>
      </c>
      <c r="K22" s="226">
        <f t="shared" si="3"/>
        <v>787071903.60000002</v>
      </c>
      <c r="L22" s="226">
        <f t="shared" si="3"/>
        <v>806014139.01999998</v>
      </c>
      <c r="M22" s="226">
        <f t="shared" si="3"/>
        <v>828850660.88</v>
      </c>
      <c r="N22" s="226">
        <f t="shared" si="3"/>
        <v>834207522.70000005</v>
      </c>
      <c r="O22" s="226">
        <f t="shared" si="3"/>
        <v>840884304.38999999</v>
      </c>
      <c r="P22" s="226"/>
      <c r="Q22" s="186">
        <f>Q10+Q16+Q18+Q20</f>
        <v>808685319</v>
      </c>
      <c r="R22" s="74"/>
      <c r="S22" s="347"/>
      <c r="T22" s="74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</row>
    <row r="23" spans="1:53" ht="13.5" thickTop="1">
      <c r="A23" s="99"/>
      <c r="B23" s="11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149"/>
      <c r="R23" s="74"/>
      <c r="S23" s="347"/>
      <c r="T23" s="74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</row>
    <row r="24" spans="1:53">
      <c r="A24" s="99">
        <f>+A22+1</f>
        <v>13</v>
      </c>
      <c r="B24" s="98" t="s">
        <v>21</v>
      </c>
      <c r="C24" s="227">
        <f>C10/C$22</f>
        <v>8.6513399331606525E-2</v>
      </c>
      <c r="D24" s="227">
        <f t="shared" ref="D24:H24" si="4">D10/D$22</f>
        <v>8.7675919283668469E-2</v>
      </c>
      <c r="E24" s="227">
        <f t="shared" si="4"/>
        <v>7.435023971676806E-2</v>
      </c>
      <c r="F24" s="227">
        <f t="shared" si="4"/>
        <v>6.1610734535729295E-2</v>
      </c>
      <c r="G24" s="227">
        <f t="shared" si="4"/>
        <v>5.8581763495956105E-2</v>
      </c>
      <c r="H24" s="227">
        <f t="shared" si="4"/>
        <v>5.8593561139947355E-2</v>
      </c>
      <c r="I24" s="227">
        <f t="shared" ref="I24:O24" si="5">I10/I$22</f>
        <v>1.1309244071234749E-2</v>
      </c>
      <c r="J24" s="227">
        <f t="shared" si="5"/>
        <v>3.4525952410046544E-2</v>
      </c>
      <c r="K24" s="227">
        <f t="shared" si="5"/>
        <v>5.0287654557308478E-2</v>
      </c>
      <c r="L24" s="227">
        <f t="shared" si="5"/>
        <v>7.5159971850688345E-2</v>
      </c>
      <c r="M24" s="227">
        <f t="shared" si="5"/>
        <v>9.8690878659796241E-2</v>
      </c>
      <c r="N24" s="227">
        <f t="shared" si="5"/>
        <v>9.0744806226379995E-2</v>
      </c>
      <c r="O24" s="227">
        <f t="shared" si="5"/>
        <v>5.2801556371311925E-2</v>
      </c>
      <c r="P24" s="227"/>
      <c r="Q24" s="228">
        <f>Q10/Q$22</f>
        <v>6.480425546095514E-2</v>
      </c>
      <c r="R24" s="74"/>
      <c r="S24" s="347"/>
      <c r="T24" s="74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</row>
    <row r="25" spans="1:53">
      <c r="A25" s="99">
        <f>+A24+1</f>
        <v>14</v>
      </c>
      <c r="B25" s="98" t="s">
        <v>22</v>
      </c>
      <c r="C25" s="229">
        <f t="shared" ref="C25:H25" si="6">C16/C$22</f>
        <v>0.45725898166811058</v>
      </c>
      <c r="D25" s="229">
        <f t="shared" si="6"/>
        <v>0.45287148390324627</v>
      </c>
      <c r="E25" s="229">
        <f t="shared" si="6"/>
        <v>0.45857466930572405</v>
      </c>
      <c r="F25" s="229">
        <f t="shared" si="6"/>
        <v>0.46300652206209392</v>
      </c>
      <c r="G25" s="229">
        <f t="shared" si="6"/>
        <v>0.46444315668041308</v>
      </c>
      <c r="H25" s="229">
        <f t="shared" si="6"/>
        <v>0.46453668979873697</v>
      </c>
      <c r="I25" s="229">
        <f t="shared" ref="I25:O25" si="7">I16/I$22</f>
        <v>0.48971899846570793</v>
      </c>
      <c r="J25" s="229">
        <f t="shared" si="7"/>
        <v>0.47988258538797085</v>
      </c>
      <c r="K25" s="229">
        <f t="shared" si="7"/>
        <v>0.47644948102553508</v>
      </c>
      <c r="L25" s="229">
        <f t="shared" si="7"/>
        <v>0.46525238435140526</v>
      </c>
      <c r="M25" s="229">
        <f t="shared" si="7"/>
        <v>0.45243373468732995</v>
      </c>
      <c r="N25" s="229">
        <f t="shared" si="7"/>
        <v>0.44952843242922724</v>
      </c>
      <c r="O25" s="229">
        <f t="shared" si="7"/>
        <v>0.44595909097391828</v>
      </c>
      <c r="P25" s="229"/>
      <c r="Q25" s="230">
        <f>Q16/Q$22</f>
        <v>0.46371560258286326</v>
      </c>
      <c r="R25" s="74"/>
      <c r="S25" s="347"/>
      <c r="T25" s="74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</row>
    <row r="26" spans="1:53">
      <c r="A26" s="99">
        <f>+A25+1</f>
        <v>15</v>
      </c>
      <c r="B26" s="98" t="s">
        <v>87</v>
      </c>
      <c r="C26" s="227">
        <f t="shared" ref="C26:H26" si="8">SUM(C24:C25)</f>
        <v>0.54377238099971714</v>
      </c>
      <c r="D26" s="227">
        <f t="shared" si="8"/>
        <v>0.54054740318691474</v>
      </c>
      <c r="E26" s="227">
        <f t="shared" si="8"/>
        <v>0.53292490902249212</v>
      </c>
      <c r="F26" s="227">
        <f t="shared" si="8"/>
        <v>0.52461725659782321</v>
      </c>
      <c r="G26" s="227">
        <f t="shared" si="8"/>
        <v>0.52302492017636915</v>
      </c>
      <c r="H26" s="227">
        <f t="shared" si="8"/>
        <v>0.52313025093868437</v>
      </c>
      <c r="I26" s="227">
        <f t="shared" ref="I26:O26" si="9">SUM(I24:I25)</f>
        <v>0.50102824253694267</v>
      </c>
      <c r="J26" s="227">
        <f t="shared" si="9"/>
        <v>0.51440853779801743</v>
      </c>
      <c r="K26" s="227">
        <f t="shared" si="9"/>
        <v>0.52673713558284352</v>
      </c>
      <c r="L26" s="227">
        <f t="shared" si="9"/>
        <v>0.5404123562020936</v>
      </c>
      <c r="M26" s="227">
        <f t="shared" si="9"/>
        <v>0.55112461334712615</v>
      </c>
      <c r="N26" s="227">
        <f t="shared" si="9"/>
        <v>0.54027323865560728</v>
      </c>
      <c r="O26" s="227">
        <f t="shared" si="9"/>
        <v>0.49876064734523018</v>
      </c>
      <c r="P26" s="227"/>
      <c r="Q26" s="228">
        <f>SUM(Q24:Q25)</f>
        <v>0.5285198580438184</v>
      </c>
      <c r="R26" s="74"/>
      <c r="S26" s="347"/>
      <c r="T26" s="74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</row>
    <row r="27" spans="1:53">
      <c r="A27" s="99">
        <f>+A26+1</f>
        <v>16</v>
      </c>
      <c r="B27" s="98" t="s">
        <v>88</v>
      </c>
      <c r="C27" s="227">
        <f>C18/C$22</f>
        <v>0</v>
      </c>
      <c r="D27" s="227">
        <f>D18/D$22</f>
        <v>0</v>
      </c>
      <c r="E27" s="227">
        <f>E18/E$22</f>
        <v>0</v>
      </c>
      <c r="F27" s="227">
        <f>F18/F$22</f>
        <v>0</v>
      </c>
      <c r="G27" s="227">
        <f t="shared" ref="G27:O27" si="10">G18/G$22</f>
        <v>0</v>
      </c>
      <c r="H27" s="227">
        <f t="shared" si="10"/>
        <v>0</v>
      </c>
      <c r="I27" s="227">
        <f t="shared" si="10"/>
        <v>0</v>
      </c>
      <c r="J27" s="227">
        <f t="shared" si="10"/>
        <v>0</v>
      </c>
      <c r="K27" s="227">
        <f t="shared" si="10"/>
        <v>0</v>
      </c>
      <c r="L27" s="227">
        <f t="shared" si="10"/>
        <v>0</v>
      </c>
      <c r="M27" s="227">
        <f t="shared" si="10"/>
        <v>0</v>
      </c>
      <c r="N27" s="227">
        <f t="shared" si="10"/>
        <v>0</v>
      </c>
      <c r="O27" s="227">
        <f t="shared" si="10"/>
        <v>0</v>
      </c>
      <c r="P27" s="227"/>
      <c r="Q27" s="228">
        <f>Q18/Q$22</f>
        <v>0</v>
      </c>
      <c r="R27" s="74"/>
      <c r="S27" s="347"/>
      <c r="T27" s="74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</row>
    <row r="28" spans="1:53">
      <c r="A28" s="99">
        <f>+A27+1</f>
        <v>17</v>
      </c>
      <c r="B28" s="98" t="s">
        <v>89</v>
      </c>
      <c r="C28" s="254">
        <f>C20/C$22</f>
        <v>0.45622761900028286</v>
      </c>
      <c r="D28" s="254">
        <f>D20/D$22</f>
        <v>0.4594525968130852</v>
      </c>
      <c r="E28" s="254">
        <f>E20/E$22</f>
        <v>0.46707509097750788</v>
      </c>
      <c r="F28" s="254">
        <f>F20/F$22</f>
        <v>0.47538274340217673</v>
      </c>
      <c r="G28" s="254">
        <f t="shared" ref="G28:O28" si="11">G20/G$22</f>
        <v>0.47697507982363074</v>
      </c>
      <c r="H28" s="254">
        <f t="shared" si="11"/>
        <v>0.47686974906131574</v>
      </c>
      <c r="I28" s="254">
        <f t="shared" si="11"/>
        <v>0.49897175746305739</v>
      </c>
      <c r="J28" s="254">
        <f t="shared" si="11"/>
        <v>0.48559146220198263</v>
      </c>
      <c r="K28" s="254">
        <f t="shared" si="11"/>
        <v>0.47326286441715643</v>
      </c>
      <c r="L28" s="254">
        <f t="shared" si="11"/>
        <v>0.4595876437979064</v>
      </c>
      <c r="M28" s="254">
        <f t="shared" si="11"/>
        <v>0.4488753866528738</v>
      </c>
      <c r="N28" s="254">
        <f t="shared" si="11"/>
        <v>0.45972676134439272</v>
      </c>
      <c r="O28" s="254">
        <f t="shared" si="11"/>
        <v>0.50123935265476982</v>
      </c>
      <c r="P28" s="254"/>
      <c r="Q28" s="230">
        <f>Q20/Q$22</f>
        <v>0.4714801419561816</v>
      </c>
      <c r="R28" s="74"/>
      <c r="S28" s="347"/>
      <c r="T28" s="74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</row>
    <row r="29" spans="1:53">
      <c r="A29" s="99"/>
      <c r="B29" s="98"/>
      <c r="C29" s="227"/>
      <c r="D29" s="231"/>
      <c r="E29" s="231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32"/>
      <c r="R29" s="74"/>
      <c r="S29" s="347"/>
      <c r="T29" s="74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</row>
    <row r="30" spans="1:53" ht="13.5" thickBot="1">
      <c r="A30" s="99">
        <f>+A28+1</f>
        <v>18</v>
      </c>
      <c r="B30" s="98" t="s">
        <v>90</v>
      </c>
      <c r="C30" s="233">
        <f>SUM(C26:C28)</f>
        <v>1</v>
      </c>
      <c r="D30" s="233">
        <f>SUM(D26:D28)</f>
        <v>1</v>
      </c>
      <c r="E30" s="233">
        <f>SUM(E26:E28)</f>
        <v>1</v>
      </c>
      <c r="F30" s="233">
        <f>SUM(F26:F28)</f>
        <v>1</v>
      </c>
      <c r="G30" s="233">
        <f t="shared" ref="G30:O30" si="12">SUM(G26:G28)</f>
        <v>0.99999999999999989</v>
      </c>
      <c r="H30" s="233">
        <f t="shared" si="12"/>
        <v>1</v>
      </c>
      <c r="I30" s="233">
        <f t="shared" si="12"/>
        <v>1</v>
      </c>
      <c r="J30" s="233">
        <f t="shared" si="12"/>
        <v>1</v>
      </c>
      <c r="K30" s="233">
        <f t="shared" si="12"/>
        <v>1</v>
      </c>
      <c r="L30" s="233">
        <f t="shared" si="12"/>
        <v>1</v>
      </c>
      <c r="M30" s="233">
        <f t="shared" si="12"/>
        <v>1</v>
      </c>
      <c r="N30" s="233">
        <f t="shared" si="12"/>
        <v>1</v>
      </c>
      <c r="O30" s="233">
        <f t="shared" si="12"/>
        <v>1</v>
      </c>
      <c r="P30" s="233"/>
      <c r="Q30" s="234">
        <f>SUM(Q26:Q28)</f>
        <v>1</v>
      </c>
      <c r="R30" s="74"/>
      <c r="S30" s="347"/>
      <c r="T30" s="74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</row>
    <row r="31" spans="1:53" ht="13.5" thickTop="1">
      <c r="A31" s="99"/>
      <c r="B31" s="11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/>
      <c r="S31" s="347"/>
      <c r="T31" s="74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</row>
    <row r="32" spans="1:53">
      <c r="A32" s="99"/>
      <c r="B32" s="112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73"/>
      <c r="R32" s="74"/>
      <c r="S32" s="347"/>
      <c r="T32" s="74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</row>
    <row r="33" spans="1:53" ht="13.5" thickBot="1">
      <c r="A33" s="99"/>
      <c r="B33" s="112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73"/>
      <c r="R33" s="74"/>
      <c r="S33" s="347"/>
      <c r="T33" s="74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</row>
    <row r="34" spans="1:53" ht="13.5" thickBot="1">
      <c r="A34" s="99">
        <f>+A30+1</f>
        <v>19</v>
      </c>
      <c r="B34" s="112" t="s">
        <v>62</v>
      </c>
      <c r="C34" s="235">
        <f>374154175.17-1886032.21</f>
        <v>372268142.96000004</v>
      </c>
      <c r="D34" s="235">
        <v>378563454.94999999</v>
      </c>
      <c r="E34" s="235">
        <f>381951230.28-1886032.22</f>
        <v>380065198.05999994</v>
      </c>
      <c r="F34" s="235">
        <f>385023796.17-1886032.22</f>
        <v>383137763.94999999</v>
      </c>
      <c r="G34" s="235">
        <f>385118506.67-1886032.22</f>
        <v>383232474.44999999</v>
      </c>
      <c r="H34" s="235">
        <f>384955935.29-1455394.05</f>
        <v>383500541.24000001</v>
      </c>
      <c r="I34" s="235">
        <f>382085256.31-1455394.05</f>
        <v>380629862.25999999</v>
      </c>
      <c r="J34" s="235">
        <f>379461151.27-1455394.05</f>
        <v>378005757.21999997</v>
      </c>
      <c r="K34" s="235">
        <f>372491903.6-1455394.05</f>
        <v>371036509.55000001</v>
      </c>
      <c r="L34" s="235">
        <f>370434139.02-1455394.05</f>
        <v>368978744.96999997</v>
      </c>
      <c r="M34" s="235">
        <f>372050660.88-1455394.05</f>
        <v>370595266.82999998</v>
      </c>
      <c r="N34" s="235">
        <f>383507522.7-1455394.05</f>
        <v>382052128.64999998</v>
      </c>
      <c r="O34" s="235">
        <f>421484304.39-644036.68</f>
        <v>420840267.70999998</v>
      </c>
      <c r="P34" s="235"/>
      <c r="Q34" s="166">
        <f>ROUND(((C34+O34)+(SUM(D34:N34)*2))/24,0)</f>
        <v>379695992</v>
      </c>
      <c r="R34" s="70"/>
      <c r="S34" s="347" t="s">
        <v>159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</row>
    <row r="35" spans="1:53" ht="13.5" thickBot="1">
      <c r="A35" s="99">
        <f>+A34+1</f>
        <v>20</v>
      </c>
      <c r="B35" s="110" t="s">
        <v>23</v>
      </c>
      <c r="P35" s="279"/>
      <c r="Q35" s="135"/>
      <c r="R35" s="70"/>
      <c r="S35" s="346"/>
      <c r="T35" s="70"/>
      <c r="U35" s="70"/>
      <c r="V35" s="11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</row>
    <row r="36" spans="1:53" ht="13.5" thickBot="1">
      <c r="A36" s="99">
        <f>+A35+1</f>
        <v>21</v>
      </c>
      <c r="B36" s="110"/>
      <c r="C36" s="151"/>
      <c r="D36" s="151"/>
      <c r="E36" s="151"/>
      <c r="F36" s="151"/>
      <c r="G36" s="235"/>
      <c r="H36" s="235"/>
      <c r="I36" s="235"/>
      <c r="J36" s="151"/>
      <c r="K36" s="151"/>
      <c r="L36" s="151"/>
      <c r="M36" s="151"/>
      <c r="N36" s="151"/>
      <c r="O36" s="151"/>
      <c r="P36" s="151"/>
      <c r="Q36" s="166">
        <f>ROUND(((C36+O36)+(SUM(D36:N36)*2))/24,0)</f>
        <v>0</v>
      </c>
      <c r="R36" s="73"/>
      <c r="S36" s="346"/>
      <c r="T36" s="301"/>
      <c r="U36" s="70"/>
      <c r="V36" s="74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</row>
    <row r="37" spans="1:53" ht="13.5" thickBot="1">
      <c r="A37" s="99">
        <f>+A36+1</f>
        <v>22</v>
      </c>
      <c r="B37" s="110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R37" s="73"/>
      <c r="S37" s="346"/>
      <c r="T37" s="72"/>
      <c r="U37" s="72"/>
      <c r="V37" s="74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0"/>
      <c r="AT37" s="70"/>
      <c r="AU37" s="70"/>
      <c r="AV37" s="70"/>
      <c r="AW37" s="70"/>
      <c r="AX37" s="70"/>
      <c r="AY37" s="70"/>
      <c r="AZ37" s="70"/>
      <c r="BA37" s="70"/>
    </row>
    <row r="38" spans="1:53" ht="13.5" thickBot="1">
      <c r="A38" s="99">
        <f t="shared" ref="A38:A44" si="13">+A37+1</f>
        <v>23</v>
      </c>
      <c r="B38" s="171" t="s">
        <v>24</v>
      </c>
      <c r="C38" s="236">
        <f t="shared" ref="C38:H38" si="14">SUM(C36:C37)</f>
        <v>0</v>
      </c>
      <c r="D38" s="236">
        <f t="shared" si="14"/>
        <v>0</v>
      </c>
      <c r="E38" s="236">
        <f t="shared" si="14"/>
        <v>0</v>
      </c>
      <c r="F38" s="236">
        <f t="shared" si="14"/>
        <v>0</v>
      </c>
      <c r="G38" s="236">
        <f t="shared" si="14"/>
        <v>0</v>
      </c>
      <c r="H38" s="236">
        <f t="shared" si="14"/>
        <v>0</v>
      </c>
      <c r="I38" s="236">
        <f t="shared" ref="I38:O38" si="15">SUM(I36:I37)</f>
        <v>0</v>
      </c>
      <c r="J38" s="236">
        <f t="shared" si="15"/>
        <v>0</v>
      </c>
      <c r="K38" s="236">
        <f t="shared" si="15"/>
        <v>0</v>
      </c>
      <c r="L38" s="236">
        <f t="shared" si="15"/>
        <v>0</v>
      </c>
      <c r="M38" s="236">
        <f t="shared" si="15"/>
        <v>0</v>
      </c>
      <c r="N38" s="236">
        <f t="shared" si="15"/>
        <v>0</v>
      </c>
      <c r="O38" s="236">
        <f t="shared" si="15"/>
        <v>0</v>
      </c>
      <c r="P38" s="152"/>
      <c r="Q38" s="166">
        <f>ROUND(((C38+O38)+(SUM(D38:N38)*2))/24,0)</f>
        <v>0</v>
      </c>
      <c r="R38" s="73"/>
      <c r="S38" s="346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</row>
    <row r="39" spans="1:53" ht="13.5" thickBot="1">
      <c r="A39" s="99">
        <f t="shared" si="13"/>
        <v>24</v>
      </c>
      <c r="B39" s="110" t="s">
        <v>126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74"/>
      <c r="R39" s="73"/>
      <c r="S39" s="346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</row>
    <row r="40" spans="1:53" ht="13.5" thickBot="1">
      <c r="A40" s="99">
        <f t="shared" si="13"/>
        <v>25</v>
      </c>
      <c r="B40" s="173" t="s">
        <v>127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152"/>
      <c r="Q40" s="326">
        <f>ROUND(((C40+O40)+(SUM(D40:N40)*2))/24,0)</f>
        <v>0</v>
      </c>
      <c r="R40" s="73"/>
      <c r="S40" s="346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</row>
    <row r="41" spans="1:53" ht="13.5" thickBot="1">
      <c r="A41" s="99">
        <f t="shared" si="13"/>
        <v>26</v>
      </c>
      <c r="B41" s="173" t="s">
        <v>95</v>
      </c>
      <c r="C41" s="151"/>
      <c r="D41" s="235"/>
      <c r="E41" s="235"/>
      <c r="F41" s="235"/>
      <c r="G41" s="235"/>
      <c r="H41" s="151"/>
      <c r="I41" s="151"/>
      <c r="J41" s="151"/>
      <c r="K41" s="151"/>
      <c r="L41" s="151"/>
      <c r="M41" s="151"/>
      <c r="N41" s="151"/>
      <c r="O41" s="151"/>
      <c r="P41" s="151"/>
      <c r="Q41" s="166">
        <f>ROUND(((C41+O41)+(SUM(D41:N41)*2))/24,0)</f>
        <v>0</v>
      </c>
      <c r="R41" s="73"/>
      <c r="S41" s="346"/>
      <c r="T41" s="70"/>
      <c r="U41" s="70"/>
      <c r="V41" s="197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</row>
    <row r="42" spans="1:53" ht="13.5" thickBot="1">
      <c r="A42" s="99">
        <f t="shared" si="13"/>
        <v>27</v>
      </c>
      <c r="B42" s="173" t="s">
        <v>96</v>
      </c>
      <c r="C42" s="151">
        <v>-1886032.21</v>
      </c>
      <c r="D42" s="151">
        <v>-1886032.21</v>
      </c>
      <c r="E42" s="151">
        <v>-1886032.21</v>
      </c>
      <c r="F42" s="151">
        <v>-1886032.21</v>
      </c>
      <c r="G42" s="151">
        <v>-1886032.21</v>
      </c>
      <c r="H42" s="151">
        <v>-1455394.05</v>
      </c>
      <c r="I42" s="151">
        <v>-1455394.05</v>
      </c>
      <c r="J42" s="151">
        <v>-1455394.05</v>
      </c>
      <c r="K42" s="151">
        <v>-1455394.05</v>
      </c>
      <c r="L42" s="151">
        <v>-1455394.05</v>
      </c>
      <c r="M42" s="151">
        <v>-1455394.05</v>
      </c>
      <c r="N42" s="151">
        <v>-1455394.05</v>
      </c>
      <c r="O42" s="151">
        <v>-644036.68000000005</v>
      </c>
      <c r="P42" s="151"/>
      <c r="Q42" s="166">
        <f>ROUND(((C42+O42)+(SUM(D42:N42)*2))/24,0)</f>
        <v>-1583077</v>
      </c>
      <c r="R42" s="73"/>
      <c r="S42" s="347" t="s">
        <v>159</v>
      </c>
      <c r="T42" s="70"/>
      <c r="U42" s="70"/>
      <c r="V42" s="197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</row>
    <row r="43" spans="1:53" ht="13.5" thickBot="1">
      <c r="A43" s="99">
        <f t="shared" si="13"/>
        <v>28</v>
      </c>
      <c r="B43" s="174" t="s">
        <v>97</v>
      </c>
      <c r="C43" s="172">
        <f t="shared" ref="C43:H43" si="16">SUM(C40:C42)</f>
        <v>-1886032.21</v>
      </c>
      <c r="D43" s="172">
        <f t="shared" si="16"/>
        <v>-1886032.21</v>
      </c>
      <c r="E43" s="172">
        <f t="shared" si="16"/>
        <v>-1886032.21</v>
      </c>
      <c r="F43" s="172">
        <f t="shared" si="16"/>
        <v>-1886032.21</v>
      </c>
      <c r="G43" s="172">
        <f t="shared" si="16"/>
        <v>-1886032.21</v>
      </c>
      <c r="H43" s="172">
        <f t="shared" si="16"/>
        <v>-1455394.05</v>
      </c>
      <c r="I43" s="172">
        <f t="shared" ref="I43:O43" si="17">SUM(I40:I42)</f>
        <v>-1455394.05</v>
      </c>
      <c r="J43" s="172">
        <f t="shared" si="17"/>
        <v>-1455394.05</v>
      </c>
      <c r="K43" s="172">
        <f t="shared" si="17"/>
        <v>-1455394.05</v>
      </c>
      <c r="L43" s="172">
        <f t="shared" si="17"/>
        <v>-1455394.05</v>
      </c>
      <c r="M43" s="172">
        <f t="shared" si="17"/>
        <v>-1455394.05</v>
      </c>
      <c r="N43" s="172">
        <f t="shared" si="17"/>
        <v>-1455394.05</v>
      </c>
      <c r="O43" s="172">
        <f t="shared" si="17"/>
        <v>-644036.68000000005</v>
      </c>
      <c r="P43" s="205"/>
      <c r="Q43" s="166">
        <f>ROUND(((C43+O43)+(SUM(D43:N43)*2))/24,0)</f>
        <v>-1583077</v>
      </c>
      <c r="R43" s="73"/>
      <c r="S43" s="345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</row>
    <row r="44" spans="1:53" ht="13.5" thickBot="1">
      <c r="A44" s="99">
        <f t="shared" si="13"/>
        <v>29</v>
      </c>
      <c r="B44" s="327" t="s">
        <v>81</v>
      </c>
      <c r="C44" s="225">
        <f t="shared" ref="C44:O44" si="18">+C34-C38-C43</f>
        <v>374154175.17000002</v>
      </c>
      <c r="D44" s="225">
        <f t="shared" si="18"/>
        <v>380449487.15999997</v>
      </c>
      <c r="E44" s="225">
        <f t="shared" si="18"/>
        <v>381951230.26999992</v>
      </c>
      <c r="F44" s="225">
        <f t="shared" si="18"/>
        <v>385023796.15999997</v>
      </c>
      <c r="G44" s="225">
        <f t="shared" si="18"/>
        <v>385118506.65999997</v>
      </c>
      <c r="H44" s="225">
        <f t="shared" si="18"/>
        <v>384955935.29000002</v>
      </c>
      <c r="I44" s="225">
        <f t="shared" si="18"/>
        <v>382085256.31</v>
      </c>
      <c r="J44" s="225">
        <f t="shared" si="18"/>
        <v>379461151.26999998</v>
      </c>
      <c r="K44" s="225">
        <f t="shared" si="18"/>
        <v>372491903.60000002</v>
      </c>
      <c r="L44" s="225">
        <f t="shared" si="18"/>
        <v>370434139.01999998</v>
      </c>
      <c r="M44" s="225">
        <f t="shared" si="18"/>
        <v>372050660.88</v>
      </c>
      <c r="N44" s="225">
        <f t="shared" si="18"/>
        <v>383507522.69999999</v>
      </c>
      <c r="O44" s="225">
        <f t="shared" si="18"/>
        <v>421484304.38999999</v>
      </c>
      <c r="P44" s="73"/>
      <c r="Q44" s="166">
        <f>ROUND(((C44+O44)+(SUM(D44:N44)*2))/24,0)</f>
        <v>381279069</v>
      </c>
      <c r="R44" s="73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</row>
    <row r="45" spans="1:53">
      <c r="B45" s="327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0"/>
      <c r="R45" s="73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</row>
    <row r="46" spans="1:53">
      <c r="B46" s="331" t="s">
        <v>146</v>
      </c>
      <c r="C46" s="330">
        <f t="shared" ref="C46:J46" si="19">MROUND(C20,1000)-MROUND(C44,1000)</f>
        <v>0</v>
      </c>
      <c r="D46" s="330">
        <f t="shared" si="19"/>
        <v>0</v>
      </c>
      <c r="E46" s="330">
        <f>MROUND(E20,1000)-MROUND(E44,1000)</f>
        <v>0</v>
      </c>
      <c r="F46" s="330">
        <f t="shared" si="19"/>
        <v>0</v>
      </c>
      <c r="G46" s="330">
        <f t="shared" si="19"/>
        <v>0</v>
      </c>
      <c r="H46" s="330">
        <f t="shared" si="19"/>
        <v>0</v>
      </c>
      <c r="I46" s="330">
        <f t="shared" si="19"/>
        <v>0</v>
      </c>
      <c r="J46" s="330">
        <f t="shared" si="19"/>
        <v>0</v>
      </c>
      <c r="K46" s="330">
        <f>MROUND(K20,1000)-MROUND(K44,1000)</f>
        <v>0</v>
      </c>
      <c r="L46" s="330">
        <f>MROUND(L20,1000)-MROUND(L44,1000)</f>
        <v>0</v>
      </c>
      <c r="M46" s="330">
        <f>MROUND(M20,1000)-MROUND(M44,1000)</f>
        <v>0</v>
      </c>
      <c r="N46" s="330">
        <f>MROUND(N20,1000)-MROUND(N44,1000)</f>
        <v>0</v>
      </c>
      <c r="O46" s="330">
        <f>MROUND(O20,1000)-MROUND(O44,1000)</f>
        <v>0</v>
      </c>
      <c r="P46" s="151"/>
      <c r="Q46" s="70"/>
      <c r="R46" s="73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</row>
    <row r="47" spans="1:53"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151"/>
      <c r="Q47" s="70"/>
      <c r="R47" s="73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</row>
    <row r="48" spans="1:53"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70"/>
      <c r="R48" s="73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</row>
    <row r="49" spans="2:53"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151"/>
      <c r="Q49" s="70"/>
      <c r="R49" s="73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2:53">
      <c r="B50" s="327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151"/>
      <c r="Q50" s="319"/>
      <c r="R50" s="73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</row>
    <row r="51" spans="2:53">
      <c r="B51" s="327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151"/>
      <c r="Q51" s="71"/>
      <c r="R51" s="73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</row>
    <row r="52" spans="2:53"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152"/>
      <c r="Q52" s="70"/>
      <c r="R52" s="73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</row>
    <row r="53" spans="2:53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303"/>
      <c r="R53" s="73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</row>
    <row r="54" spans="2:53">
      <c r="C54" s="71"/>
      <c r="D54" s="71"/>
      <c r="E54" s="71"/>
      <c r="F54" s="7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303"/>
      <c r="R54" s="73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</row>
    <row r="55" spans="2:53"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70"/>
      <c r="R55" s="73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</row>
    <row r="56" spans="2:53">
      <c r="C56" s="70"/>
      <c r="D56" s="70"/>
      <c r="E56" s="70"/>
      <c r="F56" s="70"/>
      <c r="G56" s="70"/>
      <c r="H56" s="70"/>
      <c r="I56" s="70"/>
      <c r="J56" s="70"/>
      <c r="K56" s="328"/>
      <c r="L56" s="70"/>
      <c r="M56" s="323"/>
      <c r="N56" s="70"/>
      <c r="O56" s="70"/>
      <c r="P56" s="70"/>
      <c r="Q56" s="70"/>
      <c r="R56" s="73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</row>
    <row r="57" spans="2:53">
      <c r="C57" s="70"/>
      <c r="D57" s="70"/>
      <c r="E57" s="70"/>
      <c r="F57" s="70"/>
      <c r="G57" s="70"/>
      <c r="H57" s="70"/>
      <c r="I57" s="70"/>
      <c r="J57" s="327"/>
      <c r="K57" s="73"/>
      <c r="L57" s="70"/>
      <c r="M57" s="70"/>
      <c r="N57" s="70"/>
      <c r="O57" s="70"/>
      <c r="P57" s="70"/>
      <c r="Q57" s="70"/>
      <c r="R57" s="73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</row>
    <row r="58" spans="2:53">
      <c r="C58" s="70"/>
      <c r="D58" s="70"/>
      <c r="E58" s="70"/>
      <c r="F58" s="70"/>
      <c r="G58" s="70"/>
      <c r="H58" s="70"/>
      <c r="I58" s="70"/>
      <c r="J58" s="327"/>
      <c r="K58" s="73"/>
      <c r="L58" s="70"/>
      <c r="M58" s="70"/>
      <c r="N58" s="70"/>
      <c r="O58" s="70"/>
      <c r="P58" s="70"/>
      <c r="Q58" s="70"/>
      <c r="R58" s="73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</row>
    <row r="59" spans="2:53">
      <c r="C59" s="70"/>
      <c r="D59" s="70"/>
      <c r="E59" s="70"/>
      <c r="F59" s="70"/>
      <c r="G59" s="70"/>
      <c r="H59" s="70"/>
      <c r="I59" s="70"/>
      <c r="J59" s="70"/>
      <c r="K59" s="151"/>
      <c r="L59" s="70"/>
      <c r="M59" s="70"/>
      <c r="N59" s="70"/>
      <c r="O59" s="70"/>
      <c r="P59" s="70"/>
      <c r="Q59" s="70"/>
      <c r="R59" s="73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</row>
    <row r="60" spans="2:53"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3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</row>
    <row r="61" spans="2:53"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3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</row>
    <row r="62" spans="2:53"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3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</row>
    <row r="63" spans="2:53"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3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</row>
    <row r="64" spans="2:53"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</row>
    <row r="65" spans="3:53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</row>
    <row r="66" spans="3:53"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</row>
    <row r="67" spans="3:53"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</row>
    <row r="68" spans="3:53"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</row>
    <row r="69" spans="3:53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</row>
    <row r="70" spans="3:53"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</row>
    <row r="71" spans="3:53"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</row>
    <row r="72" spans="3:53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</row>
    <row r="73" spans="3:53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</row>
    <row r="74" spans="3:53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</row>
    <row r="75" spans="3:53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</row>
    <row r="76" spans="3:53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</row>
    <row r="77" spans="3:53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</row>
    <row r="78" spans="3:53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</row>
    <row r="79" spans="3:53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</row>
    <row r="80" spans="3:53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</row>
    <row r="81" spans="3:53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</row>
    <row r="82" spans="3:53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</row>
    <row r="83" spans="3:53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</row>
    <row r="84" spans="3:53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</row>
    <row r="85" spans="3:53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</row>
    <row r="86" spans="3:53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</row>
    <row r="87" spans="3:53"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</row>
    <row r="88" spans="3:53"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</row>
    <row r="89" spans="3:53"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</row>
    <row r="90" spans="3:53"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</row>
    <row r="91" spans="3:53"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</row>
    <row r="92" spans="3:53"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</row>
    <row r="93" spans="3:53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</row>
    <row r="94" spans="3:53"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</row>
    <row r="95" spans="3:53"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</row>
    <row r="96" spans="3:53"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</row>
    <row r="97" spans="3:53"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</row>
    <row r="98" spans="3:53"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</row>
    <row r="99" spans="3:53"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</row>
    <row r="100" spans="3:53"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</row>
    <row r="101" spans="3:53"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</row>
    <row r="102" spans="3:53"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</row>
    <row r="103" spans="3:53"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</row>
    <row r="104" spans="3:53"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</row>
    <row r="105" spans="3:53"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</row>
    <row r="106" spans="3:53"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</row>
    <row r="107" spans="3:53"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</row>
    <row r="108" spans="3:53"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</row>
    <row r="109" spans="3:53"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</row>
    <row r="110" spans="3:53"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</row>
    <row r="111" spans="3:53"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</row>
    <row r="112" spans="3:53"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</row>
    <row r="113" spans="3:53"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</row>
    <row r="114" spans="3:53"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</row>
    <row r="115" spans="3:53"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</row>
    <row r="116" spans="3:53"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</row>
    <row r="117" spans="3:53"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</row>
    <row r="118" spans="3:53"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</row>
    <row r="119" spans="3:53"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</row>
    <row r="120" spans="3:53"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</row>
    <row r="121" spans="3:53"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</row>
    <row r="122" spans="3:53"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</row>
    <row r="123" spans="3:53"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</row>
    <row r="124" spans="3:53"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</row>
    <row r="125" spans="3:53"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</row>
    <row r="126" spans="3:53"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</row>
    <row r="127" spans="3:53"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</row>
    <row r="128" spans="3:53"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</row>
    <row r="129" spans="3:53"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</row>
    <row r="130" spans="3:53"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</row>
    <row r="131" spans="3:53"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</row>
    <row r="132" spans="3:53"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</row>
    <row r="133" spans="3:53"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</row>
    <row r="134" spans="3:53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</row>
    <row r="135" spans="3:53"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</row>
    <row r="136" spans="3:53"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</row>
    <row r="137" spans="3:53"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</row>
    <row r="138" spans="3:53"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</row>
    <row r="139" spans="3:53"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</row>
    <row r="140" spans="3:53"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</row>
    <row r="141" spans="3:53"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</row>
    <row r="142" spans="3:53"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</row>
    <row r="143" spans="3:53"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</row>
    <row r="144" spans="3:53"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</row>
    <row r="145" spans="3:53"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</row>
    <row r="146" spans="3:53"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</row>
    <row r="147" spans="3:53"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</row>
    <row r="148" spans="3:53"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</row>
    <row r="149" spans="3:53"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</row>
    <row r="150" spans="3:53"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</row>
    <row r="151" spans="3:53"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</row>
    <row r="152" spans="3:53"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</row>
    <row r="153" spans="3:53"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</row>
    <row r="154" spans="3:53"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</row>
    <row r="155" spans="3:53"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</row>
    <row r="156" spans="3:53"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</row>
    <row r="157" spans="3:53"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</row>
    <row r="158" spans="3:53"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</row>
    <row r="159" spans="3:53"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</row>
    <row r="160" spans="3:53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</row>
    <row r="161" spans="3:53"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</row>
    <row r="162" spans="3:53"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</row>
    <row r="163" spans="3:53"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</row>
    <row r="164" spans="3:53"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</row>
    <row r="165" spans="3:53"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</row>
    <row r="166" spans="3:53"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</row>
    <row r="167" spans="3:53"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</row>
    <row r="168" spans="3:53"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</row>
    <row r="169" spans="3:53"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</row>
    <row r="170" spans="3:53"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</row>
    <row r="171" spans="3:53"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</row>
    <row r="172" spans="3:53"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</row>
    <row r="173" spans="3:53"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</row>
    <row r="174" spans="3:53"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</row>
    <row r="175" spans="3:53"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</row>
    <row r="176" spans="3:53"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</row>
    <row r="177" spans="3:53"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</row>
    <row r="178" spans="3:53"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</row>
    <row r="179" spans="3:53"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</row>
    <row r="180" spans="3:53"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</row>
    <row r="181" spans="3:53"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</row>
    <row r="182" spans="3:53"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</row>
    <row r="183" spans="3:53"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</row>
    <row r="184" spans="3:53"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</row>
    <row r="185" spans="3:53"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</row>
    <row r="186" spans="3:53"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</row>
    <row r="187" spans="3:53"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</row>
    <row r="188" spans="3:53"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</row>
    <row r="189" spans="3:53"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</row>
    <row r="190" spans="3:53"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</row>
    <row r="191" spans="3:53"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</row>
    <row r="192" spans="3:53"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</row>
    <row r="193" spans="3:53"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</row>
    <row r="194" spans="3:53"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</row>
    <row r="195" spans="3:53"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</row>
    <row r="196" spans="3:53"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</row>
    <row r="197" spans="3:53"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</row>
    <row r="198" spans="3:53"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</row>
    <row r="199" spans="3:53"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</row>
    <row r="200" spans="3:53"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</row>
    <row r="201" spans="3:53"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</row>
    <row r="202" spans="3:53"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</row>
    <row r="203" spans="3:53"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</row>
    <row r="204" spans="3:53"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</row>
    <row r="205" spans="3:53"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</row>
    <row r="206" spans="3:53"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</row>
    <row r="207" spans="3:53"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</row>
    <row r="208" spans="3:53"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</row>
    <row r="209" spans="3:53"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</row>
    <row r="210" spans="3:53"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</row>
    <row r="211" spans="3:53"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</row>
    <row r="212" spans="3:53"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</row>
    <row r="213" spans="3:53"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</row>
    <row r="214" spans="3:53"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</row>
    <row r="215" spans="3:53"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</row>
    <row r="216" spans="3:53"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</row>
    <row r="217" spans="3:53"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</row>
    <row r="218" spans="3:53"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</row>
    <row r="219" spans="3:53"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</row>
    <row r="220" spans="3:53"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</row>
    <row r="221" spans="3:53"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</row>
    <row r="222" spans="3:53"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</row>
    <row r="223" spans="3:53"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</row>
    <row r="224" spans="3:53"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</row>
    <row r="225" spans="3:53"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</row>
    <row r="226" spans="3:53"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</row>
    <row r="227" spans="3:53"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</row>
    <row r="228" spans="3:53"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</row>
    <row r="229" spans="3:53"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</row>
    <row r="230" spans="3:53"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</row>
    <row r="231" spans="3:53"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</row>
    <row r="232" spans="3:53"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</row>
    <row r="233" spans="3:53"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</row>
    <row r="234" spans="3:53"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</row>
    <row r="235" spans="3:53"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</row>
    <row r="236" spans="3:53"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</row>
    <row r="237" spans="3:53"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</row>
    <row r="238" spans="3:53"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</row>
    <row r="239" spans="3:53"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</row>
    <row r="240" spans="3:53"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</row>
    <row r="241" spans="3:53"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</row>
    <row r="242" spans="3:53"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</row>
    <row r="243" spans="3:53"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</row>
    <row r="244" spans="3:53"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</row>
    <row r="245" spans="3:53"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</row>
    <row r="246" spans="3:53"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</row>
    <row r="247" spans="3:53"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</row>
    <row r="248" spans="3:53"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</row>
    <row r="249" spans="3:53"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</row>
    <row r="250" spans="3:53"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</row>
    <row r="251" spans="3:53"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</row>
    <row r="252" spans="3:53"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</row>
    <row r="253" spans="3:53"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</row>
    <row r="254" spans="3:53"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</row>
    <row r="255" spans="3:53"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</row>
    <row r="256" spans="3:53"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</row>
    <row r="257" spans="3:53"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</row>
    <row r="258" spans="3:53"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</row>
    <row r="259" spans="3:53"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</row>
    <row r="260" spans="3:53"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</row>
    <row r="261" spans="3:53"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</row>
    <row r="262" spans="3:53"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</row>
    <row r="263" spans="3:53"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</row>
    <row r="264" spans="3:53"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</row>
    <row r="265" spans="3:53"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</row>
    <row r="266" spans="3:53"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</row>
    <row r="267" spans="3:53"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</row>
    <row r="268" spans="3:53"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</row>
    <row r="269" spans="3:53"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</row>
    <row r="270" spans="3:53"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</row>
    <row r="271" spans="3:53"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</row>
    <row r="272" spans="3:53"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</row>
    <row r="273" spans="3:53"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</row>
    <row r="274" spans="3:53"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</row>
    <row r="275" spans="3:53"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</row>
    <row r="276" spans="3:53"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</row>
    <row r="277" spans="3:53"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</row>
    <row r="278" spans="3:53"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</row>
    <row r="279" spans="3:53"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</row>
    <row r="280" spans="3:53"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</row>
    <row r="281" spans="3:53"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</row>
    <row r="282" spans="3:53"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</row>
    <row r="283" spans="3:53"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</row>
    <row r="284" spans="3:53"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</row>
    <row r="285" spans="3:53"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</row>
    <row r="286" spans="3:53"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</row>
    <row r="287" spans="3:53"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</row>
    <row r="288" spans="3:53"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</row>
    <row r="289" spans="3:53"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</row>
    <row r="290" spans="3:53"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</row>
    <row r="291" spans="3:53"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</row>
    <row r="292" spans="3:53"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</row>
    <row r="293" spans="3:53"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</row>
    <row r="294" spans="3:53"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</row>
    <row r="295" spans="3:53"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</row>
    <row r="296" spans="3:53"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</row>
    <row r="297" spans="3:53"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</row>
    <row r="298" spans="3:53"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</row>
    <row r="299" spans="3:53"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</row>
    <row r="300" spans="3:53"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</row>
    <row r="301" spans="3:53"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</row>
    <row r="302" spans="3:53"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</row>
    <row r="303" spans="3:53"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</row>
    <row r="304" spans="3:53"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</row>
    <row r="305" spans="3:53"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</row>
    <row r="306" spans="3:53"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</row>
    <row r="307" spans="3:53"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</row>
    <row r="308" spans="3:53"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</row>
    <row r="309" spans="3:53"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</row>
    <row r="310" spans="3:53"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</row>
    <row r="311" spans="3:53"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</row>
    <row r="312" spans="3:53"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</row>
    <row r="313" spans="3:53"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</row>
    <row r="314" spans="3:53"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</row>
    <row r="315" spans="3:53"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</row>
    <row r="316" spans="3:53"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</row>
    <row r="317" spans="3:53"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</row>
    <row r="318" spans="3:53"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</row>
    <row r="319" spans="3:53"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</row>
    <row r="320" spans="3:53"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</row>
    <row r="321" spans="3:53"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</row>
    <row r="322" spans="3:53"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</row>
    <row r="323" spans="3:53"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</row>
    <row r="324" spans="3:53"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</row>
    <row r="325" spans="3:53"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</row>
    <row r="326" spans="3:53"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</row>
    <row r="327" spans="3:53"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</row>
    <row r="328" spans="3:53"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</row>
    <row r="329" spans="3:53"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</row>
    <row r="330" spans="3:53"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</row>
    <row r="331" spans="3:53"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</row>
    <row r="332" spans="3:53"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</row>
    <row r="333" spans="3:53"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</row>
    <row r="334" spans="3:53"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</row>
    <row r="335" spans="3:53"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</row>
    <row r="336" spans="3:53"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</row>
    <row r="337" spans="3:53"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</row>
    <row r="338" spans="3:53"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</row>
    <row r="339" spans="3:53"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</row>
    <row r="340" spans="3:53"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</row>
    <row r="341" spans="3:53"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</row>
    <row r="342" spans="3:53"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</row>
    <row r="343" spans="3:53"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</row>
    <row r="344" spans="3:53"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</row>
    <row r="345" spans="3:53"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</row>
    <row r="346" spans="3:53"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</row>
    <row r="347" spans="3:53"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</row>
    <row r="348" spans="3:53"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</row>
    <row r="349" spans="3:53"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</row>
    <row r="350" spans="3:53"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</row>
    <row r="351" spans="3:53"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</row>
    <row r="352" spans="3:53"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</row>
    <row r="353" spans="3:53"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</row>
    <row r="354" spans="3:53"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</row>
    <row r="355" spans="3:53"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</row>
    <row r="356" spans="3:53"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</row>
    <row r="357" spans="3:53"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</row>
    <row r="358" spans="3:53"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</row>
    <row r="359" spans="3:53"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</row>
    <row r="360" spans="3:53"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</row>
    <row r="361" spans="3:53"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</row>
    <row r="362" spans="3:53"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</row>
    <row r="363" spans="3:53"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</row>
    <row r="364" spans="3:53"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</row>
    <row r="365" spans="3:53"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</row>
    <row r="366" spans="3:53"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</row>
    <row r="367" spans="3:53"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</row>
    <row r="368" spans="3:53"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</row>
    <row r="369" spans="3:53"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</row>
    <row r="370" spans="3:53"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</row>
    <row r="371" spans="3:53"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</row>
    <row r="372" spans="3:53"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</row>
    <row r="373" spans="3:53"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</row>
    <row r="374" spans="3:53"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</row>
    <row r="375" spans="3:53"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</row>
    <row r="376" spans="3:53"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</row>
    <row r="377" spans="3:53"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</row>
    <row r="378" spans="3:53"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</row>
    <row r="379" spans="3:53"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</row>
    <row r="380" spans="3:53"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</row>
    <row r="381" spans="3:53"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</row>
    <row r="382" spans="3:53"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</row>
    <row r="383" spans="3:53"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</row>
    <row r="384" spans="3:53"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</row>
    <row r="385" spans="3:53"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</row>
    <row r="386" spans="3:53"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</row>
    <row r="387" spans="3:53"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</row>
    <row r="388" spans="3:53"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</row>
    <row r="389" spans="3:53"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</row>
    <row r="390" spans="3:53"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</row>
    <row r="391" spans="3:53"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</row>
    <row r="392" spans="3:53"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</row>
    <row r="393" spans="3:53"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</row>
    <row r="394" spans="3:53"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</row>
    <row r="395" spans="3:53"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</row>
    <row r="396" spans="3:53"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</row>
    <row r="397" spans="3:53"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</row>
    <row r="398" spans="3:53"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</row>
    <row r="399" spans="3:53"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</row>
    <row r="400" spans="3:53"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</row>
    <row r="401" spans="3:53"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</row>
    <row r="402" spans="3:53"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</row>
    <row r="403" spans="3:53"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</row>
    <row r="404" spans="3:53"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</row>
    <row r="405" spans="3:53"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</row>
    <row r="406" spans="3:53"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</row>
    <row r="407" spans="3:53"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</row>
    <row r="408" spans="3:53"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</row>
    <row r="409" spans="3:53"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</row>
    <row r="410" spans="3:53"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</row>
    <row r="411" spans="3:53"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</row>
    <row r="412" spans="3:53"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</row>
    <row r="413" spans="3:53"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</row>
    <row r="414" spans="3:53"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</row>
    <row r="415" spans="3:53"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</row>
    <row r="416" spans="3:53"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</row>
    <row r="417" spans="3:53"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</row>
    <row r="418" spans="3:53"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</row>
    <row r="419" spans="3:53"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</row>
    <row r="420" spans="3:53"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</row>
    <row r="421" spans="3:53"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</row>
    <row r="422" spans="3:53"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</row>
    <row r="423" spans="3:53"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</row>
    <row r="424" spans="3:53"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</row>
    <row r="425" spans="3:53"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</row>
    <row r="426" spans="3:53"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</row>
    <row r="427" spans="3:53"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</row>
    <row r="428" spans="3:53"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</row>
    <row r="429" spans="3:53"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</row>
    <row r="430" spans="3:53"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</row>
    <row r="431" spans="3:53"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</row>
    <row r="432" spans="3:53"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</row>
    <row r="433" spans="3:53"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</row>
    <row r="434" spans="3:53"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</row>
    <row r="435" spans="3:53"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</row>
    <row r="436" spans="3:53"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</row>
    <row r="437" spans="3:53"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</row>
    <row r="438" spans="3:53"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</row>
    <row r="439" spans="3:53"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</row>
    <row r="440" spans="3:53"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</row>
    <row r="441" spans="3:53"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</row>
    <row r="442" spans="3:53"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</row>
    <row r="443" spans="3:53"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</row>
    <row r="444" spans="3:53"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</row>
    <row r="445" spans="3:53"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</row>
    <row r="446" spans="3:53"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</row>
    <row r="447" spans="3:53"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</row>
    <row r="448" spans="3:53"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</row>
    <row r="449" spans="3:53"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</row>
    <row r="450" spans="3:53"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</row>
    <row r="451" spans="3:53"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</row>
    <row r="452" spans="3:53"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</row>
    <row r="453" spans="3:53"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</row>
    <row r="454" spans="3:53"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</row>
    <row r="455" spans="3:53"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</row>
    <row r="456" spans="3:53"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</row>
    <row r="457" spans="3:53"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</row>
    <row r="458" spans="3:53"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</row>
    <row r="459" spans="3:53"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</row>
    <row r="460" spans="3:53"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</row>
    <row r="461" spans="3:53"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</row>
    <row r="462" spans="3:53"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</row>
    <row r="463" spans="3:53"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</row>
    <row r="464" spans="3:53"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</row>
    <row r="465" spans="3:53"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</row>
    <row r="466" spans="3:53"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</row>
    <row r="467" spans="3:53"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</row>
    <row r="468" spans="3:53"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</row>
    <row r="469" spans="3:53"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</row>
    <row r="470" spans="3:53"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</row>
    <row r="471" spans="3:53"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</row>
    <row r="472" spans="3:53"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</row>
    <row r="473" spans="3:53"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</row>
    <row r="474" spans="3:53"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</row>
    <row r="475" spans="3:53"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</row>
    <row r="476" spans="3:53"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</row>
    <row r="477" spans="3:53"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</row>
    <row r="478" spans="3:53"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</row>
    <row r="479" spans="3:53"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</row>
    <row r="480" spans="3:53"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</row>
    <row r="481" spans="3:53"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</row>
    <row r="482" spans="3:53"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</row>
    <row r="483" spans="3:53"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</row>
    <row r="484" spans="3:53"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</row>
    <row r="485" spans="3:53"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</row>
    <row r="486" spans="3:53"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</row>
    <row r="487" spans="3:53"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</row>
    <row r="488" spans="3:53"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</row>
    <row r="489" spans="3:53"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</row>
    <row r="490" spans="3:53"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</row>
    <row r="491" spans="3:53"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</row>
    <row r="492" spans="3:53"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</row>
    <row r="493" spans="3:53"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</row>
    <row r="494" spans="3:53"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</row>
    <row r="495" spans="3:53"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</row>
    <row r="496" spans="3:53"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</row>
    <row r="497" spans="3:53"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</row>
    <row r="498" spans="3:53"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</row>
    <row r="499" spans="3:53"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</row>
    <row r="500" spans="3:53"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</row>
    <row r="501" spans="3:53"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</row>
    <row r="502" spans="3:53"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</row>
    <row r="503" spans="3:53"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</row>
    <row r="504" spans="3:53"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</row>
    <row r="505" spans="3:53"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</row>
    <row r="506" spans="3:53"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</row>
    <row r="507" spans="3:53"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</row>
    <row r="508" spans="3:53"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</row>
    <row r="509" spans="3:53"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</row>
    <row r="510" spans="3:53"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</row>
    <row r="511" spans="3:53"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</row>
    <row r="512" spans="3:53"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</row>
    <row r="513" spans="3:53"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</row>
    <row r="514" spans="3:53"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</row>
    <row r="515" spans="3:53"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</row>
    <row r="516" spans="3:53"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</row>
    <row r="517" spans="3:53"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</row>
    <row r="518" spans="3:53"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</row>
    <row r="519" spans="3:53"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</row>
    <row r="520" spans="3:53"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</row>
    <row r="521" spans="3:53"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</row>
    <row r="522" spans="3:53"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</row>
    <row r="523" spans="3:53"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</row>
    <row r="524" spans="3:53"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</row>
    <row r="525" spans="3:53"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</row>
    <row r="526" spans="3:53"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</row>
    <row r="527" spans="3:53"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</row>
    <row r="528" spans="3:53"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</row>
    <row r="529" spans="3:53"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</row>
    <row r="530" spans="3:53"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</row>
    <row r="531" spans="3:53"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</row>
    <row r="532" spans="3:53"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</row>
    <row r="533" spans="3:53"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</row>
    <row r="534" spans="3:53"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</row>
    <row r="535" spans="3:53"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</row>
    <row r="536" spans="3:53"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</row>
    <row r="537" spans="3:53"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</row>
    <row r="538" spans="3:53"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</row>
    <row r="539" spans="3:53"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</row>
    <row r="540" spans="3:53"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</row>
    <row r="541" spans="3:53"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</row>
    <row r="542" spans="3:53"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</row>
    <row r="543" spans="3:53"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</row>
    <row r="544" spans="3:53"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</row>
    <row r="545" spans="3:53"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</row>
    <row r="546" spans="3:53"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</row>
    <row r="547" spans="3:53"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</row>
    <row r="548" spans="3:53"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</row>
    <row r="549" spans="3:53"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</row>
    <row r="550" spans="3:53"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</row>
    <row r="551" spans="3:53"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</row>
    <row r="552" spans="3:53"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</row>
    <row r="553" spans="3:53"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</row>
    <row r="554" spans="3:53"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</row>
    <row r="555" spans="3:53"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</row>
    <row r="556" spans="3:53"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</row>
    <row r="557" spans="3:53"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</row>
    <row r="558" spans="3:53"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</row>
    <row r="559" spans="3:53"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</row>
    <row r="560" spans="3:53"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</row>
    <row r="561" spans="3:53"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</row>
    <row r="562" spans="3:53"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</row>
    <row r="563" spans="3:53"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</row>
    <row r="564" spans="3:53"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</row>
    <row r="565" spans="3:53"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</row>
    <row r="566" spans="3:53"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</row>
    <row r="567" spans="3:53"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</row>
    <row r="568" spans="3:53"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</row>
    <row r="569" spans="3:53"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</row>
    <row r="570" spans="3:53"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</row>
    <row r="571" spans="3:53"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</row>
    <row r="572" spans="3:53"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</row>
    <row r="573" spans="3:53"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</row>
    <row r="574" spans="3:53"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</row>
    <row r="575" spans="3:53"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</row>
    <row r="576" spans="3:53"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</row>
    <row r="577" spans="3:53"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</row>
    <row r="578" spans="3:53"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</row>
    <row r="579" spans="3:53"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</row>
    <row r="580" spans="3:53"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</row>
    <row r="581" spans="3:53"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</row>
    <row r="582" spans="3:53"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</row>
    <row r="583" spans="3:53"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</row>
    <row r="584" spans="3:53"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</row>
    <row r="585" spans="3:53"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</row>
    <row r="586" spans="3:53"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</row>
    <row r="587" spans="3:53"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</row>
    <row r="588" spans="3:53"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</row>
    <row r="589" spans="3:53"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</row>
    <row r="590" spans="3:53"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</row>
    <row r="591" spans="3:53"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</row>
    <row r="592" spans="3:53"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</row>
    <row r="593" spans="3:53"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</row>
    <row r="594" spans="3:53"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</row>
    <row r="595" spans="3:53"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</row>
    <row r="596" spans="3:53"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</row>
    <row r="597" spans="3:53"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</row>
    <row r="598" spans="3:53"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</row>
    <row r="599" spans="3:53"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</row>
    <row r="600" spans="3:53"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</row>
    <row r="601" spans="3:53"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</row>
    <row r="602" spans="3:53"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</row>
    <row r="603" spans="3:53"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</row>
    <row r="604" spans="3:53"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</row>
    <row r="605" spans="3:53"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</row>
    <row r="606" spans="3:53"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</row>
    <row r="607" spans="3:53"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</row>
    <row r="608" spans="3:53"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</row>
    <row r="609" spans="3:53"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</row>
    <row r="610" spans="3:53"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</row>
    <row r="611" spans="3:53"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</row>
    <row r="612" spans="3:53"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</row>
    <row r="613" spans="3:53"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</row>
    <row r="614" spans="3:53"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</row>
    <row r="615" spans="3:53"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</row>
    <row r="616" spans="3:53"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</row>
    <row r="617" spans="3:53"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</row>
    <row r="618" spans="3:53"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</row>
    <row r="619" spans="3:53"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</row>
    <row r="620" spans="3:53"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</row>
    <row r="621" spans="3:53"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</row>
    <row r="622" spans="3:53"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</row>
    <row r="623" spans="3:53"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</row>
    <row r="624" spans="3:53"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</row>
    <row r="625" spans="3:53"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</row>
    <row r="626" spans="3:53"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</row>
    <row r="627" spans="3:53"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</row>
    <row r="628" spans="3:53"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</row>
    <row r="629" spans="3:53"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</row>
    <row r="630" spans="3:53"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</row>
    <row r="631" spans="3:53"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</row>
    <row r="632" spans="3:53"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</row>
    <row r="633" spans="3:53"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</row>
    <row r="634" spans="3:53"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</row>
    <row r="635" spans="3:53"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</row>
    <row r="636" spans="3:53"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</row>
    <row r="637" spans="3:53"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</row>
    <row r="638" spans="3:53"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</row>
    <row r="639" spans="3:53"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</row>
    <row r="640" spans="3:53"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</row>
    <row r="641" spans="3:53"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</row>
    <row r="642" spans="3:53"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</row>
    <row r="643" spans="3:53"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</row>
    <row r="644" spans="3:53"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</row>
    <row r="645" spans="3:53"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</row>
    <row r="646" spans="3:53"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</row>
    <row r="647" spans="3:53"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</row>
    <row r="648" spans="3:53"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</row>
    <row r="649" spans="3:53"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</row>
    <row r="650" spans="3:53"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</row>
    <row r="651" spans="3:53"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</row>
    <row r="652" spans="3:53"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</row>
    <row r="653" spans="3:53"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</row>
    <row r="654" spans="3:53"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</row>
    <row r="655" spans="3:53"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</row>
    <row r="656" spans="3:53"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</row>
    <row r="657" spans="3:53"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</row>
    <row r="658" spans="3:53"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</row>
    <row r="659" spans="3:53"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</row>
    <row r="660" spans="3:53"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</row>
    <row r="661" spans="3:53"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</row>
    <row r="662" spans="3:53"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</row>
    <row r="663" spans="3:53"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</row>
    <row r="664" spans="3:53"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</row>
    <row r="665" spans="3:53"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</row>
    <row r="666" spans="3:53"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</row>
    <row r="667" spans="3:53"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</row>
    <row r="668" spans="3:53"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</row>
    <row r="669" spans="3:53"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</row>
    <row r="670" spans="3:53"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</row>
    <row r="671" spans="3:53"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</row>
    <row r="672" spans="3:53"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</row>
    <row r="673" spans="3:53"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</row>
    <row r="674" spans="3:53"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</row>
    <row r="675" spans="3:53"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</row>
    <row r="676" spans="3:53"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</row>
    <row r="677" spans="3:53"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7"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G106"/>
  <sheetViews>
    <sheetView zoomScaleNormal="100" workbookViewId="0">
      <selection activeCell="E21" activeCellId="3" sqref="C13:C16 E13:E16 E19 E21"/>
    </sheetView>
  </sheetViews>
  <sheetFormatPr defaultColWidth="11.5" defaultRowHeight="12.75"/>
  <cols>
    <col min="1" max="1" width="8.33203125" style="3" customWidth="1"/>
    <col min="2" max="2" width="46" style="3" customWidth="1"/>
    <col min="3" max="3" width="17.1640625" style="3" customWidth="1"/>
    <col min="4" max="4" width="11.5" style="3" customWidth="1"/>
    <col min="5" max="5" width="14.33203125" style="3" customWidth="1"/>
    <col min="6" max="6" width="13.5" style="3" customWidth="1"/>
    <col min="7" max="7" width="12.83203125" style="3" customWidth="1"/>
    <col min="8" max="8" width="11.83203125" style="3" customWidth="1"/>
    <col min="9" max="253" width="8.83203125" style="3" customWidth="1"/>
    <col min="254" max="16384" width="11.5" style="3"/>
  </cols>
  <sheetData>
    <row r="1" spans="1:7">
      <c r="A1" s="2" t="s">
        <v>1</v>
      </c>
    </row>
    <row r="2" spans="1:7" ht="15.75">
      <c r="A2" s="28"/>
      <c r="B2" s="249" t="s">
        <v>151</v>
      </c>
      <c r="C2" s="153"/>
      <c r="D2" s="153"/>
      <c r="E2" s="153"/>
      <c r="F2" s="153"/>
    </row>
    <row r="3" spans="1:7" ht="15.75">
      <c r="A3" s="28"/>
      <c r="B3" s="249" t="s">
        <v>26</v>
      </c>
      <c r="C3" s="153"/>
      <c r="D3" s="153"/>
      <c r="E3" s="153"/>
      <c r="F3" s="153"/>
    </row>
    <row r="4" spans="1:7" ht="15.75" customHeight="1">
      <c r="B4" s="250" t="str">
        <f>'New Format'!B5</f>
        <v>For The 12 Months Ending December 31, 2022</v>
      </c>
      <c r="C4" s="154"/>
      <c r="D4" s="154"/>
      <c r="E4" s="154"/>
      <c r="F4" s="154"/>
    </row>
    <row r="5" spans="1:7" ht="12.75" customHeight="1">
      <c r="B5" s="4"/>
      <c r="C5" s="4"/>
      <c r="D5" s="5"/>
      <c r="E5" s="5"/>
      <c r="F5" s="5"/>
    </row>
    <row r="6" spans="1:7">
      <c r="A6" s="2" t="s">
        <v>1</v>
      </c>
    </row>
    <row r="7" spans="1:7">
      <c r="A7" s="2" t="s">
        <v>1</v>
      </c>
      <c r="C7" s="3" t="s">
        <v>1</v>
      </c>
    </row>
    <row r="8" spans="1:7">
      <c r="A8" s="2">
        <v>1</v>
      </c>
      <c r="B8" s="57" t="s">
        <v>2</v>
      </c>
      <c r="C8" s="57" t="s">
        <v>19</v>
      </c>
      <c r="D8" s="57" t="s">
        <v>34</v>
      </c>
      <c r="E8" s="57" t="s">
        <v>45</v>
      </c>
      <c r="F8" s="57" t="s">
        <v>46</v>
      </c>
      <c r="G8" s="55"/>
    </row>
    <row r="9" spans="1:7">
      <c r="A9" s="2">
        <f t="shared" ref="A9:A28" si="0">A8+1</f>
        <v>2</v>
      </c>
      <c r="B9" s="56"/>
      <c r="C9" s="57"/>
      <c r="D9" s="56"/>
      <c r="E9" s="56"/>
      <c r="F9" s="56"/>
      <c r="G9" s="55"/>
    </row>
    <row r="10" spans="1:7">
      <c r="A10" s="2">
        <f t="shared" si="0"/>
        <v>3</v>
      </c>
      <c r="B10" s="56"/>
      <c r="C10" s="57" t="s">
        <v>35</v>
      </c>
      <c r="D10" s="57" t="s">
        <v>27</v>
      </c>
      <c r="E10" s="57" t="s">
        <v>15</v>
      </c>
      <c r="F10" s="57" t="s">
        <v>8</v>
      </c>
      <c r="G10" s="55"/>
    </row>
    <row r="11" spans="1:7">
      <c r="A11" s="2">
        <f t="shared" si="0"/>
        <v>4</v>
      </c>
      <c r="B11" s="58" t="s">
        <v>6</v>
      </c>
      <c r="C11" s="58" t="s">
        <v>59</v>
      </c>
      <c r="D11" s="58" t="s">
        <v>16</v>
      </c>
      <c r="E11" s="58" t="s">
        <v>17</v>
      </c>
      <c r="F11" s="58" t="s">
        <v>16</v>
      </c>
      <c r="G11" s="55"/>
    </row>
    <row r="12" spans="1:7">
      <c r="A12" s="2">
        <f t="shared" si="0"/>
        <v>5</v>
      </c>
      <c r="B12" s="59"/>
      <c r="C12" s="60"/>
      <c r="D12" s="60"/>
      <c r="E12" s="61"/>
      <c r="F12" s="60"/>
      <c r="G12" s="55"/>
    </row>
    <row r="13" spans="1:7">
      <c r="A13" s="2">
        <f t="shared" si="0"/>
        <v>6</v>
      </c>
      <c r="B13" s="59" t="s">
        <v>25</v>
      </c>
      <c r="C13" s="367">
        <f>'Pg 4 STD OS &amp; Comm Fees'!C11</f>
        <v>0</v>
      </c>
      <c r="D13" s="161" t="str">
        <f>IF(E13=0,"NA",(E13/C13))</f>
        <v>NA</v>
      </c>
      <c r="E13" s="367">
        <f>'Pg 4 STD OS &amp; Comm Fees'!D11</f>
        <v>0</v>
      </c>
      <c r="F13" s="62"/>
      <c r="G13" s="55"/>
    </row>
    <row r="14" spans="1:7">
      <c r="A14" s="2">
        <f t="shared" si="0"/>
        <v>7</v>
      </c>
      <c r="B14" s="55"/>
      <c r="C14" s="368">
        <f>'Pg 4 STD OS &amp; Comm Fees'!C12</f>
        <v>0</v>
      </c>
      <c r="D14" s="161" t="str">
        <f>IF(E14=0,"NA",(E14/C14))</f>
        <v>NA</v>
      </c>
      <c r="E14" s="367">
        <f>'Pg 4 STD OS &amp; Comm Fees'!D12</f>
        <v>0</v>
      </c>
      <c r="F14" s="62"/>
      <c r="G14" s="55"/>
    </row>
    <row r="15" spans="1:7">
      <c r="A15" s="2">
        <f t="shared" si="0"/>
        <v>8</v>
      </c>
      <c r="B15" s="55"/>
      <c r="C15" s="368">
        <f>'Pg 4 STD OS &amp; Comm Fees'!C13</f>
        <v>0</v>
      </c>
      <c r="D15" s="161" t="str">
        <f>IF(E15=0,"NA",(E15/C15))</f>
        <v>NA</v>
      </c>
      <c r="E15" s="367">
        <f>'Pg 4 STD OS &amp; Comm Fees'!D13</f>
        <v>0</v>
      </c>
      <c r="F15" s="62"/>
      <c r="G15" s="55"/>
    </row>
    <row r="16" spans="1:7">
      <c r="A16" s="2">
        <f t="shared" si="0"/>
        <v>9</v>
      </c>
      <c r="B16" s="343" t="s">
        <v>157</v>
      </c>
      <c r="C16" s="368">
        <f>'Pg 4 STD OS &amp; Comm Fees'!C14</f>
        <v>52406250</v>
      </c>
      <c r="D16" s="161">
        <f>IF(E16=0,"NA",(E16/C16))</f>
        <v>3.2970492450805008E-2</v>
      </c>
      <c r="E16" s="367">
        <f>'Pg 4 STD OS &amp; Comm Fees'!D14</f>
        <v>1727859.87</v>
      </c>
    </row>
    <row r="17" spans="1:7">
      <c r="A17" s="2">
        <f t="shared" si="0"/>
        <v>10</v>
      </c>
      <c r="B17" s="243" t="s">
        <v>116</v>
      </c>
      <c r="C17" s="245">
        <f>SUM(C13:C16)</f>
        <v>52406250</v>
      </c>
      <c r="D17" s="246">
        <f>IF(E17=0,"NA",(E17/C17))</f>
        <v>3.2970492450805008E-2</v>
      </c>
      <c r="E17" s="244">
        <f>SUM(E13:E16)</f>
        <v>1727859.87</v>
      </c>
      <c r="F17" s="62">
        <f>E17/C23</f>
        <v>3.2970492450805008E-2</v>
      </c>
      <c r="G17" s="55"/>
    </row>
    <row r="18" spans="1:7">
      <c r="A18" s="2">
        <f t="shared" si="0"/>
        <v>11</v>
      </c>
      <c r="B18" s="55"/>
      <c r="C18" s="68"/>
      <c r="D18" s="161"/>
      <c r="E18" s="63"/>
      <c r="F18" s="55"/>
      <c r="G18" s="55"/>
    </row>
    <row r="19" spans="1:7">
      <c r="A19" s="2">
        <f t="shared" si="0"/>
        <v>12</v>
      </c>
      <c r="B19" s="59" t="s">
        <v>36</v>
      </c>
      <c r="C19" s="69"/>
      <c r="D19" s="69"/>
      <c r="E19" s="367">
        <f>'Pg 4 STD OS &amp; Comm Fees'!F16</f>
        <v>150667.45000000001</v>
      </c>
      <c r="F19" s="62">
        <f>E19/C23</f>
        <v>2.8749901013714971E-3</v>
      </c>
      <c r="G19" s="146" t="s">
        <v>58</v>
      </c>
    </row>
    <row r="20" spans="1:7">
      <c r="A20" s="2">
        <f t="shared" si="0"/>
        <v>13</v>
      </c>
      <c r="B20" s="59"/>
      <c r="C20" s="64"/>
      <c r="D20" s="64"/>
      <c r="E20" s="67"/>
      <c r="F20" s="62"/>
      <c r="G20" s="55"/>
    </row>
    <row r="21" spans="1:7">
      <c r="A21" s="2">
        <f t="shared" si="0"/>
        <v>14</v>
      </c>
      <c r="B21" s="59" t="s">
        <v>37</v>
      </c>
      <c r="C21" s="64"/>
      <c r="D21" s="64"/>
      <c r="E21" s="367">
        <f>-'Pg 5 STD Amort'!H27</f>
        <v>86553.94</v>
      </c>
      <c r="F21" s="62">
        <f>E21/C23</f>
        <v>1.6515957543231962E-3</v>
      </c>
      <c r="G21" s="146" t="s">
        <v>78</v>
      </c>
    </row>
    <row r="22" spans="1:7" ht="13.5" thickBot="1">
      <c r="A22" s="2">
        <f t="shared" si="0"/>
        <v>15</v>
      </c>
      <c r="B22" s="55"/>
      <c r="C22" s="63"/>
      <c r="D22" s="63"/>
      <c r="E22" s="67"/>
      <c r="G22" s="55"/>
    </row>
    <row r="23" spans="1:7" ht="13.5" thickBot="1">
      <c r="A23" s="2">
        <f t="shared" si="0"/>
        <v>16</v>
      </c>
      <c r="B23" s="65" t="s">
        <v>28</v>
      </c>
      <c r="C23" s="66">
        <f>C17</f>
        <v>52406250</v>
      </c>
      <c r="D23" s="66"/>
      <c r="E23" s="66">
        <f>SUM(E17:E22)</f>
        <v>1965081.26</v>
      </c>
      <c r="F23" s="164">
        <f>E23/C23</f>
        <v>3.7497078306499704E-2</v>
      </c>
      <c r="G23" s="55"/>
    </row>
    <row r="24" spans="1:7">
      <c r="A24" s="2">
        <f t="shared" si="0"/>
        <v>17</v>
      </c>
      <c r="B24" s="55"/>
      <c r="C24" s="55"/>
      <c r="D24" s="55"/>
      <c r="E24" s="55"/>
      <c r="F24" s="55"/>
      <c r="G24" s="55"/>
    </row>
    <row r="25" spans="1:7">
      <c r="A25" s="2">
        <f t="shared" si="0"/>
        <v>18</v>
      </c>
      <c r="F25" s="7"/>
    </row>
    <row r="26" spans="1:7">
      <c r="A26" s="2">
        <f t="shared" si="0"/>
        <v>19</v>
      </c>
      <c r="B26" s="100" t="s">
        <v>129</v>
      </c>
      <c r="C26" s="101"/>
      <c r="D26" s="101"/>
      <c r="E26" s="101"/>
      <c r="F26" s="59"/>
    </row>
    <row r="27" spans="1:7">
      <c r="A27" s="2">
        <f t="shared" si="0"/>
        <v>20</v>
      </c>
      <c r="B27" s="100" t="s">
        <v>110</v>
      </c>
      <c r="C27" s="101"/>
      <c r="D27" s="101"/>
      <c r="E27" s="101"/>
      <c r="F27" s="59"/>
    </row>
    <row r="28" spans="1:7">
      <c r="A28" s="2">
        <f t="shared" si="0"/>
        <v>21</v>
      </c>
      <c r="B28" s="100" t="s">
        <v>128</v>
      </c>
      <c r="C28" s="59"/>
      <c r="D28" s="59"/>
      <c r="E28" s="59"/>
      <c r="F28" s="59"/>
    </row>
    <row r="29" spans="1:7">
      <c r="A29" s="2"/>
      <c r="B29" s="100"/>
    </row>
    <row r="30" spans="1:7">
      <c r="A30" s="2"/>
      <c r="B30" s="6"/>
    </row>
    <row r="31" spans="1:7">
      <c r="A31" s="2"/>
      <c r="B31" s="6"/>
    </row>
    <row r="32" spans="1:7">
      <c r="A32" s="2" t="s">
        <v>1</v>
      </c>
    </row>
    <row r="33" spans="1:6" ht="12.75" customHeight="1">
      <c r="A33" s="2"/>
    </row>
    <row r="34" spans="1:6">
      <c r="A34" s="2" t="s">
        <v>1</v>
      </c>
      <c r="F34" s="7"/>
    </row>
    <row r="35" spans="1:6">
      <c r="A35" s="2" t="s">
        <v>1</v>
      </c>
      <c r="F35" s="7"/>
    </row>
    <row r="36" spans="1:6">
      <c r="F36" s="7"/>
    </row>
    <row r="40" spans="1:6">
      <c r="D40" s="8"/>
      <c r="F40" s="7"/>
    </row>
    <row r="41" spans="1:6">
      <c r="D41" s="8"/>
      <c r="F41" s="7"/>
    </row>
    <row r="42" spans="1:6">
      <c r="D42" s="8"/>
      <c r="F42" s="7"/>
    </row>
    <row r="43" spans="1:6">
      <c r="D43" s="8"/>
      <c r="F43" s="7"/>
    </row>
    <row r="54" spans="2:2">
      <c r="B54" s="8"/>
    </row>
    <row r="55" spans="2:2">
      <c r="B55" s="6"/>
    </row>
    <row r="72" spans="6:6">
      <c r="F72" s="7"/>
    </row>
    <row r="83" spans="4:4">
      <c r="D83" s="8"/>
    </row>
    <row r="85" spans="4:4">
      <c r="D85" s="8"/>
    </row>
    <row r="88" spans="4:4">
      <c r="D88" s="8"/>
    </row>
    <row r="89" spans="4:4">
      <c r="D89" s="8"/>
    </row>
    <row r="94" spans="4:4">
      <c r="D94" s="8"/>
    </row>
    <row r="95" spans="4:4">
      <c r="D95" s="8"/>
    </row>
    <row r="102" spans="3:3">
      <c r="C102" s="9"/>
    </row>
    <row r="103" spans="3:3">
      <c r="C103" s="10"/>
    </row>
    <row r="105" spans="3:3">
      <c r="C105" s="9"/>
    </row>
    <row r="106" spans="3:3">
      <c r="C106" s="7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S40"/>
  <sheetViews>
    <sheetView zoomScaleNormal="100" workbookViewId="0">
      <selection activeCell="C14" activeCellId="2" sqref="M40 F18 C14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29"/>
      <c r="B1" s="30" t="s">
        <v>151</v>
      </c>
      <c r="C1" s="30"/>
      <c r="D1" s="29"/>
      <c r="E1" s="29"/>
      <c r="F1" s="29"/>
      <c r="G1" s="30"/>
      <c r="H1" s="30"/>
      <c r="I1" s="30"/>
      <c r="J1" s="30"/>
      <c r="K1" s="29"/>
      <c r="L1" s="29"/>
      <c r="M1" s="29"/>
      <c r="N1" s="29"/>
      <c r="O1" s="29"/>
    </row>
    <row r="2" spans="1:15" ht="12">
      <c r="A2" s="29"/>
      <c r="B2" s="30" t="s">
        <v>29</v>
      </c>
      <c r="C2" s="30"/>
      <c r="D2" s="29"/>
      <c r="E2" s="29"/>
      <c r="F2" s="29"/>
      <c r="G2" s="30"/>
      <c r="H2" s="30"/>
      <c r="I2" s="30"/>
      <c r="J2" s="30"/>
      <c r="K2" s="31"/>
      <c r="L2" s="29"/>
      <c r="N2" s="29"/>
      <c r="O2" s="29"/>
    </row>
    <row r="3" spans="1:15" ht="12.75">
      <c r="A3" s="29"/>
      <c r="B3" s="201" t="str">
        <f>'New Format'!B5</f>
        <v>For The 12 Months Ending December 31, 2022</v>
      </c>
      <c r="C3" s="193"/>
      <c r="D3" s="194"/>
      <c r="E3" s="194"/>
      <c r="F3" s="194"/>
      <c r="G3" s="195"/>
      <c r="H3" s="195"/>
      <c r="I3" s="195"/>
      <c r="J3" s="195"/>
      <c r="K3" s="29"/>
      <c r="L3" s="29"/>
      <c r="N3" s="29"/>
      <c r="O3" s="29"/>
    </row>
    <row r="4" spans="1:15" ht="12">
      <c r="A4" s="29"/>
      <c r="B4" s="30"/>
      <c r="C4" s="36"/>
      <c r="D4" s="29"/>
      <c r="E4" s="29"/>
      <c r="F4" s="29"/>
      <c r="G4" s="29"/>
      <c r="H4" s="29"/>
      <c r="I4" s="29"/>
      <c r="J4" s="29"/>
      <c r="K4" s="29"/>
      <c r="L4" s="29"/>
      <c r="N4" s="29"/>
      <c r="O4" s="29"/>
    </row>
    <row r="5" spans="1:15" ht="13.5" thickBot="1">
      <c r="A5" s="147">
        <v>1</v>
      </c>
      <c r="B5" s="57" t="s">
        <v>2</v>
      </c>
      <c r="C5" s="57" t="s">
        <v>19</v>
      </c>
      <c r="D5" s="57" t="s">
        <v>34</v>
      </c>
      <c r="E5" s="57" t="s">
        <v>45</v>
      </c>
      <c r="F5" s="57" t="s">
        <v>46</v>
      </c>
      <c r="G5" s="57" t="s">
        <v>47</v>
      </c>
      <c r="H5" s="57" t="s">
        <v>48</v>
      </c>
      <c r="I5" s="57" t="s">
        <v>49</v>
      </c>
      <c r="J5" s="57" t="s">
        <v>50</v>
      </c>
      <c r="K5" s="57"/>
      <c r="L5" s="57"/>
      <c r="N5" s="29"/>
      <c r="O5" s="29"/>
    </row>
    <row r="6" spans="1:15" ht="12">
      <c r="A6" s="147">
        <f>+A5+1</f>
        <v>2</v>
      </c>
      <c r="B6" s="262" t="s">
        <v>98</v>
      </c>
      <c r="C6" s="263"/>
      <c r="D6" s="263"/>
      <c r="E6" s="263"/>
      <c r="F6" s="263"/>
      <c r="G6" s="263"/>
      <c r="H6" s="118"/>
      <c r="I6" s="118"/>
      <c r="J6" s="118"/>
      <c r="K6" s="264"/>
      <c r="M6" s="29"/>
      <c r="N6" s="29"/>
      <c r="O6" s="29"/>
    </row>
    <row r="7" spans="1:15" ht="12">
      <c r="A7" s="147">
        <f>+A6+1</f>
        <v>3</v>
      </c>
      <c r="B7" s="156"/>
      <c r="C7" s="29"/>
      <c r="D7" s="29"/>
      <c r="E7" s="29"/>
      <c r="F7" s="29" t="s">
        <v>1</v>
      </c>
      <c r="G7" s="29" t="s">
        <v>1</v>
      </c>
      <c r="H7" s="29"/>
      <c r="I7" s="29"/>
      <c r="J7" s="29"/>
      <c r="K7" s="265" t="s">
        <v>1</v>
      </c>
      <c r="L7" s="29"/>
      <c r="M7" s="207"/>
      <c r="N7" s="29"/>
      <c r="O7" s="29"/>
    </row>
    <row r="8" spans="1:15" ht="12">
      <c r="A8" s="147">
        <f>A7+1</f>
        <v>4</v>
      </c>
      <c r="B8" s="156"/>
      <c r="C8" s="162" t="s">
        <v>32</v>
      </c>
      <c r="D8" s="162" t="s">
        <v>92</v>
      </c>
      <c r="E8" s="162" t="s">
        <v>32</v>
      </c>
      <c r="F8" s="162" t="s">
        <v>104</v>
      </c>
      <c r="G8" s="29"/>
      <c r="H8" s="29"/>
      <c r="I8" s="29"/>
      <c r="J8" s="29"/>
      <c r="K8" s="265"/>
      <c r="L8" s="155"/>
      <c r="M8" s="29"/>
      <c r="N8" s="29"/>
      <c r="O8" s="29"/>
    </row>
    <row r="9" spans="1:15" ht="12">
      <c r="A9" s="147">
        <f>A8+1</f>
        <v>5</v>
      </c>
      <c r="B9" s="156"/>
      <c r="C9" s="33" t="s">
        <v>111</v>
      </c>
      <c r="D9" s="33" t="s">
        <v>27</v>
      </c>
      <c r="E9" s="33" t="s">
        <v>79</v>
      </c>
      <c r="F9" s="33" t="s">
        <v>112</v>
      </c>
      <c r="G9" s="33"/>
      <c r="H9" s="33"/>
      <c r="I9" s="29"/>
      <c r="J9" s="29"/>
      <c r="K9" s="265"/>
      <c r="L9" s="155"/>
      <c r="M9" s="180"/>
      <c r="N9" s="29"/>
      <c r="O9" s="29"/>
    </row>
    <row r="10" spans="1:15" ht="12">
      <c r="A10" s="147">
        <f>A9+1</f>
        <v>6</v>
      </c>
      <c r="B10" s="156"/>
      <c r="G10" s="29"/>
      <c r="H10" s="29"/>
      <c r="I10" s="29"/>
      <c r="J10" s="29"/>
      <c r="K10" s="265"/>
      <c r="L10" s="29"/>
      <c r="M10" s="29"/>
      <c r="O10" s="29"/>
    </row>
    <row r="11" spans="1:15" ht="12">
      <c r="A11" s="147">
        <f t="shared" ref="A11:A36" si="0">A10+1</f>
        <v>7</v>
      </c>
      <c r="B11" s="156" t="s">
        <v>25</v>
      </c>
      <c r="C11" s="238">
        <v>0</v>
      </c>
      <c r="D11" s="238">
        <v>0</v>
      </c>
      <c r="E11" s="203" t="str">
        <f>IF(C11=0,"NA",(D11/C11))</f>
        <v>NA</v>
      </c>
      <c r="F11" s="280">
        <v>0</v>
      </c>
      <c r="G11" s="259"/>
      <c r="H11" s="338"/>
      <c r="I11" s="29"/>
      <c r="J11" s="29"/>
      <c r="K11" s="265"/>
      <c r="L11" s="29"/>
      <c r="M11" s="272"/>
      <c r="O11" s="29"/>
    </row>
    <row r="12" spans="1:15" ht="12">
      <c r="A12" s="147">
        <f t="shared" si="0"/>
        <v>8</v>
      </c>
      <c r="B12" s="156"/>
      <c r="C12" s="238">
        <v>0</v>
      </c>
      <c r="D12" s="238">
        <v>0</v>
      </c>
      <c r="E12" s="203" t="str">
        <f>IF(C12=0,"NA",(D12/C12))</f>
        <v>NA</v>
      </c>
      <c r="F12" s="280">
        <v>0</v>
      </c>
      <c r="G12" s="259"/>
      <c r="H12" s="239"/>
      <c r="I12" s="29"/>
      <c r="J12" s="29"/>
      <c r="K12" s="265"/>
      <c r="L12" s="29"/>
      <c r="M12" s="350"/>
      <c r="O12" s="29"/>
    </row>
    <row r="13" spans="1:15" ht="12" hidden="1">
      <c r="A13" s="147">
        <v>9</v>
      </c>
      <c r="B13" s="156" t="s">
        <v>133</v>
      </c>
      <c r="C13" s="238">
        <v>0</v>
      </c>
      <c r="D13" s="238">
        <v>0</v>
      </c>
      <c r="E13" s="203" t="str">
        <f>IF(C13=0,"NA",(D13/C13))</f>
        <v>NA</v>
      </c>
      <c r="F13" s="160">
        <f>J26</f>
        <v>0</v>
      </c>
      <c r="G13" s="259"/>
      <c r="H13" s="271"/>
      <c r="I13" s="29"/>
      <c r="J13" s="29"/>
      <c r="K13" s="265"/>
      <c r="L13" s="29"/>
      <c r="M13" s="272"/>
      <c r="O13" s="29"/>
    </row>
    <row r="14" spans="1:15" ht="12">
      <c r="A14" s="147">
        <f>A13+1</f>
        <v>10</v>
      </c>
      <c r="B14" s="156" t="s">
        <v>157</v>
      </c>
      <c r="C14" s="366">
        <f>'Pg 2 CapStructure'!Q9</f>
        <v>52406250</v>
      </c>
      <c r="D14" s="238">
        <v>1727859.87</v>
      </c>
      <c r="E14" s="203">
        <f>IF(C14=0,"NA",(D14/C14))</f>
        <v>3.2970492450805008E-2</v>
      </c>
      <c r="F14" s="160">
        <f>J27</f>
        <v>126389</v>
      </c>
      <c r="G14" s="259"/>
      <c r="H14" s="239"/>
      <c r="I14" s="29"/>
      <c r="J14" s="29"/>
      <c r="K14" s="265"/>
      <c r="L14" s="29"/>
      <c r="M14" s="350" t="s">
        <v>162</v>
      </c>
      <c r="N14" s="29"/>
      <c r="O14" s="29"/>
    </row>
    <row r="15" spans="1:15" ht="12">
      <c r="A15" s="147">
        <f t="shared" si="0"/>
        <v>11</v>
      </c>
      <c r="B15" s="156" t="s">
        <v>117</v>
      </c>
      <c r="C15" s="238">
        <v>2200000</v>
      </c>
      <c r="D15" s="238">
        <v>0</v>
      </c>
      <c r="E15" s="203">
        <f>IF(C15=0,"NA",(D15/C15))</f>
        <v>0</v>
      </c>
      <c r="F15" s="160">
        <f>J33</f>
        <v>24278.45</v>
      </c>
      <c r="G15" s="29"/>
      <c r="H15" s="29"/>
      <c r="I15" s="29"/>
      <c r="J15" s="29"/>
      <c r="K15" s="265"/>
      <c r="L15" s="29"/>
      <c r="M15" s="29"/>
      <c r="N15" s="29"/>
      <c r="O15" s="29"/>
    </row>
    <row r="16" spans="1:15" ht="12.75" thickBot="1">
      <c r="A16" s="147">
        <f t="shared" si="0"/>
        <v>12</v>
      </c>
      <c r="B16" s="248" t="s">
        <v>120</v>
      </c>
      <c r="C16" s="274">
        <f>SUM(C10:C15)</f>
        <v>54606250</v>
      </c>
      <c r="D16" s="276">
        <f>SUM(D10:D15)</f>
        <v>1727859.87</v>
      </c>
      <c r="E16" s="275">
        <f>D16/C16</f>
        <v>3.1642163122353212E-2</v>
      </c>
      <c r="F16" s="276">
        <f>SUM(F10:F15)</f>
        <v>150667.45000000001</v>
      </c>
      <c r="G16" s="29"/>
      <c r="H16" s="29"/>
      <c r="I16" s="29"/>
      <c r="J16" s="29"/>
      <c r="K16" s="265"/>
      <c r="L16" s="29"/>
      <c r="M16" s="29"/>
      <c r="N16" s="29"/>
      <c r="O16" s="29"/>
    </row>
    <row r="17" spans="1:15" ht="12.75" thickTop="1">
      <c r="A17" s="147">
        <f t="shared" si="0"/>
        <v>13</v>
      </c>
      <c r="B17" s="248"/>
      <c r="C17" s="299"/>
      <c r="D17" s="317"/>
      <c r="E17" s="318"/>
      <c r="F17" s="317"/>
      <c r="G17" s="29"/>
      <c r="H17" s="29"/>
      <c r="I17" s="29"/>
      <c r="J17" s="29"/>
      <c r="K17" s="265"/>
      <c r="L17" s="29"/>
      <c r="M17" s="29"/>
      <c r="N17" s="29"/>
      <c r="O17" s="29"/>
    </row>
    <row r="18" spans="1:15" ht="12">
      <c r="A18" s="147">
        <f t="shared" si="0"/>
        <v>14</v>
      </c>
      <c r="B18" s="311" t="s">
        <v>141</v>
      </c>
      <c r="C18" s="157"/>
      <c r="D18" s="158"/>
      <c r="E18" s="29"/>
      <c r="F18" s="365">
        <f>'New Format'!C30</f>
        <v>808685319</v>
      </c>
      <c r="G18" s="29"/>
      <c r="H18" s="29"/>
      <c r="I18" s="29"/>
      <c r="J18" s="29"/>
      <c r="K18" s="265"/>
      <c r="L18" s="29"/>
      <c r="M18" s="29"/>
      <c r="N18" s="29"/>
      <c r="O18" s="29"/>
    </row>
    <row r="19" spans="1:15" ht="12">
      <c r="A19" s="147">
        <f t="shared" si="0"/>
        <v>15</v>
      </c>
      <c r="B19" s="156"/>
      <c r="C19" s="157"/>
      <c r="D19" s="158"/>
      <c r="E19" s="29"/>
      <c r="F19" s="157"/>
      <c r="G19" s="29"/>
      <c r="H19" s="29"/>
      <c r="I19" s="29"/>
      <c r="J19" s="29"/>
      <c r="K19" s="265"/>
      <c r="L19" s="29"/>
      <c r="M19" s="29"/>
      <c r="N19" s="29"/>
      <c r="O19" s="29"/>
    </row>
    <row r="20" spans="1:15" ht="12">
      <c r="A20" s="147">
        <f t="shared" si="0"/>
        <v>16</v>
      </c>
      <c r="B20" s="311" t="s">
        <v>143</v>
      </c>
      <c r="C20" s="157"/>
      <c r="D20" s="158"/>
      <c r="E20" s="29"/>
      <c r="F20" s="307">
        <f>ROUND(F16/F18,4)</f>
        <v>2.0000000000000001E-4</v>
      </c>
      <c r="G20" s="29"/>
      <c r="H20" s="29"/>
      <c r="I20" s="29"/>
      <c r="J20" s="29"/>
      <c r="K20" s="265"/>
      <c r="L20" s="29"/>
      <c r="M20" s="29"/>
      <c r="N20" s="29"/>
      <c r="O20" s="29"/>
    </row>
    <row r="21" spans="1:15" ht="12.75" thickBot="1">
      <c r="A21" s="147">
        <f t="shared" si="0"/>
        <v>17</v>
      </c>
      <c r="B21" s="261"/>
      <c r="C21" s="159"/>
      <c r="D21" s="159"/>
      <c r="E21" s="159"/>
      <c r="F21" s="159"/>
      <c r="G21" s="159"/>
      <c r="H21" s="159"/>
      <c r="I21" s="159"/>
      <c r="J21" s="159"/>
      <c r="K21" s="266"/>
      <c r="L21" s="29"/>
      <c r="M21" s="29"/>
      <c r="N21" s="29"/>
      <c r="O21" s="29"/>
    </row>
    <row r="22" spans="1:15" ht="12">
      <c r="A22" s="147">
        <f t="shared" si="0"/>
        <v>18</v>
      </c>
      <c r="B22" s="378" t="s">
        <v>77</v>
      </c>
      <c r="C22" s="379"/>
      <c r="D22" s="118"/>
      <c r="E22" s="118"/>
      <c r="F22" s="118"/>
      <c r="G22" s="118"/>
      <c r="H22" s="139"/>
      <c r="I22" s="139"/>
      <c r="J22" s="139"/>
      <c r="K22" s="115"/>
      <c r="L22" s="29" t="s">
        <v>1</v>
      </c>
      <c r="M22" s="29"/>
      <c r="N22" s="29"/>
      <c r="O22" s="29"/>
    </row>
    <row r="23" spans="1:15" ht="12">
      <c r="A23" s="147">
        <f t="shared" si="0"/>
        <v>19</v>
      </c>
      <c r="B23" s="376" t="s">
        <v>84</v>
      </c>
      <c r="C23" s="377"/>
      <c r="D23" s="29"/>
      <c r="E23" s="29"/>
      <c r="F23" s="29"/>
      <c r="G23" s="162" t="s">
        <v>134</v>
      </c>
      <c r="H23" s="162" t="s">
        <v>134</v>
      </c>
      <c r="I23" s="35"/>
      <c r="J23" s="35"/>
      <c r="K23" s="120"/>
      <c r="L23" s="29"/>
      <c r="M23" s="29"/>
      <c r="N23" s="29"/>
      <c r="O23" s="29"/>
    </row>
    <row r="24" spans="1:15" ht="12">
      <c r="A24" s="147">
        <f t="shared" si="0"/>
        <v>20</v>
      </c>
      <c r="B24" s="140"/>
      <c r="C24" s="96"/>
      <c r="D24" s="29"/>
      <c r="E24" s="29"/>
      <c r="F24" s="29"/>
      <c r="G24" s="162" t="s">
        <v>114</v>
      </c>
      <c r="H24" s="162" t="s">
        <v>115</v>
      </c>
      <c r="I24" s="35"/>
      <c r="J24" s="35"/>
      <c r="K24" s="120"/>
      <c r="L24" s="29"/>
      <c r="M24" s="29"/>
      <c r="N24" s="29"/>
      <c r="O24" s="29"/>
    </row>
    <row r="25" spans="1:15" ht="12">
      <c r="A25" s="147">
        <f t="shared" si="0"/>
        <v>21</v>
      </c>
      <c r="B25" s="119"/>
      <c r="C25" s="32" t="s">
        <v>30</v>
      </c>
      <c r="D25" s="32" t="s">
        <v>31</v>
      </c>
      <c r="E25" s="33" t="s">
        <v>33</v>
      </c>
      <c r="F25" s="33" t="s">
        <v>104</v>
      </c>
      <c r="G25" s="33" t="s">
        <v>113</v>
      </c>
      <c r="H25" s="33" t="s">
        <v>104</v>
      </c>
      <c r="I25" s="33" t="s">
        <v>41</v>
      </c>
      <c r="J25" s="33" t="s">
        <v>42</v>
      </c>
      <c r="K25" s="141"/>
      <c r="L25" s="29"/>
      <c r="M25" s="29"/>
      <c r="N25" s="29"/>
      <c r="O25" s="29"/>
    </row>
    <row r="26" spans="1:15" ht="12" hidden="1">
      <c r="A26" s="147">
        <f t="shared" si="0"/>
        <v>22</v>
      </c>
      <c r="B26" s="156" t="s">
        <v>133</v>
      </c>
      <c r="C26" s="239"/>
      <c r="D26" s="239"/>
      <c r="E26" s="260">
        <f>D26-C26</f>
        <v>0</v>
      </c>
      <c r="F26" s="273">
        <v>650000000</v>
      </c>
      <c r="G26" s="196">
        <f>C13+H32</f>
        <v>0</v>
      </c>
      <c r="H26" s="196">
        <f>F26-G26</f>
        <v>650000000</v>
      </c>
      <c r="I26" s="281">
        <v>1.75E-3</v>
      </c>
      <c r="J26" s="160">
        <f>ROUND(H26*I26*E26/360,4)</f>
        <v>0</v>
      </c>
      <c r="K26" s="120"/>
      <c r="L26" s="29"/>
      <c r="M26" s="29"/>
      <c r="N26" s="29"/>
      <c r="O26" s="29"/>
    </row>
    <row r="27" spans="1:15" ht="12">
      <c r="A27" s="147">
        <f t="shared" si="0"/>
        <v>23</v>
      </c>
      <c r="B27" s="156" t="s">
        <v>157</v>
      </c>
      <c r="C27" s="239">
        <v>44562</v>
      </c>
      <c r="D27" s="239">
        <v>44926</v>
      </c>
      <c r="E27" s="260">
        <v>360</v>
      </c>
      <c r="F27" s="273">
        <v>100000000</v>
      </c>
      <c r="G27" s="196">
        <f>C14+H33</f>
        <v>52406250</v>
      </c>
      <c r="H27" s="196">
        <f>F27-G27</f>
        <v>47593750</v>
      </c>
      <c r="I27" s="281">
        <v>1.25E-3</v>
      </c>
      <c r="J27" s="207">
        <v>126389</v>
      </c>
      <c r="K27" s="142"/>
      <c r="L27" s="29"/>
      <c r="M27" s="344" t="s">
        <v>161</v>
      </c>
      <c r="N27" s="29"/>
      <c r="O27" s="29"/>
    </row>
    <row r="28" spans="1:15" ht="12.75" thickBot="1">
      <c r="A28" s="147">
        <f t="shared" si="0"/>
        <v>24</v>
      </c>
      <c r="B28" s="200" t="s">
        <v>103</v>
      </c>
      <c r="C28" s="34"/>
      <c r="D28" s="106"/>
      <c r="E28" s="242"/>
      <c r="F28" s="208"/>
      <c r="G28" s="209"/>
      <c r="H28" s="209"/>
      <c r="I28" s="209"/>
      <c r="J28" s="316">
        <f>+J26+J27</f>
        <v>126389</v>
      </c>
      <c r="K28" s="142"/>
      <c r="L28" s="29"/>
      <c r="M28" s="29"/>
      <c r="N28" s="29"/>
      <c r="O28" s="29"/>
    </row>
    <row r="29" spans="1:15" ht="12.75" thickTop="1">
      <c r="A29" s="147">
        <f t="shared" si="0"/>
        <v>25</v>
      </c>
      <c r="B29" s="183"/>
      <c r="C29" s="34"/>
      <c r="D29" s="106"/>
      <c r="E29" s="242"/>
      <c r="F29" s="242"/>
      <c r="G29" s="106"/>
      <c r="H29" s="210"/>
      <c r="I29" s="210"/>
      <c r="J29" s="210"/>
      <c r="K29" s="142"/>
      <c r="L29" s="29"/>
      <c r="M29" s="29"/>
      <c r="N29" s="29"/>
      <c r="O29" s="29"/>
    </row>
    <row r="30" spans="1:15" ht="12">
      <c r="A30" s="147">
        <f t="shared" si="0"/>
        <v>26</v>
      </c>
      <c r="B30" s="199" t="s">
        <v>105</v>
      </c>
      <c r="C30" s="239"/>
      <c r="D30" s="239"/>
      <c r="F30" s="33"/>
      <c r="G30" s="33" t="s">
        <v>33</v>
      </c>
      <c r="H30" s="33" t="s">
        <v>118</v>
      </c>
      <c r="I30" s="106"/>
      <c r="J30" s="210"/>
      <c r="K30" s="142"/>
      <c r="L30" s="29"/>
      <c r="M30" s="29"/>
      <c r="N30" s="29"/>
      <c r="O30" s="29"/>
    </row>
    <row r="31" spans="1:15" ht="12">
      <c r="A31" s="147">
        <f t="shared" si="0"/>
        <v>27</v>
      </c>
      <c r="B31" s="200" t="s">
        <v>170</v>
      </c>
      <c r="C31" s="209"/>
      <c r="F31" s="314"/>
      <c r="G31" s="260">
        <v>365</v>
      </c>
      <c r="H31" s="238">
        <v>2200000</v>
      </c>
      <c r="I31" s="281"/>
      <c r="J31" s="160">
        <v>24278.45</v>
      </c>
      <c r="K31" s="142"/>
      <c r="L31" s="29"/>
      <c r="M31" s="344" t="s">
        <v>171</v>
      </c>
      <c r="N31" s="29"/>
      <c r="O31" s="29"/>
    </row>
    <row r="32" spans="1:15" ht="12.75" customHeight="1">
      <c r="A32" s="147">
        <f t="shared" si="0"/>
        <v>28</v>
      </c>
      <c r="B32" s="200"/>
      <c r="C32" s="209"/>
      <c r="F32" s="314"/>
      <c r="G32" s="260"/>
      <c r="H32" s="238"/>
      <c r="I32" s="281"/>
      <c r="J32" s="160"/>
      <c r="K32" s="120"/>
      <c r="L32" s="29"/>
      <c r="M32" s="29"/>
      <c r="N32" s="29"/>
      <c r="O32" s="29"/>
    </row>
    <row r="33" spans="1:19" ht="12.75" customHeight="1" thickBot="1">
      <c r="A33" s="147">
        <f t="shared" si="0"/>
        <v>29</v>
      </c>
      <c r="B33" s="247" t="s">
        <v>119</v>
      </c>
      <c r="C33" s="209"/>
      <c r="D33" s="209"/>
      <c r="E33" s="315"/>
      <c r="F33" s="273"/>
      <c r="G33" s="260"/>
      <c r="H33" s="35"/>
      <c r="I33" s="35"/>
      <c r="J33" s="316">
        <f>SUM(J31:J32)</f>
        <v>24278.45</v>
      </c>
      <c r="K33" s="120"/>
      <c r="L33" s="29"/>
      <c r="M33" s="29"/>
      <c r="N33" s="29"/>
      <c r="O33" s="29"/>
    </row>
    <row r="34" spans="1:19" ht="12.75" customHeight="1" thickTop="1">
      <c r="A34" s="147">
        <f t="shared" si="0"/>
        <v>30</v>
      </c>
      <c r="B34" s="200"/>
      <c r="C34" s="209"/>
      <c r="D34" s="209"/>
      <c r="E34" s="209"/>
      <c r="F34" s="240"/>
      <c r="G34" s="241"/>
      <c r="H34" s="35"/>
      <c r="I34" s="35"/>
      <c r="J34" s="35"/>
      <c r="K34" s="120"/>
      <c r="L34" s="29"/>
      <c r="M34" s="29"/>
      <c r="N34" s="29"/>
      <c r="O34" s="29"/>
    </row>
    <row r="35" spans="1:19" ht="12">
      <c r="A35" s="147">
        <f t="shared" si="0"/>
        <v>31</v>
      </c>
      <c r="B35" s="140"/>
      <c r="C35" s="96"/>
      <c r="D35" s="96"/>
      <c r="H35" s="116"/>
      <c r="I35" s="116"/>
      <c r="J35" s="116"/>
      <c r="K35" s="120"/>
    </row>
    <row r="36" spans="1:19" ht="12.75" thickBot="1">
      <c r="A36" s="147">
        <f t="shared" si="0"/>
        <v>32</v>
      </c>
      <c r="B36" s="95" t="s">
        <v>64</v>
      </c>
      <c r="C36" s="144"/>
      <c r="D36" s="144"/>
      <c r="E36" s="121"/>
      <c r="F36" s="121"/>
      <c r="G36" s="121"/>
      <c r="H36" s="145"/>
      <c r="I36" s="145"/>
      <c r="J36" s="145"/>
      <c r="K36" s="143"/>
      <c r="S36" s="94"/>
    </row>
    <row r="40" spans="1:19">
      <c r="M40" s="364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5"/>
  <sheetViews>
    <sheetView zoomScaleNormal="100" workbookViewId="0">
      <selection activeCell="H33" sqref="H33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94" customWidth="1"/>
  </cols>
  <sheetData>
    <row r="1" spans="1:9" ht="12">
      <c r="B1" s="30" t="s">
        <v>151</v>
      </c>
    </row>
    <row r="2" spans="1:9" ht="12">
      <c r="B2" s="96" t="s">
        <v>83</v>
      </c>
    </row>
    <row r="3" spans="1:9" ht="12">
      <c r="B3" s="340" t="str">
        <f>'New Format'!B5</f>
        <v>For The 12 Months Ending December 31, 2022</v>
      </c>
    </row>
    <row r="4" spans="1:9" ht="12">
      <c r="A4" s="29"/>
      <c r="B4" s="30"/>
      <c r="C4" s="282"/>
      <c r="D4" s="282"/>
      <c r="E4" s="282"/>
      <c r="F4" s="282"/>
      <c r="G4" s="282"/>
      <c r="H4" s="282"/>
    </row>
    <row r="5" spans="1:9" ht="12">
      <c r="A5" s="283" t="s">
        <v>2</v>
      </c>
      <c r="B5" s="283" t="s">
        <v>19</v>
      </c>
      <c r="C5" s="283" t="s">
        <v>34</v>
      </c>
      <c r="D5" s="283" t="s">
        <v>45</v>
      </c>
      <c r="E5" s="283" t="s">
        <v>46</v>
      </c>
      <c r="F5" s="283" t="s">
        <v>47</v>
      </c>
      <c r="G5" s="283" t="s">
        <v>48</v>
      </c>
      <c r="H5" s="283" t="s">
        <v>49</v>
      </c>
    </row>
    <row r="6" spans="1:9" ht="11.25" customHeight="1">
      <c r="A6" s="282"/>
      <c r="B6" s="284"/>
      <c r="C6" s="284"/>
      <c r="D6" s="284"/>
      <c r="E6" s="284"/>
      <c r="F6" s="284"/>
      <c r="G6" s="284"/>
      <c r="H6" s="284"/>
    </row>
    <row r="7" spans="1:9" ht="11.25" customHeight="1">
      <c r="A7" s="147"/>
      <c r="B7" s="127"/>
      <c r="C7" s="251"/>
      <c r="D7" s="251"/>
      <c r="E7" s="251"/>
      <c r="F7" s="251"/>
      <c r="G7" s="251"/>
    </row>
    <row r="8" spans="1:9" ht="11.25" customHeight="1">
      <c r="A8" s="147">
        <v>1</v>
      </c>
      <c r="B8" s="30" t="s">
        <v>6</v>
      </c>
      <c r="C8" s="285" t="s">
        <v>155</v>
      </c>
      <c r="D8" s="285"/>
      <c r="E8" s="285"/>
      <c r="F8" s="285"/>
      <c r="G8" s="285"/>
      <c r="H8" s="282"/>
    </row>
    <row r="9" spans="1:9" ht="11.25" customHeight="1">
      <c r="A9" s="147">
        <f>A8+1</f>
        <v>2</v>
      </c>
      <c r="B9" s="30"/>
      <c r="C9" s="285" t="s">
        <v>156</v>
      </c>
      <c r="D9" s="285"/>
      <c r="E9" s="285"/>
      <c r="F9" s="285"/>
      <c r="G9" s="285"/>
      <c r="H9" s="285" t="s">
        <v>123</v>
      </c>
    </row>
    <row r="10" spans="1:9" ht="11.25" customHeight="1">
      <c r="A10" s="147">
        <f t="shared" ref="A10:A35" si="0">A9+1</f>
        <v>3</v>
      </c>
      <c r="B10" s="96"/>
      <c r="C10" s="286"/>
      <c r="D10" s="286"/>
      <c r="E10" s="286"/>
      <c r="F10" s="286"/>
      <c r="G10" s="286"/>
      <c r="H10" s="286" t="s">
        <v>124</v>
      </c>
    </row>
    <row r="11" spans="1:9" ht="11.25" customHeight="1">
      <c r="A11" s="147">
        <f t="shared" si="0"/>
        <v>4</v>
      </c>
      <c r="B11" s="96"/>
      <c r="C11" s="282"/>
      <c r="D11" s="282"/>
      <c r="H11" s="282"/>
    </row>
    <row r="12" spans="1:9" ht="12">
      <c r="A12" s="147">
        <f t="shared" si="0"/>
        <v>5</v>
      </c>
      <c r="B12" s="282" t="s">
        <v>43</v>
      </c>
      <c r="C12" s="282"/>
      <c r="D12" s="282"/>
      <c r="E12" s="282"/>
      <c r="F12" s="282"/>
      <c r="G12" s="282"/>
      <c r="H12" s="282"/>
    </row>
    <row r="13" spans="1:9" ht="12">
      <c r="A13" s="147">
        <f t="shared" si="0"/>
        <v>6</v>
      </c>
      <c r="B13" s="306" t="s">
        <v>148</v>
      </c>
      <c r="C13" s="304">
        <v>191274.04</v>
      </c>
      <c r="D13" s="304">
        <v>0</v>
      </c>
      <c r="E13" s="304">
        <v>0</v>
      </c>
      <c r="F13" s="304"/>
      <c r="G13" s="304"/>
      <c r="H13" s="29"/>
    </row>
    <row r="14" spans="1:9" ht="12">
      <c r="A14" s="147">
        <f t="shared" si="0"/>
        <v>7</v>
      </c>
      <c r="B14" s="29"/>
      <c r="C14" s="207"/>
      <c r="D14" s="207"/>
      <c r="E14" s="207"/>
      <c r="F14" s="207"/>
      <c r="G14" s="207"/>
      <c r="H14" s="29"/>
    </row>
    <row r="15" spans="1:9" ht="12">
      <c r="A15" s="147">
        <f t="shared" si="0"/>
        <v>8</v>
      </c>
      <c r="B15" s="293">
        <v>44562</v>
      </c>
      <c r="C15" s="207">
        <v>-6595.65</v>
      </c>
      <c r="D15" s="207"/>
      <c r="E15" s="207"/>
      <c r="F15" s="207"/>
      <c r="G15" s="207"/>
      <c r="H15" s="29"/>
    </row>
    <row r="16" spans="1:9" ht="12">
      <c r="A16" s="147">
        <f t="shared" si="0"/>
        <v>9</v>
      </c>
      <c r="B16" s="293">
        <v>44593</v>
      </c>
      <c r="C16" s="207">
        <v>-6595.65</v>
      </c>
      <c r="D16" s="207"/>
      <c r="E16" s="207"/>
      <c r="F16" s="207"/>
      <c r="G16" s="207"/>
      <c r="H16" s="207"/>
      <c r="I16" s="270"/>
    </row>
    <row r="17" spans="1:11" ht="12">
      <c r="A17" s="147">
        <f t="shared" si="0"/>
        <v>10</v>
      </c>
      <c r="B17" s="293">
        <v>44621</v>
      </c>
      <c r="C17" s="207">
        <v>-6595.65</v>
      </c>
      <c r="D17" s="207"/>
      <c r="E17" s="207"/>
      <c r="F17" s="207"/>
      <c r="G17" s="207"/>
      <c r="H17" s="29"/>
    </row>
    <row r="18" spans="1:11" ht="12">
      <c r="A18" s="147">
        <f t="shared" si="0"/>
        <v>11</v>
      </c>
      <c r="B18" s="293">
        <v>44652</v>
      </c>
      <c r="C18" s="207">
        <v>-6595.65</v>
      </c>
      <c r="D18" s="207"/>
      <c r="E18" s="207"/>
      <c r="F18" s="207"/>
      <c r="G18" s="207"/>
      <c r="H18" s="29"/>
      <c r="K18" s="351" t="s">
        <v>163</v>
      </c>
    </row>
    <row r="19" spans="1:11" ht="12">
      <c r="A19" s="147">
        <f t="shared" si="0"/>
        <v>12</v>
      </c>
      <c r="B19" s="293">
        <v>44682</v>
      </c>
      <c r="C19" s="207">
        <v>-6595.65</v>
      </c>
      <c r="D19" s="207"/>
      <c r="E19" s="207"/>
      <c r="F19" s="207"/>
      <c r="G19" s="207"/>
      <c r="H19" s="29"/>
    </row>
    <row r="20" spans="1:11" ht="12">
      <c r="A20" s="147">
        <f t="shared" si="0"/>
        <v>13</v>
      </c>
      <c r="B20" s="293">
        <v>44713</v>
      </c>
      <c r="C20" s="207">
        <v>-6595.65</v>
      </c>
      <c r="D20" s="207"/>
      <c r="E20" s="207"/>
      <c r="F20" s="207"/>
      <c r="G20" s="207"/>
      <c r="H20" s="29"/>
    </row>
    <row r="21" spans="1:11" ht="12">
      <c r="A21" s="147">
        <f t="shared" si="0"/>
        <v>14</v>
      </c>
      <c r="B21" s="293">
        <v>44743</v>
      </c>
      <c r="C21" s="207">
        <v>-6595.65</v>
      </c>
      <c r="D21" s="207"/>
      <c r="E21" s="207"/>
      <c r="F21" s="207"/>
      <c r="G21" s="207"/>
      <c r="H21" s="29"/>
    </row>
    <row r="22" spans="1:11" ht="12">
      <c r="A22" s="147">
        <f t="shared" si="0"/>
        <v>15</v>
      </c>
      <c r="B22" s="293">
        <v>44774</v>
      </c>
      <c r="C22" s="207">
        <v>-6595.65</v>
      </c>
      <c r="D22" s="207"/>
      <c r="E22" s="207"/>
      <c r="F22" s="207"/>
      <c r="G22" s="207"/>
      <c r="H22" s="29"/>
    </row>
    <row r="23" spans="1:11" ht="12">
      <c r="A23" s="147">
        <f t="shared" si="0"/>
        <v>16</v>
      </c>
      <c r="B23" s="293">
        <v>44805</v>
      </c>
      <c r="C23" s="207">
        <v>-6595.65</v>
      </c>
      <c r="D23" s="207"/>
      <c r="E23" s="207"/>
      <c r="F23" s="207"/>
      <c r="G23" s="207"/>
      <c r="H23" s="29"/>
    </row>
    <row r="24" spans="1:11" ht="12">
      <c r="A24" s="147">
        <f t="shared" si="0"/>
        <v>17</v>
      </c>
      <c r="B24" s="293">
        <v>44835</v>
      </c>
      <c r="C24" s="207">
        <v>-6595.65</v>
      </c>
      <c r="D24" s="207"/>
      <c r="E24" s="207"/>
      <c r="F24" s="207"/>
      <c r="G24" s="207"/>
      <c r="H24" s="29"/>
    </row>
    <row r="25" spans="1:11" ht="12">
      <c r="A25" s="147">
        <f t="shared" si="0"/>
        <v>18</v>
      </c>
      <c r="B25" s="293">
        <v>44866</v>
      </c>
      <c r="C25" s="207">
        <v>-6595.65</v>
      </c>
      <c r="D25" s="207"/>
      <c r="E25" s="207"/>
      <c r="F25" s="207"/>
      <c r="G25" s="207"/>
      <c r="H25" s="29"/>
    </row>
    <row r="26" spans="1:11" ht="12.75" thickBot="1">
      <c r="A26" s="147">
        <f t="shared" si="0"/>
        <v>19</v>
      </c>
      <c r="B26" s="293">
        <v>44896</v>
      </c>
      <c r="C26" s="207">
        <v>-14001.79</v>
      </c>
      <c r="D26" s="207"/>
      <c r="E26" s="207"/>
      <c r="F26" s="207"/>
      <c r="G26" s="207"/>
      <c r="H26" s="29"/>
    </row>
    <row r="27" spans="1:11" ht="12.75" thickBot="1">
      <c r="A27" s="147">
        <f t="shared" si="0"/>
        <v>20</v>
      </c>
      <c r="B27" s="339" t="s">
        <v>150</v>
      </c>
      <c r="C27" s="290">
        <f>SUM(C15:C26)</f>
        <v>-86553.94</v>
      </c>
      <c r="D27" s="290">
        <f>SUM(D15:D26)</f>
        <v>0</v>
      </c>
      <c r="E27" s="290">
        <f>SUM(E15:E26)</f>
        <v>0</v>
      </c>
      <c r="F27" s="290">
        <f>SUM(F15:F26)</f>
        <v>0</v>
      </c>
      <c r="G27" s="290">
        <f>SUM(G15:G26)</f>
        <v>0</v>
      </c>
      <c r="H27" s="291">
        <f>SUM(C27:G27)</f>
        <v>-86553.94</v>
      </c>
    </row>
    <row r="28" spans="1:11" ht="12">
      <c r="A28" s="147">
        <f t="shared" si="0"/>
        <v>21</v>
      </c>
      <c r="B28" s="282"/>
      <c r="C28" s="282"/>
      <c r="D28" s="282"/>
      <c r="E28" s="282"/>
      <c r="F28" s="282"/>
      <c r="G28" s="282"/>
      <c r="H28" s="282"/>
    </row>
    <row r="29" spans="1:11" ht="12">
      <c r="A29" s="147">
        <f t="shared" si="0"/>
        <v>22</v>
      </c>
      <c r="B29" s="287" t="s">
        <v>121</v>
      </c>
      <c r="C29" s="207">
        <v>366604.29</v>
      </c>
      <c r="D29" s="207"/>
      <c r="E29" s="207"/>
      <c r="F29" s="207"/>
      <c r="G29" s="207"/>
      <c r="H29" s="29"/>
    </row>
    <row r="30" spans="1:11" ht="12">
      <c r="A30" s="147">
        <f t="shared" si="0"/>
        <v>23</v>
      </c>
      <c r="B30" s="288" t="s">
        <v>122</v>
      </c>
      <c r="D30" s="207"/>
      <c r="E30" s="207"/>
      <c r="F30" s="207"/>
      <c r="G30" s="207"/>
      <c r="H30" s="29"/>
    </row>
    <row r="31" spans="1:11" ht="12.75" thickBot="1">
      <c r="A31" s="147">
        <f t="shared" si="0"/>
        <v>24</v>
      </c>
      <c r="B31" s="29" t="s">
        <v>44</v>
      </c>
      <c r="C31" s="292">
        <f>C13+C27+C29+C30</f>
        <v>471324.39</v>
      </c>
      <c r="D31" s="292">
        <f>D13+D27+D29+D30</f>
        <v>0</v>
      </c>
      <c r="E31" s="292">
        <f>E13+E27+E29+E30</f>
        <v>0</v>
      </c>
      <c r="F31" s="292">
        <f>F13+F27+F29+F30</f>
        <v>0</v>
      </c>
      <c r="G31" s="292">
        <f>G13+G27+G29+G30</f>
        <v>0</v>
      </c>
      <c r="H31" s="29"/>
    </row>
    <row r="32" spans="1:11" ht="12.75" thickTop="1">
      <c r="A32" s="147">
        <f t="shared" si="0"/>
        <v>25</v>
      </c>
      <c r="B32" s="30"/>
      <c r="C32" s="282"/>
      <c r="D32" s="282"/>
      <c r="E32" s="282"/>
      <c r="F32" s="282"/>
      <c r="G32" s="282"/>
      <c r="H32" s="282"/>
    </row>
    <row r="33" spans="1:9" ht="12">
      <c r="A33" s="147">
        <f t="shared" si="0"/>
        <v>26</v>
      </c>
      <c r="B33" s="30" t="s">
        <v>141</v>
      </c>
      <c r="C33" s="207"/>
      <c r="D33" s="207"/>
      <c r="E33" s="207"/>
      <c r="F33" s="207"/>
      <c r="G33" s="207"/>
      <c r="H33" s="363">
        <f>'New Format'!C30</f>
        <v>808685319</v>
      </c>
    </row>
    <row r="34" spans="1:9" ht="12">
      <c r="A34" s="147">
        <f t="shared" si="0"/>
        <v>27</v>
      </c>
      <c r="B34" s="29"/>
      <c r="C34" s="289"/>
      <c r="D34" s="289"/>
      <c r="E34" s="289"/>
      <c r="F34" s="289"/>
      <c r="G34" s="289"/>
      <c r="H34" s="29"/>
    </row>
    <row r="35" spans="1:9" ht="12">
      <c r="A35" s="147">
        <f t="shared" si="0"/>
        <v>28</v>
      </c>
      <c r="B35" s="30" t="s">
        <v>142</v>
      </c>
      <c r="C35" s="29"/>
      <c r="D35" s="29"/>
      <c r="E35" s="29"/>
      <c r="F35" s="29"/>
      <c r="G35" s="29"/>
      <c r="H35" s="308">
        <f>ROUND(-H27/H33,4)</f>
        <v>1E-4</v>
      </c>
      <c r="I35" s="320"/>
    </row>
    <row r="36" spans="1:9">
      <c r="A36" s="147"/>
    </row>
    <row r="37" spans="1:9">
      <c r="A37" s="147"/>
    </row>
    <row r="38" spans="1:9">
      <c r="A38" s="147"/>
      <c r="B38" s="167"/>
    </row>
    <row r="39" spans="1:9">
      <c r="A39" s="147"/>
    </row>
    <row r="40" spans="1:9">
      <c r="A40" s="147"/>
    </row>
    <row r="41" spans="1:9">
      <c r="A41" s="147"/>
    </row>
    <row r="42" spans="1:9">
      <c r="A42" s="147"/>
    </row>
    <row r="43" spans="1:9">
      <c r="A43" s="147"/>
      <c r="B43" s="106"/>
    </row>
    <row r="44" spans="1:9">
      <c r="A44" s="147"/>
    </row>
    <row r="45" spans="1:9">
      <c r="A45" s="147"/>
    </row>
    <row r="46" spans="1:9">
      <c r="A46" s="147"/>
      <c r="B46" s="127"/>
    </row>
    <row r="47" spans="1:9">
      <c r="A47" s="147"/>
    </row>
    <row r="48" spans="1:9">
      <c r="A48" s="147"/>
    </row>
    <row r="49" spans="1:2">
      <c r="A49" s="147"/>
    </row>
    <row r="50" spans="1:2">
      <c r="A50" s="147"/>
    </row>
    <row r="51" spans="1:2">
      <c r="A51" s="147"/>
    </row>
    <row r="52" spans="1:2">
      <c r="A52" s="147"/>
    </row>
    <row r="53" spans="1:2">
      <c r="A53" s="147"/>
      <c r="B53" s="126"/>
    </row>
    <row r="54" spans="1:2">
      <c r="A54" s="147"/>
      <c r="B54" s="126"/>
    </row>
    <row r="55" spans="1:2">
      <c r="A55" s="147"/>
      <c r="B55" s="127"/>
    </row>
  </sheetData>
  <phoneticPr fontId="24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F32" sqref="F32"/>
      <selection pane="topRight" activeCell="F32" sqref="F32"/>
      <selection pane="bottomLeft" activeCell="F32" sqref="F32"/>
      <selection pane="bottomRight" activeCell="F31" activeCellId="1" sqref="I26 F31:G31"/>
    </sheetView>
  </sheetViews>
  <sheetFormatPr defaultColWidth="8.83203125" defaultRowHeight="12.75" outlineLevelCol="1"/>
  <cols>
    <col min="1" max="1" width="6" style="20" customWidth="1"/>
    <col min="2" max="4" width="12.5" style="18" customWidth="1"/>
    <col min="5" max="5" width="20.1640625" style="18" customWidth="1"/>
    <col min="6" max="6" width="10" style="21" customWidth="1"/>
    <col min="7" max="7" width="9.83203125" style="18" customWidth="1"/>
    <col min="8" max="8" width="8" style="18" customWidth="1"/>
    <col min="9" max="9" width="7.83203125" style="21" customWidth="1"/>
    <col min="10" max="11" width="9.1640625" style="18" customWidth="1"/>
    <col min="12" max="12" width="9.83203125" style="18" customWidth="1"/>
    <col min="13" max="13" width="9.1640625" style="18" customWidth="1"/>
    <col min="14" max="14" width="9.83203125" style="18" customWidth="1"/>
    <col min="15" max="22" width="8.83203125" style="18" customWidth="1"/>
    <col min="23" max="23" width="3.6640625" style="18" customWidth="1"/>
    <col min="24" max="24" width="10.6640625" style="18" customWidth="1" outlineLevel="1"/>
    <col min="25" max="25" width="12.33203125" style="18" customWidth="1" outlineLevel="1"/>
    <col min="26" max="26" width="14.6640625" style="18" customWidth="1" outlineLevel="1"/>
    <col min="27" max="27" width="12.6640625" style="18" customWidth="1"/>
    <col min="28" max="28" width="8.83203125" style="18"/>
    <col min="29" max="30" width="10.83203125" style="18" bestFit="1" customWidth="1"/>
    <col min="31" max="16384" width="8.83203125" style="18"/>
  </cols>
  <sheetData>
    <row r="1" spans="1:26" ht="12.75" customHeight="1">
      <c r="A1" s="175" t="s">
        <v>152</v>
      </c>
      <c r="B1" s="122"/>
      <c r="C1" s="122"/>
      <c r="D1" s="122"/>
      <c r="E1" s="123"/>
      <c r="F1" s="122"/>
      <c r="G1" s="122"/>
      <c r="H1" s="122"/>
      <c r="I1" s="122"/>
    </row>
    <row r="2" spans="1:26" s="336" customFormat="1" ht="12.75" customHeight="1">
      <c r="A2" s="202" t="str">
        <f>'New Format'!B5</f>
        <v>For The 12 Months Ending December 31, 2022</v>
      </c>
      <c r="B2" s="333"/>
      <c r="C2" s="333"/>
      <c r="D2" s="333"/>
      <c r="E2" s="334"/>
      <c r="F2" s="333"/>
      <c r="G2" s="333"/>
      <c r="H2" s="334"/>
      <c r="I2" s="333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26" s="48" customFormat="1" ht="12.75" customHeight="1">
      <c r="A3" s="202"/>
      <c r="B3" s="124"/>
      <c r="C3" s="124"/>
      <c r="D3" s="124"/>
      <c r="E3" s="125"/>
      <c r="F3" s="124"/>
      <c r="G3" s="124"/>
      <c r="H3" s="125"/>
      <c r="I3" s="124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6" ht="11.1" customHeight="1">
      <c r="A4" s="137" t="s">
        <v>2</v>
      </c>
      <c r="B4" s="137" t="s">
        <v>19</v>
      </c>
      <c r="C4" s="137" t="s">
        <v>34</v>
      </c>
      <c r="D4" s="137" t="s">
        <v>45</v>
      </c>
      <c r="E4" s="137" t="s">
        <v>46</v>
      </c>
      <c r="F4" s="137" t="s">
        <v>47</v>
      </c>
      <c r="G4" s="137" t="s">
        <v>48</v>
      </c>
      <c r="H4" s="137" t="s">
        <v>49</v>
      </c>
      <c r="I4" s="137" t="s">
        <v>50</v>
      </c>
      <c r="J4" s="137" t="s">
        <v>52</v>
      </c>
      <c r="K4" s="137" t="s">
        <v>53</v>
      </c>
      <c r="L4" s="137" t="s">
        <v>54</v>
      </c>
      <c r="M4" s="137" t="s">
        <v>55</v>
      </c>
      <c r="N4" s="137" t="s">
        <v>56</v>
      </c>
      <c r="O4" s="137" t="s">
        <v>57</v>
      </c>
      <c r="P4" s="137" t="s">
        <v>68</v>
      </c>
      <c r="Q4" s="137" t="s">
        <v>69</v>
      </c>
      <c r="R4" s="137" t="s">
        <v>70</v>
      </c>
      <c r="S4" s="137" t="s">
        <v>71</v>
      </c>
      <c r="T4" s="137" t="s">
        <v>72</v>
      </c>
      <c r="U4" s="137" t="s">
        <v>73</v>
      </c>
      <c r="V4" s="137" t="s">
        <v>125</v>
      </c>
      <c r="W4" s="137"/>
      <c r="X4" s="294" t="s">
        <v>131</v>
      </c>
    </row>
    <row r="5" spans="1:26" ht="33.75">
      <c r="A5" s="102">
        <v>1</v>
      </c>
      <c r="B5" s="267" t="s">
        <v>100</v>
      </c>
      <c r="C5" s="267" t="s">
        <v>80</v>
      </c>
      <c r="D5" s="267" t="s">
        <v>38</v>
      </c>
      <c r="E5" s="267" t="s">
        <v>82</v>
      </c>
      <c r="F5" s="267" t="s">
        <v>94</v>
      </c>
      <c r="G5" s="267" t="s">
        <v>65</v>
      </c>
      <c r="H5" s="267" t="s">
        <v>75</v>
      </c>
      <c r="I5" s="267" t="s">
        <v>61</v>
      </c>
      <c r="J5" s="268">
        <f>'Pg 2 CapStructure'!C6</f>
        <v>44561</v>
      </c>
      <c r="K5" s="268">
        <f>'Pg 2 CapStructure'!D6</f>
        <v>44592</v>
      </c>
      <c r="L5" s="268">
        <f>'Pg 2 CapStructure'!E6</f>
        <v>44620</v>
      </c>
      <c r="M5" s="268">
        <f>'Pg 2 CapStructure'!F6</f>
        <v>44651</v>
      </c>
      <c r="N5" s="268">
        <f>'Pg 2 CapStructure'!G6</f>
        <v>44681</v>
      </c>
      <c r="O5" s="268">
        <f>'Pg 2 CapStructure'!H6</f>
        <v>44712</v>
      </c>
      <c r="P5" s="268">
        <f>'Pg 2 CapStructure'!I6</f>
        <v>44742</v>
      </c>
      <c r="Q5" s="268">
        <f>'Pg 2 CapStructure'!J6</f>
        <v>44773</v>
      </c>
      <c r="R5" s="268">
        <f>'Pg 2 CapStructure'!K6</f>
        <v>44804</v>
      </c>
      <c r="S5" s="268">
        <f>'Pg 2 CapStructure'!L6</f>
        <v>44834</v>
      </c>
      <c r="T5" s="268">
        <f>'Pg 2 CapStructure'!M6</f>
        <v>44865</v>
      </c>
      <c r="U5" s="268">
        <f>'Pg 2 CapStructure'!N6</f>
        <v>44895</v>
      </c>
      <c r="V5" s="268">
        <f>'Pg 2 CapStructure'!O6</f>
        <v>44926</v>
      </c>
      <c r="W5" s="268"/>
      <c r="X5" s="295" t="s">
        <v>27</v>
      </c>
      <c r="Y5" s="295" t="s">
        <v>132</v>
      </c>
    </row>
    <row r="6" spans="1:26" s="22" customFormat="1">
      <c r="A6" s="102">
        <v>2</v>
      </c>
      <c r="B6" s="106" t="s">
        <v>154</v>
      </c>
      <c r="C6" s="353">
        <v>7.4800000000000005E-2</v>
      </c>
      <c r="D6" s="354">
        <v>35688</v>
      </c>
      <c r="E6" s="354">
        <v>46645</v>
      </c>
      <c r="F6" s="205">
        <f t="shared" ref="F6:F22" si="0">ROUND(((J6+V6)+(SUM(K6:U6)*2))/24,0)</f>
        <v>20000000</v>
      </c>
      <c r="G6" s="355">
        <v>98.99</v>
      </c>
      <c r="H6" s="138">
        <f>ROUND(YIELD(D6,E6,C6,G6,100,2,2),4)</f>
        <v>7.5700000000000003E-2</v>
      </c>
      <c r="I6" s="205">
        <f>ROUND(+H6*F6,0)</f>
        <v>1514000</v>
      </c>
      <c r="J6" s="352">
        <v>20000000</v>
      </c>
      <c r="K6" s="352">
        <v>20000000</v>
      </c>
      <c r="L6" s="352">
        <v>20000000</v>
      </c>
      <c r="M6" s="352">
        <v>20000000</v>
      </c>
      <c r="N6" s="352">
        <v>20000000</v>
      </c>
      <c r="O6" s="352">
        <v>20000000</v>
      </c>
      <c r="P6" s="352">
        <v>20000000</v>
      </c>
      <c r="Q6" s="352">
        <v>20000000</v>
      </c>
      <c r="R6" s="352">
        <v>20000000</v>
      </c>
      <c r="S6" s="352">
        <v>20000000</v>
      </c>
      <c r="T6" s="352">
        <v>20000000</v>
      </c>
      <c r="U6" s="352">
        <v>20000000</v>
      </c>
      <c r="V6" s="352">
        <v>20000000</v>
      </c>
      <c r="W6" s="205"/>
      <c r="X6" s="205">
        <f>H6*V6</f>
        <v>1514000</v>
      </c>
    </row>
    <row r="7" spans="1:26" s="22" customFormat="1">
      <c r="A7" s="102">
        <v>3</v>
      </c>
      <c r="B7" s="106" t="s">
        <v>154</v>
      </c>
      <c r="C7" s="353">
        <v>7.0980000000000001E-2</v>
      </c>
      <c r="D7" s="354">
        <v>36235</v>
      </c>
      <c r="E7" s="354">
        <v>47193</v>
      </c>
      <c r="F7" s="205">
        <f t="shared" si="0"/>
        <v>15000000</v>
      </c>
      <c r="G7" s="355">
        <v>98.99</v>
      </c>
      <c r="H7" s="138">
        <f>ROUND(YIELD(D7,E7,C7,G7,100,2,2),4)</f>
        <v>7.1800000000000003E-2</v>
      </c>
      <c r="I7" s="205">
        <f>ROUND(+H7*F7,0)</f>
        <v>1077000</v>
      </c>
      <c r="J7" s="352">
        <v>15000000</v>
      </c>
      <c r="K7" s="352">
        <v>15000000</v>
      </c>
      <c r="L7" s="352">
        <v>15000000</v>
      </c>
      <c r="M7" s="352">
        <v>15000000</v>
      </c>
      <c r="N7" s="352">
        <v>15000000</v>
      </c>
      <c r="O7" s="352">
        <v>15000000</v>
      </c>
      <c r="P7" s="352">
        <v>15000000</v>
      </c>
      <c r="Q7" s="352">
        <v>15000000</v>
      </c>
      <c r="R7" s="352">
        <v>15000000</v>
      </c>
      <c r="S7" s="352">
        <v>15000000</v>
      </c>
      <c r="T7" s="352">
        <v>15000000</v>
      </c>
      <c r="U7" s="352">
        <v>15000000</v>
      </c>
      <c r="V7" s="352">
        <v>15000000</v>
      </c>
      <c r="W7" s="205"/>
      <c r="X7" s="205">
        <f t="shared" ref="X7:X22" si="1">H7*V7</f>
        <v>1077000</v>
      </c>
    </row>
    <row r="8" spans="1:26" s="22" customFormat="1">
      <c r="A8" s="102">
        <v>4</v>
      </c>
      <c r="B8" s="106" t="s">
        <v>76</v>
      </c>
      <c r="C8" s="353">
        <v>5.79E-2</v>
      </c>
      <c r="D8" s="354">
        <v>39149</v>
      </c>
      <c r="E8" s="354">
        <v>50107</v>
      </c>
      <c r="F8" s="205">
        <f t="shared" si="0"/>
        <v>40000000</v>
      </c>
      <c r="G8" s="355">
        <v>99.42</v>
      </c>
      <c r="H8" s="138">
        <f>ROUND(YIELD(D8,E8,C8,G8,100,2,2),4)</f>
        <v>5.8299999999999998E-2</v>
      </c>
      <c r="I8" s="205">
        <f>ROUND(+H8*F8,0)</f>
        <v>2332000</v>
      </c>
      <c r="J8" s="352">
        <v>40000000</v>
      </c>
      <c r="K8" s="352">
        <v>40000000</v>
      </c>
      <c r="L8" s="352">
        <v>40000000</v>
      </c>
      <c r="M8" s="352">
        <v>40000000</v>
      </c>
      <c r="N8" s="352">
        <v>40000000</v>
      </c>
      <c r="O8" s="352">
        <v>40000000</v>
      </c>
      <c r="P8" s="352">
        <v>40000000</v>
      </c>
      <c r="Q8" s="352">
        <v>40000000</v>
      </c>
      <c r="R8" s="352">
        <v>40000000</v>
      </c>
      <c r="S8" s="352">
        <v>40000000</v>
      </c>
      <c r="T8" s="352">
        <v>40000000</v>
      </c>
      <c r="U8" s="352">
        <v>40000000</v>
      </c>
      <c r="V8" s="352">
        <v>40000000</v>
      </c>
      <c r="W8" s="205"/>
      <c r="X8" s="205">
        <f t="shared" si="1"/>
        <v>2332000</v>
      </c>
    </row>
    <row r="9" spans="1:26">
      <c r="A9" s="102">
        <v>5</v>
      </c>
      <c r="B9" s="106" t="s">
        <v>76</v>
      </c>
      <c r="C9" s="353">
        <v>4.1099999999999998E-2</v>
      </c>
      <c r="D9" s="354">
        <v>41509</v>
      </c>
      <c r="E9" s="354">
        <v>45892</v>
      </c>
      <c r="F9" s="205">
        <f t="shared" si="0"/>
        <v>25000000</v>
      </c>
      <c r="G9" s="355">
        <v>99.4</v>
      </c>
      <c r="H9" s="138">
        <f>ROUND(YIELD(D9,E9,C9,G9,100,2,2),4)</f>
        <v>4.1700000000000001E-2</v>
      </c>
      <c r="I9" s="205">
        <f>ROUND(+H9*F9,0)</f>
        <v>1042500</v>
      </c>
      <c r="J9" s="352">
        <v>25000000</v>
      </c>
      <c r="K9" s="352">
        <v>25000000</v>
      </c>
      <c r="L9" s="352">
        <v>25000000</v>
      </c>
      <c r="M9" s="352">
        <v>25000000</v>
      </c>
      <c r="N9" s="352">
        <v>25000000</v>
      </c>
      <c r="O9" s="352">
        <v>25000000</v>
      </c>
      <c r="P9" s="352">
        <v>25000000</v>
      </c>
      <c r="Q9" s="352">
        <v>25000000</v>
      </c>
      <c r="R9" s="352">
        <v>25000000</v>
      </c>
      <c r="S9" s="352">
        <v>25000000</v>
      </c>
      <c r="T9" s="352">
        <v>25000000</v>
      </c>
      <c r="U9" s="352">
        <v>25000000</v>
      </c>
      <c r="V9" s="352">
        <v>25000000</v>
      </c>
      <c r="W9" s="205"/>
      <c r="X9" s="205">
        <f t="shared" si="1"/>
        <v>1042500</v>
      </c>
      <c r="Y9" s="22"/>
    </row>
    <row r="10" spans="1:26">
      <c r="A10" s="102">
        <v>6</v>
      </c>
      <c r="B10" s="106" t="s">
        <v>76</v>
      </c>
      <c r="C10" s="353">
        <v>4.36E-2</v>
      </c>
      <c r="D10" s="354">
        <v>41509</v>
      </c>
      <c r="E10" s="354">
        <v>46988</v>
      </c>
      <c r="F10" s="205">
        <f t="shared" si="0"/>
        <v>25000000</v>
      </c>
      <c r="G10" s="355">
        <v>99.4</v>
      </c>
      <c r="H10" s="138">
        <f t="shared" ref="H10:H22" si="2">ROUND(YIELD(D10,E10,C10,G10,100,2,2),4)</f>
        <v>4.4200000000000003E-2</v>
      </c>
      <c r="I10" s="205">
        <f t="shared" ref="I10:I22" si="3">ROUND(+H10*F10,0)</f>
        <v>1105000</v>
      </c>
      <c r="J10" s="352">
        <v>25000000</v>
      </c>
      <c r="K10" s="352">
        <v>25000000</v>
      </c>
      <c r="L10" s="352">
        <v>25000000</v>
      </c>
      <c r="M10" s="352">
        <v>25000000</v>
      </c>
      <c r="N10" s="352">
        <v>25000000</v>
      </c>
      <c r="O10" s="352">
        <v>25000000</v>
      </c>
      <c r="P10" s="352">
        <v>25000000</v>
      </c>
      <c r="Q10" s="352">
        <v>25000000</v>
      </c>
      <c r="R10" s="352">
        <v>25000000</v>
      </c>
      <c r="S10" s="352">
        <v>25000000</v>
      </c>
      <c r="T10" s="352">
        <v>25000000</v>
      </c>
      <c r="U10" s="352">
        <v>25000000</v>
      </c>
      <c r="V10" s="352">
        <v>25000000</v>
      </c>
      <c r="W10" s="205"/>
      <c r="X10" s="205">
        <f t="shared" si="1"/>
        <v>1105000</v>
      </c>
    </row>
    <row r="11" spans="1:26">
      <c r="A11" s="102">
        <v>7</v>
      </c>
      <c r="B11" s="106" t="s">
        <v>76</v>
      </c>
      <c r="C11" s="353">
        <v>4.0899999999999999E-2</v>
      </c>
      <c r="D11" s="354">
        <v>41967</v>
      </c>
      <c r="E11" s="354">
        <v>52925</v>
      </c>
      <c r="F11" s="205">
        <f t="shared" si="0"/>
        <v>12500000</v>
      </c>
      <c r="G11" s="355">
        <v>99.5</v>
      </c>
      <c r="H11" s="138">
        <f t="shared" si="2"/>
        <v>4.1200000000000001E-2</v>
      </c>
      <c r="I11" s="205">
        <f t="shared" si="3"/>
        <v>515000</v>
      </c>
      <c r="J11" s="352">
        <v>12500000</v>
      </c>
      <c r="K11" s="352">
        <v>12500000</v>
      </c>
      <c r="L11" s="352">
        <v>12500000</v>
      </c>
      <c r="M11" s="352">
        <v>12500000</v>
      </c>
      <c r="N11" s="352">
        <v>12500000</v>
      </c>
      <c r="O11" s="352">
        <v>12500000</v>
      </c>
      <c r="P11" s="352">
        <v>12500000</v>
      </c>
      <c r="Q11" s="352">
        <v>12500000</v>
      </c>
      <c r="R11" s="352">
        <v>12500000</v>
      </c>
      <c r="S11" s="352">
        <v>12500000</v>
      </c>
      <c r="T11" s="352">
        <v>12500000</v>
      </c>
      <c r="U11" s="352">
        <v>12500000</v>
      </c>
      <c r="V11" s="352">
        <v>12500000</v>
      </c>
      <c r="W11" s="205"/>
      <c r="X11" s="205">
        <f t="shared" si="1"/>
        <v>515000</v>
      </c>
    </row>
    <row r="12" spans="1:26">
      <c r="A12" s="102">
        <v>8</v>
      </c>
      <c r="B12" s="106" t="s">
        <v>76</v>
      </c>
      <c r="C12" s="353">
        <v>4.24E-2</v>
      </c>
      <c r="D12" s="354">
        <v>41967</v>
      </c>
      <c r="E12" s="354">
        <v>56577</v>
      </c>
      <c r="F12" s="205">
        <f t="shared" si="0"/>
        <v>12500000</v>
      </c>
      <c r="G12" s="355">
        <v>99.51</v>
      </c>
      <c r="H12" s="138">
        <f t="shared" si="2"/>
        <v>4.2700000000000002E-2</v>
      </c>
      <c r="I12" s="205">
        <f t="shared" si="3"/>
        <v>533750</v>
      </c>
      <c r="J12" s="352">
        <v>12500000</v>
      </c>
      <c r="K12" s="352">
        <v>12500000</v>
      </c>
      <c r="L12" s="352">
        <v>12500000</v>
      </c>
      <c r="M12" s="352">
        <v>12500000</v>
      </c>
      <c r="N12" s="352">
        <v>12500000</v>
      </c>
      <c r="O12" s="352">
        <v>12500000</v>
      </c>
      <c r="P12" s="352">
        <v>12500000</v>
      </c>
      <c r="Q12" s="352">
        <v>12500000</v>
      </c>
      <c r="R12" s="352">
        <v>12500000</v>
      </c>
      <c r="S12" s="352">
        <v>12500000</v>
      </c>
      <c r="T12" s="352">
        <v>12500000</v>
      </c>
      <c r="U12" s="352">
        <v>12500000</v>
      </c>
      <c r="V12" s="352">
        <v>12500000</v>
      </c>
      <c r="W12" s="205"/>
      <c r="X12" s="205">
        <f t="shared" si="1"/>
        <v>533750</v>
      </c>
    </row>
    <row r="13" spans="1:26">
      <c r="A13" s="102">
        <v>9</v>
      </c>
      <c r="B13" s="106" t="s">
        <v>76</v>
      </c>
      <c r="C13" s="353">
        <v>4.0899999999999999E-2</v>
      </c>
      <c r="D13" s="354">
        <v>42019</v>
      </c>
      <c r="E13" s="354">
        <v>52977</v>
      </c>
      <c r="F13" s="205">
        <f t="shared" si="0"/>
        <v>12500000</v>
      </c>
      <c r="G13" s="355">
        <v>99.5</v>
      </c>
      <c r="H13" s="138">
        <f t="shared" si="2"/>
        <v>4.1200000000000001E-2</v>
      </c>
      <c r="I13" s="205">
        <f t="shared" si="3"/>
        <v>515000</v>
      </c>
      <c r="J13" s="352">
        <v>12500000</v>
      </c>
      <c r="K13" s="352">
        <v>12500000</v>
      </c>
      <c r="L13" s="352">
        <v>12500000</v>
      </c>
      <c r="M13" s="352">
        <v>12500000</v>
      </c>
      <c r="N13" s="352">
        <v>12500000</v>
      </c>
      <c r="O13" s="352">
        <v>12500000</v>
      </c>
      <c r="P13" s="352">
        <v>12500000</v>
      </c>
      <c r="Q13" s="352">
        <v>12500000</v>
      </c>
      <c r="R13" s="352">
        <v>12500000</v>
      </c>
      <c r="S13" s="352">
        <v>12500000</v>
      </c>
      <c r="T13" s="352">
        <v>12500000</v>
      </c>
      <c r="U13" s="352">
        <v>12500000</v>
      </c>
      <c r="V13" s="352">
        <v>12500000</v>
      </c>
      <c r="W13" s="205"/>
      <c r="X13" s="205">
        <f t="shared" si="1"/>
        <v>515000</v>
      </c>
    </row>
    <row r="14" spans="1:26">
      <c r="A14" s="102">
        <v>10</v>
      </c>
      <c r="B14" s="106" t="s">
        <v>76</v>
      </c>
      <c r="C14" s="353">
        <v>4.24E-2</v>
      </c>
      <c r="D14" s="354">
        <v>42019</v>
      </c>
      <c r="E14" s="354">
        <v>56629</v>
      </c>
      <c r="F14" s="205">
        <f t="shared" si="0"/>
        <v>12500000</v>
      </c>
      <c r="G14" s="355">
        <v>99.51</v>
      </c>
      <c r="H14" s="138">
        <f t="shared" si="2"/>
        <v>4.2700000000000002E-2</v>
      </c>
      <c r="I14" s="205">
        <f t="shared" si="3"/>
        <v>533750</v>
      </c>
      <c r="J14" s="352">
        <v>12500000</v>
      </c>
      <c r="K14" s="352">
        <v>12500000</v>
      </c>
      <c r="L14" s="352">
        <v>12500000</v>
      </c>
      <c r="M14" s="352">
        <v>12500000</v>
      </c>
      <c r="N14" s="352">
        <v>12500000</v>
      </c>
      <c r="O14" s="352">
        <v>12500000</v>
      </c>
      <c r="P14" s="352">
        <v>12500000</v>
      </c>
      <c r="Q14" s="352">
        <v>12500000</v>
      </c>
      <c r="R14" s="352">
        <v>12500000</v>
      </c>
      <c r="S14" s="352">
        <v>12500000</v>
      </c>
      <c r="T14" s="352">
        <v>12500000</v>
      </c>
      <c r="U14" s="352">
        <v>12500000</v>
      </c>
      <c r="V14" s="352">
        <v>12500000</v>
      </c>
      <c r="W14" s="205"/>
      <c r="X14" s="205">
        <f t="shared" si="1"/>
        <v>533750</v>
      </c>
      <c r="Z14" s="356" t="s">
        <v>164</v>
      </c>
    </row>
    <row r="15" spans="1:26">
      <c r="A15" s="102">
        <v>11</v>
      </c>
      <c r="B15" s="106" t="s">
        <v>76</v>
      </c>
      <c r="C15" s="353">
        <v>3.6200000000000003E-2</v>
      </c>
      <c r="D15" s="354">
        <v>43629</v>
      </c>
      <c r="E15" s="354">
        <v>47282</v>
      </c>
      <c r="F15" s="205">
        <f t="shared" si="0"/>
        <v>25000000</v>
      </c>
      <c r="G15" s="355">
        <v>99.49</v>
      </c>
      <c r="H15" s="138">
        <f t="shared" si="2"/>
        <v>3.6799999999999999E-2</v>
      </c>
      <c r="I15" s="205">
        <f t="shared" si="3"/>
        <v>920000</v>
      </c>
      <c r="J15" s="352">
        <v>25000000</v>
      </c>
      <c r="K15" s="352">
        <v>25000000</v>
      </c>
      <c r="L15" s="352">
        <v>25000000</v>
      </c>
      <c r="M15" s="352">
        <v>25000000</v>
      </c>
      <c r="N15" s="352">
        <v>25000000</v>
      </c>
      <c r="O15" s="352">
        <v>25000000</v>
      </c>
      <c r="P15" s="352">
        <v>25000000</v>
      </c>
      <c r="Q15" s="352">
        <v>25000000</v>
      </c>
      <c r="R15" s="352">
        <v>25000000</v>
      </c>
      <c r="S15" s="352">
        <v>25000000</v>
      </c>
      <c r="T15" s="352">
        <v>25000000</v>
      </c>
      <c r="U15" s="352">
        <v>25000000</v>
      </c>
      <c r="V15" s="352">
        <v>25000000</v>
      </c>
      <c r="W15" s="205"/>
      <c r="X15" s="205">
        <f t="shared" si="1"/>
        <v>920000</v>
      </c>
      <c r="Z15" s="356" t="s">
        <v>165</v>
      </c>
    </row>
    <row r="16" spans="1:26">
      <c r="A16" s="102">
        <v>12</v>
      </c>
      <c r="B16" s="106" t="s">
        <v>76</v>
      </c>
      <c r="C16" s="353">
        <v>3.8199999999999998E-2</v>
      </c>
      <c r="D16" s="354">
        <v>43629</v>
      </c>
      <c r="E16" s="354">
        <v>49108</v>
      </c>
      <c r="F16" s="205">
        <f t="shared" si="0"/>
        <v>20000000</v>
      </c>
      <c r="G16" s="355">
        <v>99.49</v>
      </c>
      <c r="H16" s="138">
        <f t="shared" si="2"/>
        <v>3.8699999999999998E-2</v>
      </c>
      <c r="I16" s="205">
        <f t="shared" si="3"/>
        <v>774000</v>
      </c>
      <c r="J16" s="352">
        <v>20000000</v>
      </c>
      <c r="K16" s="352">
        <v>20000000</v>
      </c>
      <c r="L16" s="352">
        <v>20000000</v>
      </c>
      <c r="M16" s="352">
        <v>20000000</v>
      </c>
      <c r="N16" s="352">
        <v>20000000</v>
      </c>
      <c r="O16" s="352">
        <v>20000000</v>
      </c>
      <c r="P16" s="352">
        <v>20000000</v>
      </c>
      <c r="Q16" s="352">
        <v>20000000</v>
      </c>
      <c r="R16" s="352">
        <v>20000000</v>
      </c>
      <c r="S16" s="352">
        <v>20000000</v>
      </c>
      <c r="T16" s="352">
        <v>20000000</v>
      </c>
      <c r="U16" s="352">
        <v>20000000</v>
      </c>
      <c r="V16" s="352">
        <v>20000000</v>
      </c>
      <c r="W16" s="205"/>
      <c r="X16" s="205">
        <f t="shared" si="1"/>
        <v>774000</v>
      </c>
    </row>
    <row r="17" spans="1:25">
      <c r="A17" s="102">
        <v>13</v>
      </c>
      <c r="B17" s="106" t="s">
        <v>76</v>
      </c>
      <c r="C17" s="353">
        <v>4.2599999999999999E-2</v>
      </c>
      <c r="D17" s="354">
        <v>43629</v>
      </c>
      <c r="E17" s="354">
        <v>54587</v>
      </c>
      <c r="F17" s="205">
        <f t="shared" si="0"/>
        <v>30000000</v>
      </c>
      <c r="G17" s="355">
        <v>99.49</v>
      </c>
      <c r="H17" s="138">
        <f t="shared" si="2"/>
        <v>4.2900000000000001E-2</v>
      </c>
      <c r="I17" s="205">
        <f t="shared" si="3"/>
        <v>1287000</v>
      </c>
      <c r="J17" s="352">
        <v>30000000</v>
      </c>
      <c r="K17" s="352">
        <v>30000000</v>
      </c>
      <c r="L17" s="352">
        <v>30000000</v>
      </c>
      <c r="M17" s="352">
        <v>30000000</v>
      </c>
      <c r="N17" s="352">
        <v>30000000</v>
      </c>
      <c r="O17" s="352">
        <v>30000000</v>
      </c>
      <c r="P17" s="352">
        <v>30000000</v>
      </c>
      <c r="Q17" s="352">
        <v>30000000</v>
      </c>
      <c r="R17" s="352">
        <v>30000000</v>
      </c>
      <c r="S17" s="352">
        <v>30000000</v>
      </c>
      <c r="T17" s="352">
        <v>30000000</v>
      </c>
      <c r="U17" s="352">
        <v>30000000</v>
      </c>
      <c r="V17" s="352">
        <v>30000000</v>
      </c>
      <c r="W17" s="205"/>
      <c r="X17" s="205">
        <f t="shared" si="1"/>
        <v>1287000</v>
      </c>
    </row>
    <row r="18" spans="1:25">
      <c r="A18" s="102">
        <v>14</v>
      </c>
      <c r="B18" s="106" t="s">
        <v>76</v>
      </c>
      <c r="C18" s="353">
        <v>3.5799999999999998E-2</v>
      </c>
      <c r="D18" s="354">
        <v>43997</v>
      </c>
      <c r="E18" s="354">
        <v>54954</v>
      </c>
      <c r="F18" s="205">
        <f t="shared" si="0"/>
        <v>30000000</v>
      </c>
      <c r="G18" s="355">
        <v>99.57</v>
      </c>
      <c r="H18" s="138">
        <f t="shared" si="2"/>
        <v>3.5999999999999997E-2</v>
      </c>
      <c r="I18" s="205">
        <f t="shared" si="3"/>
        <v>1080000</v>
      </c>
      <c r="J18" s="352">
        <v>30000000</v>
      </c>
      <c r="K18" s="352">
        <v>30000000</v>
      </c>
      <c r="L18" s="352">
        <v>30000000</v>
      </c>
      <c r="M18" s="352">
        <v>30000000</v>
      </c>
      <c r="N18" s="352">
        <v>30000000</v>
      </c>
      <c r="O18" s="352">
        <v>30000000</v>
      </c>
      <c r="P18" s="352">
        <v>30000000</v>
      </c>
      <c r="Q18" s="352">
        <v>30000000</v>
      </c>
      <c r="R18" s="352">
        <v>30000000</v>
      </c>
      <c r="S18" s="352">
        <v>30000000</v>
      </c>
      <c r="T18" s="352">
        <v>30000000</v>
      </c>
      <c r="U18" s="352">
        <v>30000000</v>
      </c>
      <c r="V18" s="352">
        <v>30000000</v>
      </c>
      <c r="W18" s="205"/>
      <c r="X18" s="205">
        <f t="shared" si="1"/>
        <v>1080000</v>
      </c>
    </row>
    <row r="19" spans="1:25">
      <c r="A19" s="102">
        <v>15</v>
      </c>
      <c r="B19" s="106" t="s">
        <v>76</v>
      </c>
      <c r="C19" s="353">
        <v>3.78E-2</v>
      </c>
      <c r="D19" s="354">
        <v>43997</v>
      </c>
      <c r="E19" s="354">
        <v>58607</v>
      </c>
      <c r="F19" s="205">
        <f t="shared" si="0"/>
        <v>20000000</v>
      </c>
      <c r="G19" s="355">
        <v>99.57</v>
      </c>
      <c r="H19" s="138">
        <f t="shared" si="2"/>
        <v>3.7999999999999999E-2</v>
      </c>
      <c r="I19" s="205">
        <f t="shared" si="3"/>
        <v>760000</v>
      </c>
      <c r="J19" s="352">
        <v>20000000</v>
      </c>
      <c r="K19" s="352">
        <v>20000000</v>
      </c>
      <c r="L19" s="352">
        <v>20000000</v>
      </c>
      <c r="M19" s="352">
        <v>20000000</v>
      </c>
      <c r="N19" s="352">
        <v>20000000</v>
      </c>
      <c r="O19" s="352">
        <v>20000000</v>
      </c>
      <c r="P19" s="352">
        <v>20000000</v>
      </c>
      <c r="Q19" s="352">
        <v>20000000</v>
      </c>
      <c r="R19" s="352">
        <v>20000000</v>
      </c>
      <c r="S19" s="352">
        <v>20000000</v>
      </c>
      <c r="T19" s="352">
        <v>20000000</v>
      </c>
      <c r="U19" s="352">
        <v>20000000</v>
      </c>
      <c r="V19" s="352">
        <v>20000000</v>
      </c>
      <c r="W19" s="205"/>
      <c r="X19" s="205">
        <f t="shared" si="1"/>
        <v>760000</v>
      </c>
    </row>
    <row r="20" spans="1:25">
      <c r="A20" s="102">
        <v>16</v>
      </c>
      <c r="B20" s="106" t="s">
        <v>76</v>
      </c>
      <c r="C20" s="353">
        <v>3.3399999999999999E-2</v>
      </c>
      <c r="D20" s="354">
        <v>44134</v>
      </c>
      <c r="E20" s="354">
        <v>58744</v>
      </c>
      <c r="F20" s="205">
        <f t="shared" si="0"/>
        <v>25000000</v>
      </c>
      <c r="G20" s="355">
        <v>99.41</v>
      </c>
      <c r="H20" s="138">
        <f t="shared" si="2"/>
        <v>3.3700000000000001E-2</v>
      </c>
      <c r="I20" s="205">
        <f t="shared" si="3"/>
        <v>842500</v>
      </c>
      <c r="J20" s="352">
        <v>25000000</v>
      </c>
      <c r="K20" s="352">
        <v>25000000</v>
      </c>
      <c r="L20" s="352">
        <v>25000000</v>
      </c>
      <c r="M20" s="352">
        <v>25000000</v>
      </c>
      <c r="N20" s="352">
        <v>25000000</v>
      </c>
      <c r="O20" s="352">
        <v>25000000</v>
      </c>
      <c r="P20" s="352">
        <v>25000000</v>
      </c>
      <c r="Q20" s="352">
        <v>25000000</v>
      </c>
      <c r="R20" s="352">
        <v>25000000</v>
      </c>
      <c r="S20" s="352">
        <v>25000000</v>
      </c>
      <c r="T20" s="352">
        <v>25000000</v>
      </c>
      <c r="U20" s="352">
        <v>25000000</v>
      </c>
      <c r="V20" s="352">
        <v>25000000</v>
      </c>
      <c r="W20" s="205"/>
      <c r="X20" s="205">
        <f t="shared" si="1"/>
        <v>842500</v>
      </c>
    </row>
    <row r="21" spans="1:25">
      <c r="A21" s="102">
        <v>17</v>
      </c>
      <c r="B21" s="106" t="s">
        <v>76</v>
      </c>
      <c r="C21" s="353">
        <v>4.2599999999999999E-2</v>
      </c>
      <c r="D21" s="354">
        <v>44727</v>
      </c>
      <c r="E21" s="354">
        <v>48380</v>
      </c>
      <c r="F21" s="205">
        <f t="shared" si="0"/>
        <v>15000000</v>
      </c>
      <c r="G21" s="355">
        <v>99.64</v>
      </c>
      <c r="H21" s="138">
        <f t="shared" si="2"/>
        <v>4.2999999999999997E-2</v>
      </c>
      <c r="I21" s="205">
        <f t="shared" si="3"/>
        <v>645000</v>
      </c>
      <c r="J21" s="352">
        <v>15000000</v>
      </c>
      <c r="K21" s="352">
        <v>15000000</v>
      </c>
      <c r="L21" s="352">
        <v>15000000</v>
      </c>
      <c r="M21" s="352">
        <v>15000000</v>
      </c>
      <c r="N21" s="352">
        <v>15000000</v>
      </c>
      <c r="O21" s="352">
        <v>15000000</v>
      </c>
      <c r="P21" s="352">
        <v>15000000</v>
      </c>
      <c r="Q21" s="352">
        <v>15000000</v>
      </c>
      <c r="R21" s="352">
        <v>15000000</v>
      </c>
      <c r="S21" s="352">
        <v>15000000</v>
      </c>
      <c r="T21" s="352">
        <v>15000000</v>
      </c>
      <c r="U21" s="352">
        <v>15000000</v>
      </c>
      <c r="V21" s="352">
        <v>15000000</v>
      </c>
      <c r="W21" s="205"/>
      <c r="X21" s="205">
        <f t="shared" si="1"/>
        <v>645000</v>
      </c>
    </row>
    <row r="22" spans="1:25">
      <c r="A22" s="102">
        <v>18</v>
      </c>
      <c r="B22" s="106" t="s">
        <v>76</v>
      </c>
      <c r="C22" s="353">
        <v>4.5999999999999999E-2</v>
      </c>
      <c r="D22" s="354">
        <v>44727</v>
      </c>
      <c r="E22" s="354">
        <v>55685</v>
      </c>
      <c r="F22" s="205">
        <f t="shared" si="0"/>
        <v>35000000</v>
      </c>
      <c r="G22" s="355">
        <v>99.64</v>
      </c>
      <c r="H22" s="138">
        <f t="shared" si="2"/>
        <v>4.6199999999999998E-2</v>
      </c>
      <c r="I22" s="205">
        <f t="shared" si="3"/>
        <v>1617000</v>
      </c>
      <c r="J22" s="352">
        <v>35000000</v>
      </c>
      <c r="K22" s="352">
        <v>35000000</v>
      </c>
      <c r="L22" s="352">
        <v>35000000</v>
      </c>
      <c r="M22" s="352">
        <v>35000000</v>
      </c>
      <c r="N22" s="352">
        <v>35000000</v>
      </c>
      <c r="O22" s="352">
        <v>35000000</v>
      </c>
      <c r="P22" s="352">
        <v>35000000</v>
      </c>
      <c r="Q22" s="352">
        <v>35000000</v>
      </c>
      <c r="R22" s="352">
        <v>35000000</v>
      </c>
      <c r="S22" s="352">
        <v>35000000</v>
      </c>
      <c r="T22" s="352">
        <v>35000000</v>
      </c>
      <c r="U22" s="352">
        <v>35000000</v>
      </c>
      <c r="V22" s="352">
        <v>35000000</v>
      </c>
      <c r="W22" s="205"/>
      <c r="X22" s="205">
        <f t="shared" si="1"/>
        <v>1617000</v>
      </c>
    </row>
    <row r="23" spans="1:25">
      <c r="A23" s="102">
        <v>19</v>
      </c>
      <c r="B23"/>
      <c r="C23" s="211"/>
      <c r="D23" s="212"/>
      <c r="E23" s="212"/>
      <c r="F23" s="205"/>
      <c r="G23" s="213"/>
      <c r="H23" s="138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</row>
    <row r="24" spans="1:25">
      <c r="A24" s="102">
        <v>20</v>
      </c>
      <c r="B24"/>
      <c r="C24" s="211"/>
      <c r="D24" s="212"/>
      <c r="E24" s="212"/>
      <c r="F24" s="205"/>
      <c r="G24" s="213"/>
      <c r="H24" s="138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</row>
    <row r="25" spans="1:25">
      <c r="A25" s="102">
        <v>21</v>
      </c>
      <c r="B25" s="106"/>
      <c r="C25" s="211"/>
      <c r="D25" s="212"/>
      <c r="E25" s="212"/>
      <c r="F25" s="205"/>
      <c r="G25" s="216"/>
      <c r="H25" s="138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96">
        <f>SUM(X6:X24)</f>
        <v>17093500</v>
      </c>
    </row>
    <row r="26" spans="1:25" ht="13.5" thickBot="1">
      <c r="A26" s="102">
        <v>22</v>
      </c>
      <c r="B26" s="106"/>
      <c r="C26" s="108" t="s">
        <v>93</v>
      </c>
      <c r="D26" s="212"/>
      <c r="E26" s="212"/>
      <c r="F26" s="205"/>
      <c r="G26" s="214"/>
      <c r="H26" s="138"/>
      <c r="I26" s="361">
        <f>'Pg 7 Reacquired Debt'!I13</f>
        <v>59922.720000000001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205"/>
      <c r="X26" s="296">
        <f>I26</f>
        <v>59922.720000000001</v>
      </c>
    </row>
    <row r="27" spans="1:25" ht="13.5" thickBot="1">
      <c r="A27" s="102">
        <v>23</v>
      </c>
      <c r="B27" s="108" t="s">
        <v>102</v>
      </c>
      <c r="C27" s="211"/>
      <c r="D27" s="212"/>
      <c r="E27" s="212"/>
      <c r="F27" s="215">
        <f>SUM(F6:F26)</f>
        <v>375000000</v>
      </c>
      <c r="G27" s="107"/>
      <c r="H27" s="163">
        <f>ROUND(+I27/F27,4)</f>
        <v>4.5699999999999998E-2</v>
      </c>
      <c r="I27" s="217">
        <f t="shared" ref="I27:V27" si="4">SUM(I6:I26)</f>
        <v>17153422.719999999</v>
      </c>
      <c r="J27" s="217">
        <f t="shared" si="4"/>
        <v>375000000</v>
      </c>
      <c r="K27" s="217">
        <f t="shared" si="4"/>
        <v>375000000</v>
      </c>
      <c r="L27" s="217">
        <f t="shared" si="4"/>
        <v>375000000</v>
      </c>
      <c r="M27" s="217">
        <f t="shared" si="4"/>
        <v>375000000</v>
      </c>
      <c r="N27" s="217">
        <f t="shared" si="4"/>
        <v>375000000</v>
      </c>
      <c r="O27" s="217">
        <f t="shared" si="4"/>
        <v>375000000</v>
      </c>
      <c r="P27" s="217">
        <f t="shared" si="4"/>
        <v>375000000</v>
      </c>
      <c r="Q27" s="217">
        <f t="shared" si="4"/>
        <v>375000000</v>
      </c>
      <c r="R27" s="217">
        <f t="shared" si="4"/>
        <v>375000000</v>
      </c>
      <c r="S27" s="217">
        <f t="shared" si="4"/>
        <v>375000000</v>
      </c>
      <c r="T27" s="217">
        <f t="shared" si="4"/>
        <v>375000000</v>
      </c>
      <c r="U27" s="217">
        <f t="shared" si="4"/>
        <v>375000000</v>
      </c>
      <c r="V27" s="217">
        <f t="shared" si="4"/>
        <v>375000000</v>
      </c>
      <c r="W27" s="206"/>
      <c r="X27" s="217">
        <f>SUM(X25:X26)</f>
        <v>17153422.719999999</v>
      </c>
      <c r="Y27" s="297">
        <f>X27/V27</f>
        <v>4.5742460586666665E-2</v>
      </c>
    </row>
    <row r="28" spans="1:25" ht="13.5" thickBot="1">
      <c r="A28" s="102">
        <v>24</v>
      </c>
      <c r="B28" s="106"/>
      <c r="C28" s="211"/>
      <c r="D28" s="212"/>
      <c r="E28" s="212"/>
      <c r="F28" s="206"/>
      <c r="G28" s="214"/>
      <c r="H28" s="184"/>
      <c r="I28" s="206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06">
        <f>H28*S28</f>
        <v>0</v>
      </c>
    </row>
    <row r="29" spans="1:25" ht="13.5" thickBot="1">
      <c r="A29" s="102">
        <v>25</v>
      </c>
      <c r="B29" s="108" t="s">
        <v>145</v>
      </c>
      <c r="C29" s="211"/>
      <c r="D29" s="212"/>
      <c r="E29" s="212"/>
      <c r="F29" s="206">
        <f>F27</f>
        <v>375000000</v>
      </c>
      <c r="G29" s="206">
        <f>SUM(I6:I24)</f>
        <v>17093500</v>
      </c>
      <c r="H29" s="163">
        <f>ROUND(+G29/F29,4)</f>
        <v>4.5600000000000002E-2</v>
      </c>
      <c r="J29" s="33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06"/>
    </row>
    <row r="30" spans="1:25">
      <c r="A30" s="102">
        <v>26</v>
      </c>
      <c r="B30" s="106"/>
      <c r="C30" s="211"/>
      <c r="D30" s="212"/>
      <c r="E30" s="212"/>
      <c r="F30" s="206"/>
      <c r="G30" s="214"/>
      <c r="H30" s="184"/>
      <c r="I30" s="206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06"/>
    </row>
    <row r="31" spans="1:25">
      <c r="A31" s="102">
        <v>27</v>
      </c>
      <c r="B31" t="s">
        <v>135</v>
      </c>
      <c r="C31" s="211"/>
      <c r="D31" s="212"/>
      <c r="E31" s="212"/>
      <c r="F31" s="362">
        <f>'Pg 3 STD Cost Rate'!C17</f>
        <v>52406250</v>
      </c>
      <c r="G31" s="362">
        <f>'Pg 3 STD Cost Rate'!E17</f>
        <v>1727859.87</v>
      </c>
      <c r="H31" s="312">
        <f>ROUND(G31/F31,4)</f>
        <v>3.3000000000000002E-2</v>
      </c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06"/>
    </row>
    <row r="32" spans="1:25">
      <c r="A32" s="102">
        <v>28</v>
      </c>
      <c r="B32" s="106"/>
      <c r="C32" s="211"/>
      <c r="D32" s="212"/>
      <c r="E32" s="212"/>
      <c r="F32" s="206"/>
      <c r="G32" s="214"/>
      <c r="H32" s="184"/>
      <c r="I32" s="206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06"/>
    </row>
    <row r="33" spans="1:55">
      <c r="A33" s="102">
        <v>29</v>
      </c>
      <c r="B33" s="313" t="s">
        <v>136</v>
      </c>
      <c r="C33" s="211"/>
      <c r="D33" s="212"/>
      <c r="E33" s="212"/>
      <c r="F33" s="206">
        <f>F31+F27</f>
        <v>427406250</v>
      </c>
      <c r="G33" s="206">
        <f>G31+G29</f>
        <v>18821359.870000001</v>
      </c>
      <c r="H33" s="312">
        <f>ROUND(G33/F33,4)</f>
        <v>4.3999999999999997E-2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06"/>
    </row>
    <row r="34" spans="1:55">
      <c r="A34" s="102">
        <v>30</v>
      </c>
      <c r="B34" s="106"/>
      <c r="C34" s="211"/>
      <c r="D34" s="212"/>
      <c r="E34" s="212"/>
      <c r="F34" s="206"/>
      <c r="G34" s="214"/>
      <c r="H34" s="184"/>
      <c r="I34" s="206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06"/>
    </row>
    <row r="35" spans="1:55">
      <c r="A35" s="102">
        <v>31</v>
      </c>
      <c r="B35" s="104" t="s">
        <v>66</v>
      </c>
      <c r="C35" s="105"/>
      <c r="D35" s="105"/>
      <c r="E35" s="105"/>
      <c r="F35" s="105"/>
      <c r="G35" s="105"/>
      <c r="H35" s="105"/>
      <c r="I35" s="105"/>
      <c r="X35" s="206"/>
      <c r="Y35" s="184"/>
    </row>
    <row r="36" spans="1:55">
      <c r="A36" s="102">
        <v>32</v>
      </c>
      <c r="B36" s="104" t="s">
        <v>74</v>
      </c>
      <c r="C36" s="105"/>
      <c r="D36" s="105"/>
      <c r="E36" s="105"/>
      <c r="F36" s="105"/>
      <c r="G36" s="107"/>
      <c r="H36" s="105"/>
      <c r="I36" s="105"/>
    </row>
    <row r="37" spans="1:55">
      <c r="A37" s="102"/>
      <c r="B37" s="104"/>
      <c r="C37" s="105"/>
      <c r="D37" s="105"/>
      <c r="E37" s="105"/>
      <c r="F37" s="105"/>
      <c r="G37" s="107"/>
      <c r="H37" s="105"/>
      <c r="I37" s="105"/>
    </row>
    <row r="38" spans="1:55">
      <c r="A38" s="102"/>
      <c r="B38" s="104"/>
      <c r="C38" s="105"/>
      <c r="D38" s="105"/>
      <c r="E38" s="105"/>
      <c r="F38" s="105"/>
      <c r="G38" s="107"/>
      <c r="H38" s="105"/>
      <c r="I38" s="105"/>
    </row>
    <row r="39" spans="1:55">
      <c r="A39" s="102"/>
      <c r="B39" s="103"/>
      <c r="C39" s="103"/>
      <c r="D39" s="103"/>
      <c r="E39" s="237"/>
      <c r="G39" s="103"/>
      <c r="H39" s="218"/>
      <c r="I39" s="219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1:55">
      <c r="A40" s="37"/>
      <c r="H40" s="105"/>
      <c r="I40" s="13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55">
      <c r="A41" s="37"/>
      <c r="F41" s="204"/>
      <c r="H41" s="103"/>
      <c r="I41" s="219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</row>
    <row r="42" spans="1:55">
      <c r="A42" s="37"/>
      <c r="B42" s="22"/>
      <c r="C42" s="22"/>
      <c r="D42" s="22"/>
      <c r="E42" s="22"/>
      <c r="G42" s="22"/>
      <c r="H42" s="22"/>
      <c r="I42" s="38"/>
      <c r="J42" s="37" t="str">
        <f t="shared" ref="J42:S42" si="5">IF(J41&lt;&gt;0,"ERROR","")</f>
        <v/>
      </c>
      <c r="K42" s="37" t="str">
        <f t="shared" si="5"/>
        <v/>
      </c>
      <c r="L42" s="37" t="str">
        <f t="shared" si="5"/>
        <v/>
      </c>
      <c r="M42" s="37" t="str">
        <f t="shared" si="5"/>
        <v/>
      </c>
      <c r="N42" s="37" t="str">
        <f t="shared" si="5"/>
        <v/>
      </c>
      <c r="O42" s="37" t="str">
        <f t="shared" si="5"/>
        <v/>
      </c>
      <c r="P42" s="37" t="str">
        <f t="shared" si="5"/>
        <v/>
      </c>
      <c r="Q42" s="37" t="str">
        <f t="shared" si="5"/>
        <v/>
      </c>
      <c r="R42" s="37" t="str">
        <f t="shared" si="5"/>
        <v/>
      </c>
      <c r="S42" s="37" t="str">
        <f t="shared" si="5"/>
        <v/>
      </c>
      <c r="T42" s="37"/>
      <c r="U42" s="37"/>
      <c r="V42" s="37"/>
      <c r="W42" s="37"/>
    </row>
    <row r="43" spans="1:55">
      <c r="A43" s="37"/>
      <c r="B43" s="22"/>
      <c r="C43" s="22"/>
      <c r="D43" s="22"/>
      <c r="E43" s="332"/>
      <c r="F43" s="38"/>
      <c r="G43" s="22"/>
      <c r="H43" s="138"/>
      <c r="Y43" s="322"/>
    </row>
    <row r="44" spans="1:55">
      <c r="A44" s="39"/>
      <c r="B44" s="40"/>
      <c r="C44" s="41"/>
      <c r="D44" s="42"/>
      <c r="E44" s="42"/>
      <c r="F44" s="197"/>
      <c r="G44" s="44"/>
      <c r="H44" s="138"/>
      <c r="I44" s="74"/>
      <c r="Y44" s="322"/>
    </row>
    <row r="45" spans="1:55">
      <c r="A45" s="39"/>
      <c r="B45" s="40"/>
      <c r="C45" s="41"/>
      <c r="D45" s="42"/>
      <c r="E45" s="42"/>
      <c r="F45" s="43"/>
      <c r="G45" s="44"/>
      <c r="H45" s="45"/>
      <c r="I45" s="38"/>
      <c r="Y45" s="322"/>
    </row>
    <row r="46" spans="1:55">
      <c r="A46" s="39"/>
      <c r="B46" s="40"/>
      <c r="C46" s="41"/>
      <c r="D46" s="42"/>
      <c r="E46" s="42"/>
      <c r="F46" s="43"/>
      <c r="G46" s="44"/>
      <c r="H46" s="45"/>
      <c r="I46" s="38"/>
      <c r="Y46" s="322"/>
    </row>
    <row r="47" spans="1:55" hidden="1">
      <c r="A47" s="37"/>
      <c r="B47" s="22"/>
      <c r="C47" s="22"/>
      <c r="D47" s="22"/>
      <c r="E47" s="22"/>
      <c r="F47" s="38"/>
      <c r="G47" s="22"/>
      <c r="H47" s="46"/>
      <c r="I47" s="38"/>
      <c r="Y47" s="322"/>
    </row>
    <row r="48" spans="1:55" hidden="1">
      <c r="A48" s="37"/>
      <c r="B48" s="22"/>
      <c r="C48" s="22"/>
      <c r="D48" s="22"/>
      <c r="E48" s="22"/>
      <c r="F48" s="38"/>
      <c r="G48" s="22"/>
      <c r="H48" s="47"/>
      <c r="I48" s="38"/>
      <c r="Y48" s="322"/>
    </row>
    <row r="49" spans="1:25" hidden="1">
      <c r="A49" s="37"/>
      <c r="B49" s="22"/>
      <c r="C49" s="22"/>
      <c r="D49" s="22"/>
      <c r="E49" s="22"/>
      <c r="F49" s="38"/>
      <c r="G49" s="22"/>
      <c r="H49" s="22"/>
      <c r="I49" s="38"/>
      <c r="Y49" s="322"/>
    </row>
    <row r="50" spans="1:25">
      <c r="A50" s="39"/>
      <c r="B50" s="40"/>
      <c r="C50" s="41"/>
      <c r="D50" s="42"/>
      <c r="E50" s="42"/>
      <c r="F50" s="43"/>
      <c r="G50" s="44"/>
      <c r="H50" s="45"/>
      <c r="I50" s="38"/>
      <c r="Y50" s="322"/>
    </row>
    <row r="51" spans="1:25">
      <c r="A51" s="39"/>
      <c r="B51" s="40"/>
      <c r="C51" s="41"/>
      <c r="D51" s="42"/>
      <c r="E51" s="42"/>
      <c r="F51" s="43"/>
      <c r="G51" s="44"/>
      <c r="H51" s="45"/>
      <c r="I51" s="38"/>
      <c r="Y51" s="322"/>
    </row>
    <row r="52" spans="1:25">
      <c r="A52" s="37"/>
      <c r="B52" s="22"/>
      <c r="C52" s="22"/>
      <c r="D52" s="22"/>
      <c r="E52" s="22"/>
      <c r="F52" s="38"/>
      <c r="G52" s="22"/>
      <c r="H52" s="22"/>
      <c r="I52" s="38"/>
      <c r="Y52" s="322"/>
    </row>
    <row r="53" spans="1:25">
      <c r="A53" s="37"/>
      <c r="B53" s="22"/>
      <c r="C53" s="22"/>
      <c r="D53" s="22"/>
      <c r="E53" s="22"/>
      <c r="F53" s="38"/>
      <c r="G53" s="22"/>
      <c r="H53" s="22"/>
      <c r="I53" s="38"/>
      <c r="Y53" s="322"/>
    </row>
    <row r="54" spans="1:25">
      <c r="A54" s="37"/>
      <c r="B54" s="22"/>
      <c r="C54" s="22"/>
      <c r="D54" s="22"/>
      <c r="E54" s="22"/>
      <c r="F54" s="38"/>
      <c r="G54" s="22"/>
      <c r="H54" s="22"/>
      <c r="I54" s="38"/>
      <c r="Y54" s="322"/>
    </row>
    <row r="55" spans="1:25">
      <c r="A55" s="37"/>
      <c r="B55" s="22"/>
      <c r="C55" s="22"/>
      <c r="D55" s="22"/>
      <c r="E55" s="22"/>
      <c r="F55" s="38"/>
      <c r="G55" s="22"/>
      <c r="H55" s="22"/>
      <c r="I55" s="38"/>
      <c r="Y55" s="322"/>
    </row>
    <row r="56" spans="1:25">
      <c r="A56" s="37"/>
      <c r="B56" s="22"/>
      <c r="C56" s="22"/>
      <c r="D56" s="22"/>
      <c r="E56" s="22"/>
      <c r="F56" s="38"/>
      <c r="G56" s="22"/>
      <c r="H56" s="22"/>
      <c r="I56" s="38"/>
      <c r="Y56" s="322"/>
    </row>
    <row r="57" spans="1:25">
      <c r="A57" s="37"/>
      <c r="B57" s="22"/>
      <c r="C57" s="22"/>
      <c r="D57" s="22"/>
      <c r="E57" s="22"/>
      <c r="F57" s="38"/>
      <c r="G57" s="22"/>
      <c r="H57" s="22"/>
      <c r="I57" s="38"/>
      <c r="Y57" s="322"/>
    </row>
    <row r="58" spans="1:25">
      <c r="A58" s="37"/>
      <c r="B58" s="22"/>
      <c r="C58" s="22"/>
      <c r="D58" s="22"/>
      <c r="E58" s="22"/>
      <c r="F58" s="38"/>
      <c r="G58" s="22"/>
      <c r="H58" s="22"/>
      <c r="I58" s="38"/>
      <c r="Y58" s="322"/>
    </row>
    <row r="59" spans="1:25">
      <c r="A59" s="37"/>
      <c r="B59" s="22"/>
      <c r="C59" s="22"/>
      <c r="D59" s="22"/>
      <c r="E59" s="22"/>
      <c r="F59" s="38"/>
      <c r="G59" s="22"/>
      <c r="H59" s="22"/>
      <c r="I59" s="38"/>
      <c r="Y59" s="322"/>
    </row>
    <row r="60" spans="1:25">
      <c r="A60" s="37"/>
      <c r="B60" s="22"/>
      <c r="C60" s="22"/>
      <c r="D60" s="22"/>
      <c r="E60" s="22"/>
      <c r="F60" s="38"/>
      <c r="G60" s="22"/>
      <c r="H60" s="22"/>
      <c r="I60" s="38"/>
      <c r="Y60" s="322"/>
    </row>
    <row r="61" spans="1:25">
      <c r="A61" s="37"/>
      <c r="B61" s="22"/>
      <c r="C61" s="40"/>
      <c r="D61" s="22"/>
      <c r="E61" s="22"/>
      <c r="F61" s="38"/>
      <c r="G61" s="22"/>
      <c r="H61" s="22"/>
      <c r="I61" s="38"/>
      <c r="Y61" s="322"/>
    </row>
    <row r="62" spans="1:25">
      <c r="C62" s="19"/>
      <c r="E62" s="24"/>
      <c r="Y62" s="322"/>
    </row>
    <row r="63" spans="1:25">
      <c r="C63" s="23"/>
      <c r="Y63" s="322"/>
    </row>
    <row r="64" spans="1:25">
      <c r="Y64" s="322"/>
    </row>
    <row r="65" spans="25:25">
      <c r="Y65" s="322"/>
    </row>
    <row r="66" spans="25:25">
      <c r="Y66" s="322"/>
    </row>
    <row r="67" spans="25:25">
      <c r="Y67" s="322"/>
    </row>
    <row r="68" spans="25:25">
      <c r="Y68" s="322"/>
    </row>
    <row r="69" spans="25:25">
      <c r="Y69" s="322"/>
    </row>
    <row r="70" spans="25:25">
      <c r="Y70" s="322"/>
    </row>
    <row r="71" spans="25:25">
      <c r="Y71" s="322"/>
    </row>
    <row r="72" spans="25:25">
      <c r="Y72" s="322"/>
    </row>
    <row r="73" spans="25:25">
      <c r="Y73" s="322"/>
    </row>
    <row r="74" spans="25:25">
      <c r="Y74" s="322"/>
    </row>
    <row r="75" spans="25:25">
      <c r="Y75" s="322"/>
    </row>
    <row r="76" spans="25:25">
      <c r="Y76" s="322"/>
    </row>
    <row r="77" spans="25:25">
      <c r="Y77" s="322"/>
    </row>
    <row r="78" spans="25:25">
      <c r="Y78" s="322"/>
    </row>
    <row r="79" spans="25:25">
      <c r="Y79" s="322"/>
    </row>
    <row r="80" spans="25:25">
      <c r="Y80" s="322"/>
    </row>
    <row r="81" spans="25:25">
      <c r="Y81" s="322"/>
    </row>
    <row r="82" spans="25:25">
      <c r="Y82" s="322"/>
    </row>
    <row r="83" spans="25:25">
      <c r="Y83" s="322"/>
    </row>
    <row r="84" spans="25:25">
      <c r="Y84" s="322"/>
    </row>
    <row r="85" spans="25:25">
      <c r="Y85" s="322"/>
    </row>
    <row r="86" spans="25:25">
      <c r="Y86" s="322"/>
    </row>
    <row r="87" spans="25:25">
      <c r="Y87" s="322"/>
    </row>
    <row r="88" spans="25:25">
      <c r="Y88" s="322"/>
    </row>
    <row r="89" spans="25:25">
      <c r="Y89" s="322"/>
    </row>
    <row r="90" spans="25:25">
      <c r="Y90" s="322"/>
    </row>
    <row r="91" spans="25:25">
      <c r="Y91" s="322"/>
    </row>
    <row r="92" spans="25:25">
      <c r="Y92" s="322"/>
    </row>
    <row r="93" spans="25:25">
      <c r="Y93" s="322"/>
    </row>
    <row r="94" spans="25:25">
      <c r="Y94" s="322"/>
    </row>
    <row r="95" spans="25:25">
      <c r="Y95" s="322"/>
    </row>
    <row r="96" spans="25:25">
      <c r="Y96" s="322"/>
    </row>
    <row r="97" spans="25:25">
      <c r="Y97" s="322"/>
    </row>
    <row r="98" spans="25:25">
      <c r="Y98" s="322"/>
    </row>
    <row r="99" spans="25:25">
      <c r="Y99" s="322"/>
    </row>
    <row r="100" spans="25:25">
      <c r="Y100" s="322"/>
    </row>
    <row r="101" spans="25:25">
      <c r="Y101" s="322"/>
    </row>
    <row r="102" spans="25:25">
      <c r="Y102" s="322"/>
    </row>
    <row r="103" spans="25:25">
      <c r="Y103" s="322"/>
    </row>
    <row r="106" spans="25:25">
      <c r="Y106" s="322"/>
    </row>
    <row r="107" spans="25:25">
      <c r="Y107" s="322"/>
    </row>
    <row r="108" spans="25:25">
      <c r="Y108" s="322"/>
    </row>
    <row r="109" spans="25:25">
      <c r="Y109" s="322"/>
    </row>
    <row r="110" spans="25:25">
      <c r="Y110" s="322"/>
    </row>
    <row r="111" spans="25:25">
      <c r="Y111" s="322"/>
    </row>
    <row r="112" spans="25:25">
      <c r="Y112" s="322"/>
    </row>
    <row r="113" spans="25:25">
      <c r="Y113" s="322"/>
    </row>
    <row r="114" spans="25:25">
      <c r="Y114" s="322"/>
    </row>
    <row r="115" spans="25:25">
      <c r="Y115" s="322"/>
    </row>
    <row r="116" spans="25:25">
      <c r="Y116" s="322"/>
    </row>
    <row r="117" spans="25:25">
      <c r="Y117" s="322"/>
    </row>
    <row r="118" spans="25:25">
      <c r="Y118" s="322"/>
    </row>
    <row r="119" spans="25:25">
      <c r="Y119" s="322"/>
    </row>
    <row r="120" spans="25:25">
      <c r="Y120" s="322"/>
    </row>
    <row r="121" spans="25:25">
      <c r="Y121" s="322"/>
    </row>
    <row r="122" spans="25:25">
      <c r="Y122" s="322"/>
    </row>
    <row r="123" spans="25:25">
      <c r="Y123" s="322"/>
    </row>
    <row r="124" spans="25:25">
      <c r="Y124" s="322"/>
    </row>
    <row r="125" spans="25:25">
      <c r="Y125" s="322"/>
    </row>
    <row r="126" spans="25:25">
      <c r="Y126" s="322"/>
    </row>
    <row r="127" spans="25:25">
      <c r="Y127" s="322"/>
    </row>
    <row r="128" spans="25:25">
      <c r="Y128" s="322"/>
    </row>
    <row r="129" spans="25:25">
      <c r="Y129" s="322"/>
    </row>
    <row r="130" spans="25:25">
      <c r="Y130" s="322"/>
    </row>
    <row r="131" spans="25:25">
      <c r="Y131" s="322"/>
    </row>
    <row r="132" spans="25:25">
      <c r="Y132" s="322"/>
    </row>
    <row r="133" spans="25:25">
      <c r="Y133" s="322"/>
    </row>
    <row r="134" spans="25:25">
      <c r="Y134" s="322"/>
    </row>
    <row r="135" spans="25:25">
      <c r="Y135" s="322"/>
    </row>
    <row r="137" spans="25:25">
      <c r="Y137" s="322"/>
    </row>
    <row r="138" spans="25:25">
      <c r="Y138" s="322"/>
    </row>
    <row r="139" spans="25:25">
      <c r="Y139" s="322"/>
    </row>
    <row r="140" spans="25:25">
      <c r="Y140" s="322"/>
    </row>
    <row r="141" spans="25:25">
      <c r="Y141" s="322"/>
    </row>
    <row r="142" spans="25:25">
      <c r="Y142" s="322"/>
    </row>
    <row r="143" spans="25:25">
      <c r="Y143" s="322"/>
    </row>
    <row r="144" spans="25:25">
      <c r="Y144" s="322"/>
    </row>
    <row r="145" spans="25:25">
      <c r="Y145" s="322"/>
    </row>
    <row r="146" spans="25:25">
      <c r="Y146" s="322"/>
    </row>
    <row r="147" spans="25:25">
      <c r="Y147" s="322"/>
    </row>
    <row r="148" spans="25:25">
      <c r="Y148" s="322"/>
    </row>
    <row r="149" spans="25:25">
      <c r="Y149" s="322"/>
    </row>
    <row r="150" spans="25:25">
      <c r="Y150" s="322"/>
    </row>
    <row r="151" spans="25:25">
      <c r="Y151" s="322"/>
    </row>
    <row r="152" spans="25:25">
      <c r="Y152" s="322"/>
    </row>
    <row r="153" spans="25:25">
      <c r="Y153" s="322"/>
    </row>
    <row r="154" spans="25:25">
      <c r="Y154" s="322"/>
    </row>
    <row r="155" spans="25:25">
      <c r="Y155" s="322"/>
    </row>
    <row r="156" spans="25:25">
      <c r="Y156" s="322"/>
    </row>
    <row r="157" spans="25:25">
      <c r="Y157" s="322"/>
    </row>
    <row r="158" spans="25:25">
      <c r="Y158" s="322"/>
    </row>
    <row r="159" spans="25:25">
      <c r="Y159" s="322"/>
    </row>
    <row r="160" spans="25:25">
      <c r="Y160" s="322"/>
    </row>
    <row r="161" spans="25:25">
      <c r="Y161" s="322"/>
    </row>
    <row r="162" spans="25:25">
      <c r="Y162" s="322"/>
    </row>
    <row r="163" spans="25:25">
      <c r="Y163" s="322"/>
    </row>
    <row r="164" spans="25:25">
      <c r="Y164" s="322"/>
    </row>
    <row r="165" spans="25:25">
      <c r="Y165" s="322"/>
    </row>
    <row r="166" spans="25:25">
      <c r="Y166" s="322"/>
    </row>
  </sheetData>
  <phoneticPr fontId="24" type="noConversion"/>
  <printOptions horizontalCentered="1"/>
  <pageMargins left="0.2" right="0.2" top="0.41" bottom="0.35" header="0.17" footer="0.17"/>
  <pageSetup scale="7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1">
    <pageSetUpPr fitToPage="1"/>
  </sheetPr>
  <dimension ref="A1:S65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I27" sqref="I27"/>
    </sheetView>
  </sheetViews>
  <sheetFormatPr defaultColWidth="8.83203125" defaultRowHeight="15"/>
  <cols>
    <col min="1" max="1" width="4.6640625" style="25" customWidth="1"/>
    <col min="2" max="2" width="46" style="25" customWidth="1"/>
    <col min="3" max="3" width="10.83203125" style="25" customWidth="1"/>
    <col min="4" max="4" width="11.83203125" style="25" customWidth="1"/>
    <col min="5" max="5" width="12.83203125" style="25" customWidth="1"/>
    <col min="6" max="7" width="8.5" style="25" customWidth="1"/>
    <col min="8" max="8" width="13.83203125" style="25" customWidth="1"/>
    <col min="9" max="9" width="18" style="25" customWidth="1"/>
    <col min="10" max="10" width="15.6640625" style="25" customWidth="1"/>
    <col min="11" max="11" width="12" customWidth="1"/>
    <col min="12" max="12" width="14.6640625" customWidth="1"/>
    <col min="13" max="13" width="15.1640625" customWidth="1"/>
    <col min="14" max="14" width="11.6640625" bestFit="1" customWidth="1"/>
    <col min="15" max="15" width="2.5" customWidth="1"/>
    <col min="16" max="17" width="13.5" bestFit="1" customWidth="1"/>
    <col min="18" max="18" width="12.83203125" customWidth="1"/>
    <col min="20" max="16384" width="8.83203125" style="25"/>
  </cols>
  <sheetData>
    <row r="1" spans="1:19" ht="12.75" customHeight="1">
      <c r="B1" s="54" t="s">
        <v>151</v>
      </c>
      <c r="C1" s="50"/>
      <c r="D1" s="50"/>
      <c r="E1" s="50"/>
      <c r="F1" s="50"/>
      <c r="G1" s="50"/>
      <c r="H1" s="50"/>
      <c r="I1" s="50"/>
      <c r="J1" s="49"/>
    </row>
    <row r="2" spans="1:19" s="26" customFormat="1" ht="12.75" customHeight="1">
      <c r="B2" s="54" t="s">
        <v>18</v>
      </c>
      <c r="C2" s="50"/>
      <c r="D2" s="50"/>
      <c r="E2" s="50"/>
      <c r="F2" s="50"/>
      <c r="G2" s="50"/>
      <c r="H2" s="50"/>
      <c r="I2" s="50"/>
      <c r="J2" s="49"/>
      <c r="K2"/>
      <c r="L2"/>
      <c r="M2"/>
      <c r="N2"/>
      <c r="O2"/>
      <c r="P2"/>
      <c r="Q2"/>
      <c r="R2"/>
      <c r="S2"/>
    </row>
    <row r="3" spans="1:19" s="26" customFormat="1" ht="12.75" customHeight="1">
      <c r="B3" s="380" t="str">
        <f>'New Format'!B5</f>
        <v>For The 12 Months Ending December 31, 2022</v>
      </c>
      <c r="C3" s="380"/>
      <c r="D3" s="380"/>
      <c r="E3" s="50"/>
      <c r="F3" s="50"/>
      <c r="G3" s="50"/>
      <c r="H3" s="50"/>
      <c r="I3" s="50"/>
      <c r="J3" s="49"/>
      <c r="K3"/>
      <c r="L3"/>
      <c r="M3"/>
      <c r="N3"/>
      <c r="O3"/>
      <c r="P3"/>
      <c r="Q3"/>
      <c r="R3"/>
      <c r="S3"/>
    </row>
    <row r="4" spans="1:19" s="26" customFormat="1" ht="12.75" customHeight="1">
      <c r="B4" s="93"/>
      <c r="C4" s="93"/>
      <c r="D4" s="93"/>
      <c r="E4" s="50"/>
      <c r="F4" s="50"/>
      <c r="G4" s="50"/>
      <c r="H4" s="50"/>
      <c r="I4" s="50"/>
      <c r="J4" s="49"/>
      <c r="K4"/>
      <c r="L4"/>
      <c r="M4"/>
      <c r="N4"/>
      <c r="O4"/>
      <c r="P4"/>
      <c r="Q4"/>
      <c r="R4"/>
      <c r="S4"/>
    </row>
    <row r="5" spans="1:19" s="26" customFormat="1" ht="12.75" customHeight="1">
      <c r="A5" s="177">
        <v>1</v>
      </c>
      <c r="B5" s="97" t="s">
        <v>2</v>
      </c>
      <c r="C5" s="97" t="s">
        <v>19</v>
      </c>
      <c r="D5" s="97" t="s">
        <v>34</v>
      </c>
      <c r="E5" s="97" t="s">
        <v>45</v>
      </c>
      <c r="F5" s="97" t="s">
        <v>46</v>
      </c>
      <c r="G5" s="198" t="s">
        <v>47</v>
      </c>
      <c r="H5" s="97" t="s">
        <v>48</v>
      </c>
      <c r="I5" s="97" t="s">
        <v>49</v>
      </c>
      <c r="J5" s="49"/>
      <c r="K5"/>
      <c r="L5"/>
      <c r="M5"/>
      <c r="N5"/>
      <c r="O5"/>
      <c r="P5"/>
      <c r="Q5"/>
      <c r="R5"/>
      <c r="S5"/>
    </row>
    <row r="6" spans="1:19" s="26" customFormat="1" ht="12.75" customHeight="1">
      <c r="A6" s="177">
        <f t="shared" ref="A6:A20" si="0">A5+1</f>
        <v>2</v>
      </c>
      <c r="B6" s="51" t="s">
        <v>1</v>
      </c>
      <c r="C6" s="187" t="s">
        <v>14</v>
      </c>
      <c r="D6" s="187" t="s">
        <v>85</v>
      </c>
      <c r="E6" s="168" t="s">
        <v>108</v>
      </c>
      <c r="F6" s="168"/>
      <c r="G6" s="168"/>
      <c r="H6" s="168" t="s">
        <v>51</v>
      </c>
      <c r="I6" s="187" t="s">
        <v>15</v>
      </c>
      <c r="J6" s="49"/>
      <c r="K6"/>
      <c r="L6"/>
      <c r="M6"/>
      <c r="N6"/>
      <c r="O6"/>
      <c r="P6"/>
      <c r="Q6"/>
      <c r="R6"/>
      <c r="S6"/>
    </row>
    <row r="7" spans="1:19" s="26" customFormat="1" ht="12.75" customHeight="1">
      <c r="A7" s="177">
        <f t="shared" si="0"/>
        <v>3</v>
      </c>
      <c r="B7" s="86" t="s">
        <v>14</v>
      </c>
      <c r="C7" s="52" t="s">
        <v>86</v>
      </c>
      <c r="D7" s="52" t="s">
        <v>86</v>
      </c>
      <c r="E7" s="52" t="s">
        <v>86</v>
      </c>
      <c r="F7" s="52"/>
      <c r="G7" s="52"/>
      <c r="H7" s="52" t="s">
        <v>109</v>
      </c>
      <c r="I7" s="52" t="s">
        <v>107</v>
      </c>
      <c r="J7" s="49"/>
      <c r="K7"/>
      <c r="L7"/>
      <c r="M7"/>
      <c r="N7"/>
      <c r="O7"/>
      <c r="P7"/>
      <c r="Q7"/>
      <c r="R7"/>
      <c r="S7"/>
    </row>
    <row r="8" spans="1:19" s="26" customFormat="1" ht="12.75" customHeight="1">
      <c r="A8" s="177">
        <f t="shared" si="0"/>
        <v>4</v>
      </c>
      <c r="B8" s="87"/>
      <c r="C8" s="88"/>
      <c r="D8" s="88"/>
      <c r="E8" s="88"/>
      <c r="F8" s="88"/>
      <c r="G8" s="88"/>
      <c r="H8" s="221"/>
      <c r="I8" s="53"/>
      <c r="K8"/>
      <c r="L8"/>
      <c r="M8"/>
      <c r="N8"/>
      <c r="O8"/>
      <c r="P8"/>
      <c r="Q8"/>
      <c r="R8"/>
      <c r="S8"/>
    </row>
    <row r="9" spans="1:19" s="26" customFormat="1" ht="12.75" customHeight="1">
      <c r="A9" s="177">
        <v>5</v>
      </c>
      <c r="B9" s="87" t="s">
        <v>168</v>
      </c>
      <c r="C9" s="357">
        <v>37210</v>
      </c>
      <c r="D9" s="357">
        <v>48167</v>
      </c>
      <c r="E9" s="357">
        <v>39148</v>
      </c>
      <c r="F9" s="357"/>
      <c r="G9" s="357"/>
      <c r="H9" s="358">
        <v>50107</v>
      </c>
      <c r="I9" s="359">
        <f>3414.22*12</f>
        <v>40970.639999999999</v>
      </c>
      <c r="J9" s="329"/>
      <c r="K9"/>
      <c r="L9"/>
      <c r="M9"/>
      <c r="N9"/>
      <c r="O9"/>
      <c r="P9"/>
      <c r="Q9"/>
      <c r="R9"/>
      <c r="S9"/>
    </row>
    <row r="10" spans="1:19" s="26" customFormat="1" ht="12.75" customHeight="1">
      <c r="A10" s="177">
        <v>6</v>
      </c>
      <c r="B10" s="87" t="s">
        <v>153</v>
      </c>
      <c r="C10" s="357">
        <v>38019</v>
      </c>
      <c r="D10" s="357">
        <v>49341</v>
      </c>
      <c r="E10" s="357">
        <v>44134</v>
      </c>
      <c r="F10" s="357"/>
      <c r="G10" s="357"/>
      <c r="H10" s="358">
        <v>22219</v>
      </c>
      <c r="I10" s="359">
        <f>1579.34*12</f>
        <v>18952.079999999998</v>
      </c>
      <c r="J10" s="329"/>
      <c r="K10" s="351" t="s">
        <v>166</v>
      </c>
      <c r="L10"/>
      <c r="M10"/>
      <c r="N10"/>
      <c r="O10"/>
      <c r="P10"/>
      <c r="Q10"/>
      <c r="R10"/>
      <c r="S10"/>
    </row>
    <row r="11" spans="1:19" s="26" customFormat="1" ht="12.75" customHeight="1">
      <c r="A11" s="177">
        <f t="shared" si="0"/>
        <v>7</v>
      </c>
      <c r="B11" s="87"/>
      <c r="C11" s="88"/>
      <c r="D11" s="88"/>
      <c r="E11" s="88"/>
      <c r="F11" s="88"/>
      <c r="G11" s="88"/>
      <c r="H11" s="221"/>
      <c r="I11" s="117"/>
      <c r="J11" s="329"/>
      <c r="K11"/>
      <c r="L11"/>
      <c r="M11"/>
      <c r="N11"/>
      <c r="O11"/>
      <c r="P11"/>
      <c r="Q11"/>
      <c r="R11"/>
      <c r="S11"/>
    </row>
    <row r="12" spans="1:19" s="26" customFormat="1" ht="12.75" customHeight="1">
      <c r="A12" s="177">
        <v>7</v>
      </c>
      <c r="B12" s="87"/>
      <c r="C12" s="88"/>
      <c r="D12" s="88"/>
      <c r="E12" s="88"/>
      <c r="F12" s="88"/>
      <c r="G12" s="88"/>
      <c r="H12" s="221"/>
      <c r="I12" s="222"/>
      <c r="K12"/>
      <c r="L12"/>
      <c r="M12"/>
      <c r="N12"/>
      <c r="O12"/>
      <c r="P12"/>
      <c r="Q12"/>
      <c r="R12"/>
      <c r="S12"/>
    </row>
    <row r="13" spans="1:19" s="26" customFormat="1" ht="15" customHeight="1" thickBot="1">
      <c r="A13" s="177">
        <v>8</v>
      </c>
      <c r="B13" s="54" t="s">
        <v>20</v>
      </c>
      <c r="C13" s="89"/>
      <c r="D13" s="89"/>
      <c r="E13" s="89"/>
      <c r="F13" s="89"/>
      <c r="G13" s="89"/>
      <c r="H13" s="89"/>
      <c r="I13" s="223">
        <f>SUM(I8:I12)</f>
        <v>59922.720000000001</v>
      </c>
      <c r="K13"/>
      <c r="L13"/>
      <c r="M13"/>
      <c r="N13"/>
      <c r="O13"/>
      <c r="P13"/>
      <c r="Q13"/>
      <c r="R13"/>
      <c r="S13"/>
    </row>
    <row r="14" spans="1:19" s="26" customFormat="1" ht="12.75" customHeight="1" thickTop="1">
      <c r="A14" s="177">
        <f t="shared" si="0"/>
        <v>9</v>
      </c>
      <c r="B14" s="90"/>
      <c r="C14" s="91"/>
      <c r="D14" s="91"/>
      <c r="E14" s="91"/>
      <c r="F14" s="91"/>
      <c r="G14" s="91"/>
      <c r="H14" s="91"/>
      <c r="I14" s="53"/>
      <c r="K14"/>
      <c r="L14"/>
      <c r="M14"/>
      <c r="N14"/>
      <c r="O14"/>
      <c r="P14"/>
      <c r="Q14"/>
      <c r="R14"/>
      <c r="S14"/>
    </row>
    <row r="15" spans="1:19" s="26" customFormat="1" ht="12.75" customHeight="1">
      <c r="A15" s="177">
        <v>9</v>
      </c>
      <c r="B15" s="90" t="s">
        <v>141</v>
      </c>
      <c r="C15" s="91"/>
      <c r="D15" s="91"/>
      <c r="E15" s="91"/>
      <c r="F15" s="91"/>
      <c r="G15" s="91"/>
      <c r="H15" s="91"/>
      <c r="I15" s="360">
        <f>'New Format'!C30</f>
        <v>808685319</v>
      </c>
      <c r="K15"/>
      <c r="L15"/>
      <c r="M15"/>
      <c r="N15"/>
      <c r="O15"/>
      <c r="P15"/>
      <c r="Q15"/>
      <c r="R15"/>
      <c r="S15"/>
    </row>
    <row r="16" spans="1:19" s="26" customFormat="1" ht="12.75" customHeight="1">
      <c r="A16" s="177">
        <v>10</v>
      </c>
      <c r="B16" s="90"/>
      <c r="C16" s="91"/>
      <c r="D16" s="91"/>
      <c r="E16" s="91"/>
      <c r="F16" s="91"/>
      <c r="G16" s="91"/>
      <c r="H16" s="91"/>
      <c r="I16" s="53"/>
      <c r="K16"/>
      <c r="L16"/>
      <c r="M16"/>
      <c r="N16"/>
      <c r="O16"/>
      <c r="P16"/>
      <c r="Q16"/>
      <c r="R16"/>
      <c r="S16"/>
    </row>
    <row r="17" spans="1:19" s="26" customFormat="1" ht="12.75" customHeight="1">
      <c r="A17" s="177">
        <f t="shared" si="0"/>
        <v>11</v>
      </c>
      <c r="B17" s="90" t="s">
        <v>144</v>
      </c>
      <c r="C17" s="91"/>
      <c r="D17" s="91"/>
      <c r="E17" s="91"/>
      <c r="F17" s="91"/>
      <c r="G17" s="91"/>
      <c r="H17" s="91"/>
      <c r="I17" s="309">
        <f>ROUND(I13/I15,4)</f>
        <v>1E-4</v>
      </c>
      <c r="K17"/>
      <c r="L17"/>
      <c r="M17"/>
      <c r="N17"/>
      <c r="O17"/>
      <c r="P17"/>
      <c r="Q17"/>
      <c r="R17"/>
      <c r="S17"/>
    </row>
    <row r="18" spans="1:19" s="26" customFormat="1" ht="12.75" customHeight="1">
      <c r="A18" s="177">
        <v>11</v>
      </c>
      <c r="B18" s="90"/>
      <c r="C18" s="91"/>
      <c r="D18" s="91"/>
      <c r="E18" s="91"/>
      <c r="F18" s="91"/>
      <c r="G18" s="91"/>
      <c r="H18" s="91"/>
      <c r="I18" s="53"/>
      <c r="K18"/>
      <c r="L18"/>
      <c r="M18"/>
      <c r="N18"/>
      <c r="O18"/>
      <c r="P18"/>
      <c r="Q18"/>
      <c r="R18"/>
      <c r="S18"/>
    </row>
    <row r="19" spans="1:19" s="26" customFormat="1" ht="12.75" customHeight="1">
      <c r="A19" s="177">
        <v>12</v>
      </c>
      <c r="C19" s="49"/>
      <c r="D19" s="49"/>
      <c r="E19" s="49"/>
      <c r="F19" s="49"/>
      <c r="G19" s="49"/>
      <c r="H19" s="117"/>
      <c r="I19" s="53"/>
      <c r="K19"/>
      <c r="L19"/>
      <c r="M19"/>
      <c r="N19"/>
      <c r="O19"/>
      <c r="P19"/>
      <c r="Q19"/>
      <c r="R19"/>
      <c r="S19"/>
    </row>
    <row r="20" spans="1:19" s="26" customFormat="1" ht="12.75" customHeight="1">
      <c r="A20" s="177">
        <f t="shared" si="0"/>
        <v>13</v>
      </c>
      <c r="B20" s="176"/>
      <c r="H20" s="27"/>
      <c r="I20" s="53"/>
      <c r="K20"/>
      <c r="L20"/>
      <c r="M20"/>
      <c r="N20"/>
      <c r="O20"/>
      <c r="P20"/>
      <c r="Q20"/>
      <c r="R20"/>
      <c r="S20"/>
    </row>
    <row r="21" spans="1:19" s="26" customFormat="1" ht="12.75" customHeight="1">
      <c r="A21" s="177">
        <v>13</v>
      </c>
      <c r="B21" s="49" t="s">
        <v>106</v>
      </c>
      <c r="H21" s="27"/>
      <c r="I21" s="53"/>
      <c r="K21"/>
      <c r="L21"/>
      <c r="M21"/>
      <c r="N21"/>
      <c r="O21"/>
      <c r="P21"/>
      <c r="Q21"/>
      <c r="R21"/>
      <c r="S21"/>
    </row>
    <row r="22" spans="1:19" s="26" customFormat="1" ht="12.75" customHeight="1">
      <c r="A22" s="177">
        <v>14</v>
      </c>
      <c r="B22" s="176" t="s">
        <v>169</v>
      </c>
      <c r="H22" s="27"/>
      <c r="I22" s="27"/>
      <c r="K22"/>
      <c r="L22"/>
      <c r="M22"/>
      <c r="N22"/>
      <c r="O22"/>
      <c r="P22"/>
      <c r="Q22"/>
      <c r="R22"/>
      <c r="S22"/>
    </row>
    <row r="23" spans="1:19" s="26" customFormat="1" ht="12.75" customHeight="1">
      <c r="A23" s="178"/>
      <c r="H23" s="27"/>
      <c r="I23" s="27"/>
      <c r="K23"/>
      <c r="L23"/>
      <c r="M23"/>
      <c r="N23"/>
      <c r="O23"/>
      <c r="P23"/>
      <c r="Q23"/>
      <c r="R23"/>
      <c r="S23"/>
    </row>
    <row r="24" spans="1:19" s="26" customFormat="1" ht="12.75" customHeight="1">
      <c r="H24" s="27"/>
      <c r="I24" s="27"/>
      <c r="K24"/>
      <c r="L24"/>
      <c r="M24"/>
      <c r="N24"/>
      <c r="O24"/>
      <c r="P24"/>
      <c r="Q24"/>
      <c r="R24"/>
      <c r="S24"/>
    </row>
    <row r="25" spans="1:19" s="26" customFormat="1" ht="12.75" customHeight="1">
      <c r="H25" s="27"/>
      <c r="I25" s="169"/>
      <c r="K25"/>
      <c r="L25"/>
      <c r="M25"/>
      <c r="N25"/>
      <c r="O25"/>
      <c r="P25"/>
      <c r="Q25"/>
      <c r="R25"/>
      <c r="S25"/>
    </row>
    <row r="26" spans="1:19" s="26" customFormat="1" ht="12.75" customHeight="1">
      <c r="H26" s="27"/>
      <c r="I26" s="27"/>
      <c r="K26"/>
      <c r="L26"/>
      <c r="M26"/>
      <c r="N26"/>
      <c r="O26"/>
      <c r="P26"/>
      <c r="Q26"/>
      <c r="R26"/>
      <c r="S26"/>
    </row>
    <row r="27" spans="1:19" s="26" customFormat="1" ht="12.75" customHeight="1">
      <c r="H27" s="27"/>
      <c r="I27" s="27"/>
      <c r="K27"/>
      <c r="L27"/>
      <c r="M27"/>
      <c r="N27"/>
      <c r="O27"/>
      <c r="P27"/>
      <c r="Q27"/>
      <c r="R27"/>
      <c r="S27"/>
    </row>
    <row r="28" spans="1:19" s="26" customFormat="1" ht="12.75" customHeight="1">
      <c r="H28" s="27"/>
      <c r="I28" s="27"/>
      <c r="K28"/>
      <c r="L28"/>
      <c r="M28"/>
      <c r="N28"/>
      <c r="O28"/>
      <c r="P28"/>
      <c r="Q28"/>
      <c r="R28"/>
      <c r="S28"/>
    </row>
    <row r="29" spans="1:19" s="26" customFormat="1" ht="12.75" customHeight="1">
      <c r="H29" s="27"/>
      <c r="I29" s="27"/>
      <c r="K29"/>
      <c r="L29"/>
      <c r="M29"/>
      <c r="N29"/>
      <c r="O29"/>
      <c r="P29"/>
      <c r="Q29"/>
      <c r="R29"/>
      <c r="S29"/>
    </row>
    <row r="30" spans="1:19" s="26" customFormat="1" ht="12.75" customHeight="1">
      <c r="H30" s="27"/>
      <c r="I30" s="27"/>
      <c r="K30"/>
      <c r="L30"/>
      <c r="M30"/>
      <c r="N30"/>
      <c r="O30"/>
      <c r="P30"/>
      <c r="Q30"/>
      <c r="R30"/>
      <c r="S30"/>
    </row>
    <row r="31" spans="1:19" s="26" customFormat="1" ht="12.75" customHeight="1">
      <c r="H31" s="27"/>
      <c r="I31" s="27"/>
      <c r="K31"/>
      <c r="L31"/>
      <c r="M31"/>
      <c r="N31"/>
      <c r="O31"/>
      <c r="P31"/>
      <c r="Q31"/>
      <c r="R31"/>
      <c r="S31"/>
    </row>
    <row r="32" spans="1:19" s="26" customFormat="1" ht="12.75" customHeight="1">
      <c r="H32" s="27"/>
      <c r="I32" s="27"/>
      <c r="K32"/>
      <c r="L32"/>
      <c r="M32"/>
      <c r="N32"/>
      <c r="O32"/>
      <c r="P32"/>
      <c r="Q32"/>
      <c r="R32"/>
      <c r="S32"/>
    </row>
    <row r="33" spans="8:19" s="26" customFormat="1" ht="12.75" customHeight="1">
      <c r="H33" s="27"/>
      <c r="I33" s="27"/>
      <c r="K33"/>
      <c r="L33"/>
      <c r="M33"/>
      <c r="N33"/>
      <c r="O33"/>
      <c r="P33"/>
      <c r="Q33"/>
      <c r="R33"/>
      <c r="S33"/>
    </row>
    <row r="34" spans="8:19" s="26" customFormat="1" ht="12.75" customHeight="1">
      <c r="K34"/>
      <c r="L34"/>
      <c r="M34"/>
      <c r="N34"/>
      <c r="O34"/>
      <c r="P34"/>
      <c r="Q34"/>
      <c r="R34"/>
      <c r="S34"/>
    </row>
    <row r="35" spans="8:19" s="26" customFormat="1" ht="12.75" customHeight="1">
      <c r="K35"/>
      <c r="L35"/>
      <c r="M35"/>
      <c r="N35"/>
      <c r="O35"/>
      <c r="P35"/>
      <c r="Q35"/>
      <c r="R35"/>
      <c r="S35"/>
    </row>
    <row r="36" spans="8:19" s="26" customFormat="1" ht="12.75" customHeight="1">
      <c r="K36"/>
      <c r="L36"/>
      <c r="M36"/>
      <c r="N36"/>
      <c r="O36"/>
      <c r="P36"/>
      <c r="Q36"/>
      <c r="R36"/>
      <c r="S36"/>
    </row>
    <row r="37" spans="8:19" s="26" customFormat="1" ht="12.75" customHeight="1">
      <c r="K37"/>
      <c r="L37"/>
      <c r="M37"/>
      <c r="N37"/>
      <c r="O37"/>
      <c r="P37"/>
      <c r="Q37"/>
      <c r="R37"/>
      <c r="S37"/>
    </row>
    <row r="38" spans="8:19" s="26" customFormat="1" ht="12.75" customHeight="1">
      <c r="K38"/>
      <c r="L38"/>
      <c r="M38"/>
      <c r="N38"/>
      <c r="O38"/>
      <c r="P38"/>
      <c r="Q38"/>
      <c r="R38"/>
      <c r="S38"/>
    </row>
    <row r="39" spans="8:19" s="26" customFormat="1" ht="12.75" customHeight="1">
      <c r="K39"/>
      <c r="L39"/>
      <c r="M39"/>
      <c r="N39"/>
      <c r="O39"/>
      <c r="P39"/>
      <c r="Q39"/>
      <c r="R39"/>
      <c r="S39"/>
    </row>
    <row r="40" spans="8:19" s="26" customFormat="1" ht="12.75" customHeight="1">
      <c r="K40"/>
      <c r="L40"/>
      <c r="M40"/>
      <c r="N40"/>
      <c r="O40"/>
      <c r="P40"/>
      <c r="Q40"/>
      <c r="R40"/>
      <c r="S40"/>
    </row>
    <row r="41" spans="8:19" s="26" customFormat="1" ht="15.75">
      <c r="K41"/>
      <c r="L41"/>
      <c r="M41"/>
      <c r="N41"/>
      <c r="O41"/>
      <c r="P41"/>
      <c r="Q41"/>
      <c r="R41"/>
      <c r="S41"/>
    </row>
    <row r="42" spans="8:19" s="26" customFormat="1" ht="15.75">
      <c r="K42"/>
      <c r="L42"/>
      <c r="M42"/>
      <c r="N42"/>
      <c r="O42"/>
      <c r="P42"/>
      <c r="Q42"/>
      <c r="R42"/>
      <c r="S42"/>
    </row>
    <row r="43" spans="8:19" s="26" customFormat="1" ht="15.75">
      <c r="K43"/>
      <c r="L43"/>
      <c r="M43"/>
      <c r="N43"/>
      <c r="O43"/>
      <c r="P43"/>
      <c r="Q43"/>
      <c r="R43"/>
      <c r="S43"/>
    </row>
    <row r="44" spans="8:19" s="26" customFormat="1" ht="15.75">
      <c r="K44"/>
      <c r="L44"/>
      <c r="M44"/>
      <c r="N44"/>
      <c r="O44"/>
      <c r="P44"/>
      <c r="Q44"/>
      <c r="R44"/>
      <c r="S44"/>
    </row>
    <row r="45" spans="8:19" s="26" customFormat="1" ht="15.75">
      <c r="K45"/>
      <c r="L45"/>
      <c r="M45"/>
      <c r="N45"/>
      <c r="O45"/>
      <c r="P45"/>
      <c r="Q45"/>
      <c r="R45"/>
      <c r="S45"/>
    </row>
    <row r="46" spans="8:19" s="26" customFormat="1" ht="15.75">
      <c r="K46"/>
      <c r="L46"/>
      <c r="M46"/>
      <c r="N46"/>
      <c r="O46"/>
      <c r="P46"/>
      <c r="Q46"/>
      <c r="R46"/>
      <c r="S46"/>
    </row>
    <row r="47" spans="8:19" s="26" customFormat="1" ht="15.75">
      <c r="K47"/>
      <c r="L47"/>
      <c r="M47"/>
      <c r="N47"/>
      <c r="O47"/>
      <c r="P47"/>
      <c r="Q47"/>
      <c r="R47"/>
      <c r="S47"/>
    </row>
    <row r="48" spans="8:19" s="26" customFormat="1" ht="15.75">
      <c r="K48"/>
      <c r="L48"/>
      <c r="M48"/>
      <c r="N48"/>
      <c r="O48"/>
      <c r="P48"/>
      <c r="Q48"/>
      <c r="R48"/>
      <c r="S48"/>
    </row>
    <row r="49" spans="11:19" s="26" customFormat="1" ht="15.75">
      <c r="K49"/>
      <c r="L49"/>
      <c r="M49"/>
      <c r="N49"/>
      <c r="O49"/>
      <c r="P49"/>
      <c r="Q49"/>
      <c r="R49"/>
      <c r="S49"/>
    </row>
    <row r="50" spans="11:19" s="26" customFormat="1" ht="15.75">
      <c r="K50"/>
      <c r="L50"/>
      <c r="M50"/>
      <c r="N50"/>
      <c r="O50"/>
      <c r="P50"/>
      <c r="Q50"/>
      <c r="R50"/>
      <c r="S50"/>
    </row>
    <row r="51" spans="11:19" s="26" customFormat="1" ht="15.75">
      <c r="K51"/>
      <c r="L51"/>
      <c r="M51"/>
      <c r="N51"/>
      <c r="O51"/>
      <c r="P51"/>
      <c r="Q51"/>
      <c r="R51"/>
      <c r="S51"/>
    </row>
    <row r="52" spans="11:19" s="26" customFormat="1" ht="15.75">
      <c r="K52"/>
      <c r="L52"/>
      <c r="M52"/>
      <c r="N52"/>
      <c r="O52"/>
      <c r="P52"/>
      <c r="Q52"/>
      <c r="R52"/>
      <c r="S52"/>
    </row>
    <row r="53" spans="11:19" s="26" customFormat="1" ht="15.75">
      <c r="K53"/>
      <c r="L53"/>
      <c r="M53"/>
      <c r="N53"/>
      <c r="O53"/>
      <c r="P53"/>
      <c r="Q53"/>
      <c r="R53"/>
      <c r="S53"/>
    </row>
    <row r="54" spans="11:19" s="26" customFormat="1" ht="15.75">
      <c r="K54"/>
      <c r="L54"/>
      <c r="M54"/>
      <c r="N54"/>
      <c r="O54"/>
      <c r="P54"/>
      <c r="Q54"/>
      <c r="R54"/>
      <c r="S54"/>
    </row>
    <row r="55" spans="11:19" s="26" customFormat="1" ht="15.75">
      <c r="K55"/>
      <c r="L55"/>
      <c r="M55"/>
      <c r="N55"/>
      <c r="O55"/>
      <c r="P55"/>
      <c r="Q55"/>
      <c r="R55"/>
      <c r="S55"/>
    </row>
    <row r="56" spans="11:19" s="26" customFormat="1" ht="15.75">
      <c r="K56"/>
      <c r="L56"/>
      <c r="M56"/>
      <c r="N56"/>
      <c r="O56"/>
      <c r="P56"/>
      <c r="Q56"/>
      <c r="R56"/>
      <c r="S56"/>
    </row>
    <row r="57" spans="11:19" s="26" customFormat="1" ht="15.75">
      <c r="K57"/>
      <c r="L57"/>
      <c r="M57"/>
      <c r="N57"/>
      <c r="O57"/>
      <c r="P57"/>
      <c r="Q57"/>
      <c r="R57"/>
      <c r="S57"/>
    </row>
    <row r="58" spans="11:19" s="26" customFormat="1" ht="15.75">
      <c r="K58"/>
      <c r="L58"/>
      <c r="M58"/>
      <c r="N58"/>
      <c r="O58"/>
      <c r="P58"/>
      <c r="Q58"/>
      <c r="R58"/>
      <c r="S58"/>
    </row>
    <row r="59" spans="11:19" s="26" customFormat="1" ht="15.75">
      <c r="K59"/>
      <c r="L59"/>
      <c r="M59"/>
      <c r="N59"/>
      <c r="O59"/>
      <c r="P59"/>
      <c r="Q59"/>
      <c r="R59"/>
      <c r="S59"/>
    </row>
    <row r="60" spans="11:19" s="26" customFormat="1" ht="15.75">
      <c r="K60"/>
      <c r="L60"/>
      <c r="M60"/>
      <c r="N60"/>
      <c r="O60"/>
      <c r="P60"/>
      <c r="Q60"/>
      <c r="R60"/>
      <c r="S60"/>
    </row>
    <row r="61" spans="11:19" s="26" customFormat="1" ht="15.75">
      <c r="K61"/>
      <c r="L61"/>
      <c r="M61"/>
      <c r="N61"/>
      <c r="O61"/>
      <c r="P61"/>
      <c r="Q61"/>
      <c r="R61"/>
      <c r="S61"/>
    </row>
    <row r="62" spans="11:19" s="26" customFormat="1" ht="15.75">
      <c r="K62"/>
      <c r="L62"/>
      <c r="M62"/>
      <c r="N62"/>
      <c r="O62"/>
      <c r="P62"/>
      <c r="Q62"/>
      <c r="R62"/>
      <c r="S62"/>
    </row>
    <row r="63" spans="11:19" s="26" customFormat="1" ht="15.75">
      <c r="K63"/>
      <c r="L63"/>
      <c r="M63"/>
      <c r="N63"/>
      <c r="O63"/>
      <c r="P63"/>
      <c r="Q63"/>
      <c r="R63"/>
      <c r="S63"/>
    </row>
    <row r="64" spans="11:19" s="26" customFormat="1" ht="15.75">
      <c r="K64"/>
      <c r="L64"/>
      <c r="M64"/>
      <c r="N64"/>
      <c r="O64"/>
      <c r="P64"/>
      <c r="Q64"/>
      <c r="R64"/>
      <c r="S64"/>
    </row>
    <row r="65" spans="11:19" s="26" customFormat="1" ht="15.75">
      <c r="K65"/>
      <c r="L65"/>
      <c r="M65"/>
      <c r="N65"/>
      <c r="O65"/>
      <c r="P65"/>
      <c r="Q65"/>
      <c r="R65"/>
      <c r="S65"/>
    </row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2022-12-09T08:00:00+00:00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220912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511FFD853AE44DB75AA72664887198" ma:contentTypeVersion="20" ma:contentTypeDescription="" ma:contentTypeScope="" ma:versionID="e3ecaa18093d0ce9d27214844b7b61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9C95F-84FE-46F6-8D6B-BE843EA0D7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306426-6D4C-4A33-9702-DF1123567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3518D-D8FB-4198-92FD-FEA905FB8FB4}"/>
</file>

<file path=customXml/itemProps4.xml><?xml version="1.0" encoding="utf-8"?>
<ds:datastoreItem xmlns:ds="http://schemas.openxmlformats.org/officeDocument/2006/customXml" ds:itemID="{98FA5890-5D44-4FB5-9AA4-37377B9FF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Booth, Avery (UTC)</cp:lastModifiedBy>
  <cp:lastPrinted>2023-05-17T16:29:33Z</cp:lastPrinted>
  <dcterms:created xsi:type="dcterms:W3CDTF">2001-12-28T16:42:36Z</dcterms:created>
  <dcterms:modified xsi:type="dcterms:W3CDTF">2023-06-01T23:57:13Z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0x0101006E56B4D1795A2E4DB2F0B01679ED314A00B2511FFD853AE44DB75AA72664887198</vt:lpwstr>
  </property>
  <property fmtid="{D5CDD505-2E9C-101B-9397-08002B2CF9AE}" pid="3" name="_docset_NoMedatataSyncRequired">
    <vt:lpwstr>False</vt:lpwstr>
  </property>
</Properties>
</file>