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0\"/>
    </mc:Choice>
  </mc:AlternateContent>
  <xr:revisionPtr revIDLastSave="0" documentId="13_ncr:1_{1FBE78CA-2E0B-4511-BFD3-882E3021589B}" xr6:coauthVersionLast="47" xr6:coauthVersionMax="47" xr10:uidLastSave="{00000000-0000-0000-0000-000000000000}"/>
  <bookViews>
    <workbookView xWindow="28680" yWindow="2025" windowWidth="29040" windowHeight="15720" activeTab="1" xr2:uid="{EAE89708-4E61-44FC-BBEB-011D26919F65}"/>
  </bookViews>
  <sheets>
    <sheet name="Sch 1.0 - TY Reg Depr" sheetId="4" r:id="rId1"/>
    <sheet name="Sch 2.0 - RY Reg Depr" sheetId="1" r:id="rId2"/>
    <sheet name="Sch 3.0 - CIAC" sheetId="2" r:id="rId3"/>
  </sheets>
  <definedNames>
    <definedName name="averaging" localSheetId="0">#REF!</definedName>
    <definedName name="averaging" localSheetId="1">#REF!</definedName>
    <definedName name="averaging" localSheetId="2">#REF!</definedName>
    <definedName name="averaging">#REF!</definedName>
    <definedName name="debtP">#REF!</definedName>
    <definedName name="fences" localSheetId="0">#REF!</definedName>
    <definedName name="fences" localSheetId="1">#REF!</definedName>
    <definedName name="fences" localSheetId="2">#REF!</definedName>
    <definedName name="fences">#REF!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PUTc">#REF!</definedName>
    <definedName name="intercept">#REF!</definedName>
    <definedName name="level" localSheetId="0">#REF!</definedName>
    <definedName name="level" localSheetId="1">#REF!</definedName>
    <definedName name="level" localSheetId="2">#REF!</definedName>
    <definedName name="level">#REF!</definedName>
    <definedName name="number" localSheetId="0">#REF!</definedName>
    <definedName name="number" localSheetId="1">#REF!</definedName>
    <definedName name="number" localSheetId="2">#REF!</definedName>
    <definedName name="number">#REF!</definedName>
    <definedName name="observations" localSheetId="0">#REF!</definedName>
    <definedName name="observations" localSheetId="1">#REF!</definedName>
    <definedName name="observations" localSheetId="2">#REF!</definedName>
    <definedName name="observations">#REF!</definedName>
    <definedName name="outliercut">#REF!</definedName>
    <definedName name="ppemeasurement" localSheetId="0">#REF!</definedName>
    <definedName name="ppemeasurement" localSheetId="1">#REF!</definedName>
    <definedName name="ppemeasurement" localSheetId="2">#REF!</definedName>
    <definedName name="ppemeasurement">#REF!</definedName>
    <definedName name="_xlnm.Print_Area" localSheetId="0">'Sch 1.0 - TY Reg Depr'!$B$1:$R$185</definedName>
    <definedName name="_xlnm.Print_Area" localSheetId="1">'Sch 2.0 - RY Reg Depr'!$B$1:$R$177</definedName>
    <definedName name="_xlnm.Print_Area" localSheetId="2">'Sch 3.0 - CIAC'!$B$1:$R$45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MIc" localSheetId="0">#REF!</definedName>
    <definedName name="Print_Area_MIc" localSheetId="1">#REF!</definedName>
    <definedName name="Print_Area_MIc" localSheetId="2">#REF!</definedName>
    <definedName name="Print_Area_MIc">#REF!</definedName>
    <definedName name="range" localSheetId="0">#REF!</definedName>
    <definedName name="range" localSheetId="1">#REF!</definedName>
    <definedName name="range" localSheetId="2">#REF!</definedName>
    <definedName name="range">#REF!</definedName>
    <definedName name="SIC_Table" localSheetId="0">#REF!</definedName>
    <definedName name="SIC_Table" localSheetId="1">#REF!</definedName>
    <definedName name="SIC_Table" localSheetId="2">#REF!</definedName>
    <definedName name="SIC_Table">#REF!</definedName>
    <definedName name="sics" localSheetId="0">#REF!</definedName>
    <definedName name="sics" localSheetId="1">#REF!</definedName>
    <definedName name="sics" localSheetId="2">#REF!</definedName>
    <definedName name="sics">#REF!</definedName>
    <definedName name="slope" localSheetId="0">#REF!</definedName>
    <definedName name="slope" localSheetId="1">#REF!</definedName>
    <definedName name="slope" localSheetId="2">#REF!</definedName>
    <definedName name="slope">#REF!</definedName>
    <definedName name="Table_SIC" localSheetId="0">#REF!</definedName>
    <definedName name="Table_SIC" localSheetId="1">#REF!</definedName>
    <definedName name="Table_SIC" localSheetId="2">#REF!</definedName>
    <definedName name="Table_SIC">#REF!</definedName>
    <definedName name="X_inter4" localSheetId="0">#REF!</definedName>
    <definedName name="X_inter4" localSheetId="1">#REF!</definedName>
    <definedName name="X_inter4" localSheetId="2">#REF!</definedName>
    <definedName name="X_inter4">#REF!</definedName>
    <definedName name="y_inter1" localSheetId="0">#REF!</definedName>
    <definedName name="y_inter1" localSheetId="1">#REF!</definedName>
    <definedName name="y_inter1" localSheetId="2">#REF!</definedName>
    <definedName name="y_inter1">#REF!</definedName>
    <definedName name="y_inter2" localSheetId="0">#REF!</definedName>
    <definedName name="y_inter2" localSheetId="1">#REF!</definedName>
    <definedName name="y_inter2" localSheetId="2">#REF!</definedName>
    <definedName name="y_inter2">#REF!</definedName>
    <definedName name="y_inter3" localSheetId="0">#REF!</definedName>
    <definedName name="y_inter3" localSheetId="1">#REF!</definedName>
    <definedName name="y_inter3" localSheetId="2">#REF!</definedName>
    <definedName name="y_inter3">#REF!</definedName>
    <definedName name="y_inter4" localSheetId="0">#REF!</definedName>
    <definedName name="y_inter4" localSheetId="1">#REF!</definedName>
    <definedName name="y_inter4" localSheetId="2">#REF!</definedName>
    <definedName name="y_inter4">#REF!</definedName>
    <definedName name="years" localSheetId="0">#REF!</definedName>
    <definedName name="years" localSheetId="1">#REF!</definedName>
    <definedName name="years" localSheetId="2">#REF!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4" l="1"/>
  <c r="L169" i="4"/>
  <c r="V167" i="4"/>
  <c r="T167" i="4"/>
  <c r="S167" i="4"/>
  <c r="M167" i="4"/>
  <c r="K167" i="4"/>
  <c r="U167" i="4" s="1"/>
  <c r="N167" i="4" s="1"/>
  <c r="V166" i="4"/>
  <c r="T166" i="4"/>
  <c r="S166" i="4"/>
  <c r="M166" i="4"/>
  <c r="K166" i="4"/>
  <c r="U166" i="4" s="1"/>
  <c r="N166" i="4" s="1"/>
  <c r="V165" i="4"/>
  <c r="T165" i="4"/>
  <c r="S165" i="4"/>
  <c r="M165" i="4"/>
  <c r="K165" i="4"/>
  <c r="U165" i="4" s="1"/>
  <c r="V164" i="4"/>
  <c r="T164" i="4"/>
  <c r="S164" i="4"/>
  <c r="M164" i="4"/>
  <c r="K164" i="4"/>
  <c r="U164" i="4" s="1"/>
  <c r="L160" i="4"/>
  <c r="V158" i="4"/>
  <c r="T158" i="4"/>
  <c r="S158" i="4"/>
  <c r="M158" i="4"/>
  <c r="K158" i="4"/>
  <c r="U158" i="4" s="1"/>
  <c r="N158" i="4" s="1"/>
  <c r="V157" i="4"/>
  <c r="T157" i="4"/>
  <c r="S157" i="4"/>
  <c r="M157" i="4"/>
  <c r="K157" i="4"/>
  <c r="U157" i="4" s="1"/>
  <c r="V156" i="4"/>
  <c r="T156" i="4"/>
  <c r="S156" i="4"/>
  <c r="M156" i="4"/>
  <c r="K156" i="4"/>
  <c r="U156" i="4" s="1"/>
  <c r="V155" i="4"/>
  <c r="T155" i="4"/>
  <c r="S155" i="4"/>
  <c r="M155" i="4"/>
  <c r="K155" i="4"/>
  <c r="U155" i="4" s="1"/>
  <c r="N155" i="4" s="1"/>
  <c r="V154" i="4"/>
  <c r="T154" i="4"/>
  <c r="S154" i="4"/>
  <c r="M154" i="4"/>
  <c r="K154" i="4"/>
  <c r="U154" i="4" s="1"/>
  <c r="N154" i="4" s="1"/>
  <c r="V153" i="4"/>
  <c r="T153" i="4"/>
  <c r="S153" i="4"/>
  <c r="M153" i="4"/>
  <c r="K153" i="4"/>
  <c r="U153" i="4" s="1"/>
  <c r="L149" i="4"/>
  <c r="V147" i="4"/>
  <c r="T147" i="4"/>
  <c r="S147" i="4"/>
  <c r="M147" i="4"/>
  <c r="K147" i="4"/>
  <c r="U147" i="4" s="1"/>
  <c r="N147" i="4" s="1"/>
  <c r="N149" i="4" s="1"/>
  <c r="L143" i="4"/>
  <c r="V141" i="4"/>
  <c r="T141" i="4"/>
  <c r="S141" i="4"/>
  <c r="M141" i="4"/>
  <c r="K141" i="4"/>
  <c r="U141" i="4" s="1"/>
  <c r="N141" i="4" s="1"/>
  <c r="V140" i="4"/>
  <c r="T140" i="4"/>
  <c r="S140" i="4"/>
  <c r="M140" i="4"/>
  <c r="K140" i="4"/>
  <c r="U140" i="4" s="1"/>
  <c r="V139" i="4"/>
  <c r="T139" i="4"/>
  <c r="S139" i="4"/>
  <c r="M139" i="4"/>
  <c r="K139" i="4"/>
  <c r="U139" i="4" s="1"/>
  <c r="N139" i="4" s="1"/>
  <c r="V138" i="4"/>
  <c r="T138" i="4"/>
  <c r="S138" i="4"/>
  <c r="M138" i="4"/>
  <c r="K138" i="4"/>
  <c r="U138" i="4" s="1"/>
  <c r="N138" i="4" s="1"/>
  <c r="L134" i="4"/>
  <c r="V132" i="4"/>
  <c r="T132" i="4"/>
  <c r="S132" i="4"/>
  <c r="M132" i="4"/>
  <c r="K132" i="4"/>
  <c r="U132" i="4" s="1"/>
  <c r="V131" i="4"/>
  <c r="T131" i="4"/>
  <c r="S131" i="4"/>
  <c r="M131" i="4"/>
  <c r="K131" i="4"/>
  <c r="U131" i="4" s="1"/>
  <c r="N131" i="4" s="1"/>
  <c r="L127" i="4"/>
  <c r="V125" i="4"/>
  <c r="T125" i="4"/>
  <c r="S125" i="4"/>
  <c r="M125" i="4"/>
  <c r="K125" i="4"/>
  <c r="U125" i="4" s="1"/>
  <c r="V124" i="4"/>
  <c r="T124" i="4"/>
  <c r="S124" i="4"/>
  <c r="M124" i="4"/>
  <c r="K124" i="4"/>
  <c r="U124" i="4" s="1"/>
  <c r="L116" i="4"/>
  <c r="V114" i="4"/>
  <c r="T114" i="4"/>
  <c r="S114" i="4"/>
  <c r="M114" i="4"/>
  <c r="K114" i="4"/>
  <c r="U114" i="4" s="1"/>
  <c r="N114" i="4" s="1"/>
  <c r="N116" i="4" s="1"/>
  <c r="L110" i="4"/>
  <c r="V108" i="4"/>
  <c r="T108" i="4"/>
  <c r="S108" i="4"/>
  <c r="M108" i="4"/>
  <c r="K108" i="4"/>
  <c r="U108" i="4" s="1"/>
  <c r="P108" i="4" s="1"/>
  <c r="V107" i="4"/>
  <c r="T107" i="4"/>
  <c r="S107" i="4"/>
  <c r="M107" i="4"/>
  <c r="K107" i="4"/>
  <c r="U107" i="4" s="1"/>
  <c r="V106" i="4"/>
  <c r="T106" i="4"/>
  <c r="S106" i="4"/>
  <c r="M106" i="4"/>
  <c r="K106" i="4"/>
  <c r="U106" i="4" s="1"/>
  <c r="N106" i="4" s="1"/>
  <c r="V100" i="4"/>
  <c r="T100" i="4"/>
  <c r="S100" i="4"/>
  <c r="M100" i="4"/>
  <c r="K100" i="4"/>
  <c r="U100" i="4" s="1"/>
  <c r="P100" i="4" s="1"/>
  <c r="V99" i="4"/>
  <c r="T99" i="4"/>
  <c r="S99" i="4"/>
  <c r="L99" i="4"/>
  <c r="L102" i="4" s="1"/>
  <c r="K99" i="4"/>
  <c r="U99" i="4" s="1"/>
  <c r="V93" i="4"/>
  <c r="T93" i="4"/>
  <c r="S93" i="4"/>
  <c r="M93" i="4"/>
  <c r="K93" i="4"/>
  <c r="U93" i="4" s="1"/>
  <c r="N93" i="4" s="1"/>
  <c r="V92" i="4"/>
  <c r="T92" i="4"/>
  <c r="S92" i="4"/>
  <c r="M92" i="4"/>
  <c r="K92" i="4"/>
  <c r="U92" i="4" s="1"/>
  <c r="V91" i="4"/>
  <c r="T91" i="4"/>
  <c r="S91" i="4"/>
  <c r="L91" i="4"/>
  <c r="M91" i="4" s="1"/>
  <c r="K91" i="4"/>
  <c r="U91" i="4" s="1"/>
  <c r="V90" i="4"/>
  <c r="T90" i="4"/>
  <c r="S90" i="4"/>
  <c r="L90" i="4"/>
  <c r="K90" i="4"/>
  <c r="U90" i="4" s="1"/>
  <c r="V89" i="4"/>
  <c r="T89" i="4"/>
  <c r="S89" i="4"/>
  <c r="L89" i="4"/>
  <c r="K89" i="4"/>
  <c r="U89" i="4" s="1"/>
  <c r="N89" i="4" s="1"/>
  <c r="V88" i="4"/>
  <c r="T88" i="4"/>
  <c r="S88" i="4"/>
  <c r="L88" i="4"/>
  <c r="K88" i="4"/>
  <c r="U88" i="4" s="1"/>
  <c r="N88" i="4" s="1"/>
  <c r="L80" i="4"/>
  <c r="V78" i="4"/>
  <c r="T78" i="4"/>
  <c r="S78" i="4"/>
  <c r="M78" i="4"/>
  <c r="K78" i="4"/>
  <c r="U78" i="4" s="1"/>
  <c r="P78" i="4" s="1"/>
  <c r="L74" i="4"/>
  <c r="V72" i="4"/>
  <c r="T72" i="4"/>
  <c r="S72" i="4"/>
  <c r="M72" i="4"/>
  <c r="K72" i="4"/>
  <c r="U72" i="4" s="1"/>
  <c r="N72" i="4" s="1"/>
  <c r="N74" i="4" s="1"/>
  <c r="V66" i="4"/>
  <c r="T66" i="4"/>
  <c r="S66" i="4"/>
  <c r="M66" i="4"/>
  <c r="K66" i="4"/>
  <c r="U66" i="4" s="1"/>
  <c r="P66" i="4" s="1"/>
  <c r="V65" i="4"/>
  <c r="T65" i="4"/>
  <c r="S65" i="4"/>
  <c r="M65" i="4"/>
  <c r="K65" i="4"/>
  <c r="U65" i="4" s="1"/>
  <c r="V64" i="4"/>
  <c r="T64" i="4"/>
  <c r="S64" i="4"/>
  <c r="M64" i="4"/>
  <c r="K64" i="4"/>
  <c r="U64" i="4" s="1"/>
  <c r="N64" i="4" s="1"/>
  <c r="Y63" i="4"/>
  <c r="V63" i="4"/>
  <c r="T63" i="4"/>
  <c r="S63" i="4"/>
  <c r="M63" i="4"/>
  <c r="K63" i="4"/>
  <c r="U63" i="4" s="1"/>
  <c r="N63" i="4" s="1"/>
  <c r="V62" i="4"/>
  <c r="T62" i="4"/>
  <c r="S62" i="4"/>
  <c r="M62" i="4"/>
  <c r="K62" i="4"/>
  <c r="U62" i="4" s="1"/>
  <c r="P62" i="4" s="1"/>
  <c r="V61" i="4"/>
  <c r="T61" i="4"/>
  <c r="S61" i="4"/>
  <c r="M61" i="4"/>
  <c r="K61" i="4"/>
  <c r="U61" i="4" s="1"/>
  <c r="N61" i="4" s="1"/>
  <c r="V60" i="4"/>
  <c r="T60" i="4"/>
  <c r="S60" i="4"/>
  <c r="M60" i="4"/>
  <c r="K60" i="4"/>
  <c r="U60" i="4" s="1"/>
  <c r="N60" i="4" s="1"/>
  <c r="V59" i="4"/>
  <c r="T59" i="4"/>
  <c r="S59" i="4"/>
  <c r="M59" i="4"/>
  <c r="K59" i="4"/>
  <c r="U59" i="4" s="1"/>
  <c r="V58" i="4"/>
  <c r="T58" i="4"/>
  <c r="S58" i="4"/>
  <c r="M58" i="4"/>
  <c r="K58" i="4"/>
  <c r="U58" i="4" s="1"/>
  <c r="N58" i="4" s="1"/>
  <c r="V57" i="4"/>
  <c r="T57" i="4"/>
  <c r="S57" i="4"/>
  <c r="M57" i="4"/>
  <c r="K57" i="4"/>
  <c r="U57" i="4" s="1"/>
  <c r="N57" i="4" s="1"/>
  <c r="V56" i="4"/>
  <c r="T56" i="4"/>
  <c r="S56" i="4"/>
  <c r="M56" i="4"/>
  <c r="K56" i="4"/>
  <c r="U56" i="4" s="1"/>
  <c r="P56" i="4" s="1"/>
  <c r="V55" i="4"/>
  <c r="T55" i="4"/>
  <c r="S55" i="4"/>
  <c r="M55" i="4"/>
  <c r="K55" i="4"/>
  <c r="U55" i="4" s="1"/>
  <c r="N55" i="4" s="1"/>
  <c r="V54" i="4"/>
  <c r="T54" i="4"/>
  <c r="S54" i="4"/>
  <c r="M54" i="4"/>
  <c r="K54" i="4"/>
  <c r="U54" i="4" s="1"/>
  <c r="N54" i="4" s="1"/>
  <c r="V53" i="4"/>
  <c r="T53" i="4"/>
  <c r="S53" i="4"/>
  <c r="M53" i="4"/>
  <c r="K53" i="4"/>
  <c r="U53" i="4" s="1"/>
  <c r="V52" i="4"/>
  <c r="T52" i="4"/>
  <c r="S52" i="4"/>
  <c r="M52" i="4"/>
  <c r="K52" i="4"/>
  <c r="U52" i="4" s="1"/>
  <c r="N52" i="4" s="1"/>
  <c r="V51" i="4"/>
  <c r="T51" i="4"/>
  <c r="S51" i="4"/>
  <c r="M51" i="4"/>
  <c r="K51" i="4"/>
  <c r="U51" i="4" s="1"/>
  <c r="N51" i="4" s="1"/>
  <c r="V45" i="4"/>
  <c r="T45" i="4"/>
  <c r="S45" i="4"/>
  <c r="L45" i="4"/>
  <c r="K45" i="4"/>
  <c r="U45" i="4" s="1"/>
  <c r="V44" i="4"/>
  <c r="T44" i="4"/>
  <c r="S44" i="4"/>
  <c r="M44" i="4"/>
  <c r="K44" i="4"/>
  <c r="U44" i="4" s="1"/>
  <c r="V43" i="4"/>
  <c r="T43" i="4"/>
  <c r="S43" i="4"/>
  <c r="M43" i="4"/>
  <c r="K43" i="4"/>
  <c r="U43" i="4" s="1"/>
  <c r="N43" i="4" s="1"/>
  <c r="L39" i="4"/>
  <c r="V37" i="4"/>
  <c r="T37" i="4"/>
  <c r="S37" i="4"/>
  <c r="M37" i="4"/>
  <c r="K37" i="4"/>
  <c r="U37" i="4" s="1"/>
  <c r="P37" i="4" s="1"/>
  <c r="V36" i="4"/>
  <c r="T36" i="4"/>
  <c r="S36" i="4"/>
  <c r="M36" i="4"/>
  <c r="K36" i="4"/>
  <c r="U36" i="4" s="1"/>
  <c r="V35" i="4"/>
  <c r="T35" i="4"/>
  <c r="S35" i="4"/>
  <c r="M35" i="4"/>
  <c r="K35" i="4"/>
  <c r="U35" i="4" s="1"/>
  <c r="N35" i="4" s="1"/>
  <c r="V34" i="4"/>
  <c r="T34" i="4"/>
  <c r="S34" i="4"/>
  <c r="M34" i="4"/>
  <c r="K34" i="4"/>
  <c r="U34" i="4" s="1"/>
  <c r="N34" i="4" s="1"/>
  <c r="V28" i="4"/>
  <c r="T28" i="4"/>
  <c r="S28" i="4"/>
  <c r="M28" i="4"/>
  <c r="K28" i="4"/>
  <c r="U28" i="4" s="1"/>
  <c r="V27" i="4"/>
  <c r="T27" i="4"/>
  <c r="S27" i="4"/>
  <c r="M27" i="4"/>
  <c r="K27" i="4"/>
  <c r="U27" i="4" s="1"/>
  <c r="N27" i="4" s="1"/>
  <c r="V26" i="4"/>
  <c r="T26" i="4"/>
  <c r="S26" i="4"/>
  <c r="L26" i="4"/>
  <c r="M26" i="4" s="1"/>
  <c r="K26" i="4"/>
  <c r="U26" i="4" s="1"/>
  <c r="N26" i="4" s="1"/>
  <c r="V25" i="4"/>
  <c r="T25" i="4"/>
  <c r="S25" i="4"/>
  <c r="L25" i="4"/>
  <c r="M25" i="4" s="1"/>
  <c r="K25" i="4"/>
  <c r="U25" i="4" s="1"/>
  <c r="N25" i="4" s="1"/>
  <c r="V24" i="4"/>
  <c r="T24" i="4"/>
  <c r="S24" i="4"/>
  <c r="L24" i="4"/>
  <c r="M24" i="4" s="1"/>
  <c r="K24" i="4"/>
  <c r="U24" i="4" s="1"/>
  <c r="N24" i="4" s="1"/>
  <c r="V23" i="4"/>
  <c r="T23" i="4"/>
  <c r="S23" i="4"/>
  <c r="L23" i="4"/>
  <c r="K23" i="4"/>
  <c r="U23" i="4" s="1"/>
  <c r="N23" i="4" s="1"/>
  <c r="V22" i="4"/>
  <c r="T22" i="4"/>
  <c r="S22" i="4"/>
  <c r="M22" i="4"/>
  <c r="K22" i="4"/>
  <c r="U22" i="4" s="1"/>
  <c r="N22" i="4" s="1"/>
  <c r="V21" i="4"/>
  <c r="T21" i="4"/>
  <c r="S21" i="4"/>
  <c r="M21" i="4"/>
  <c r="K21" i="4"/>
  <c r="U21" i="4" s="1"/>
  <c r="P21" i="4" s="1"/>
  <c r="L18" i="4"/>
  <c r="V16" i="4"/>
  <c r="T16" i="4"/>
  <c r="S16" i="4"/>
  <c r="M16" i="4"/>
  <c r="K16" i="4"/>
  <c r="U16" i="4" s="1"/>
  <c r="N16" i="4" s="1"/>
  <c r="N18" i="4" s="1"/>
  <c r="L170" i="1"/>
  <c r="P22" i="4" l="1"/>
  <c r="Q22" i="4" s="1"/>
  <c r="R22" i="4" s="1"/>
  <c r="L30" i="4"/>
  <c r="M23" i="4"/>
  <c r="P25" i="4"/>
  <c r="Q25" i="4" s="1"/>
  <c r="R25" i="4" s="1"/>
  <c r="P26" i="4"/>
  <c r="Q26" i="4" s="1"/>
  <c r="R26" i="4" s="1"/>
  <c r="P27" i="4"/>
  <c r="Q27" i="4" s="1"/>
  <c r="R27" i="4" s="1"/>
  <c r="P34" i="4"/>
  <c r="Q34" i="4" s="1"/>
  <c r="L47" i="4"/>
  <c r="M45" i="4"/>
  <c r="P57" i="4"/>
  <c r="Q57" i="4" s="1"/>
  <c r="R57" i="4" s="1"/>
  <c r="P63" i="4"/>
  <c r="Q63" i="4" s="1"/>
  <c r="R63" i="4" s="1"/>
  <c r="N92" i="4"/>
  <c r="P92" i="4"/>
  <c r="Q92" i="4" s="1"/>
  <c r="R92" i="4" s="1"/>
  <c r="P93" i="4"/>
  <c r="Q93" i="4" s="1"/>
  <c r="R93" i="4" s="1"/>
  <c r="P114" i="4"/>
  <c r="N125" i="4"/>
  <c r="P125" i="4"/>
  <c r="Q125" i="4" s="1"/>
  <c r="R125" i="4" s="1"/>
  <c r="L171" i="4"/>
  <c r="P139" i="4"/>
  <c r="Q139" i="4" s="1"/>
  <c r="R139" i="4" s="1"/>
  <c r="P153" i="4"/>
  <c r="P155" i="4"/>
  <c r="Q155" i="4" s="1"/>
  <c r="R155" i="4" s="1"/>
  <c r="P158" i="4"/>
  <c r="Q158" i="4" s="1"/>
  <c r="R158" i="4" s="1"/>
  <c r="P166" i="4"/>
  <c r="Q166" i="4" s="1"/>
  <c r="R166" i="4" s="1"/>
  <c r="P167" i="4"/>
  <c r="Q167" i="4" s="1"/>
  <c r="R167" i="4" s="1"/>
  <c r="N44" i="4"/>
  <c r="P44" i="4"/>
  <c r="Q44" i="4" s="1"/>
  <c r="R44" i="4" s="1"/>
  <c r="N28" i="4"/>
  <c r="P28" i="4"/>
  <c r="Q28" i="4" s="1"/>
  <c r="R28" i="4" s="1"/>
  <c r="M99" i="4"/>
  <c r="P43" i="4"/>
  <c r="N153" i="4"/>
  <c r="P106" i="4"/>
  <c r="P52" i="4"/>
  <c r="Q52" i="4" s="1"/>
  <c r="R52" i="4" s="1"/>
  <c r="N124" i="4"/>
  <c r="N127" i="4" s="1"/>
  <c r="P124" i="4"/>
  <c r="N37" i="4"/>
  <c r="P53" i="4"/>
  <c r="N53" i="4"/>
  <c r="N56" i="4"/>
  <c r="Q56" i="4" s="1"/>
  <c r="R56" i="4" s="1"/>
  <c r="P64" i="4"/>
  <c r="Q64" i="4" s="1"/>
  <c r="R64" i="4" s="1"/>
  <c r="N78" i="4"/>
  <c r="N80" i="4" s="1"/>
  <c r="P80" i="4"/>
  <c r="Q78" i="4"/>
  <c r="N108" i="4"/>
  <c r="Q108" i="4" s="1"/>
  <c r="R108" i="4" s="1"/>
  <c r="P140" i="4"/>
  <c r="N140" i="4"/>
  <c r="N143" i="4" s="1"/>
  <c r="P99" i="4"/>
  <c r="N99" i="4"/>
  <c r="N66" i="4"/>
  <c r="P23" i="4"/>
  <c r="Q23" i="4" s="1"/>
  <c r="R23" i="4" s="1"/>
  <c r="P35" i="4"/>
  <c r="Q35" i="4" s="1"/>
  <c r="R35" i="4" s="1"/>
  <c r="P59" i="4"/>
  <c r="N59" i="4"/>
  <c r="N62" i="4"/>
  <c r="P131" i="4"/>
  <c r="P138" i="4"/>
  <c r="P147" i="4"/>
  <c r="P154" i="4"/>
  <c r="Q154" i="4" s="1"/>
  <c r="R154" i="4" s="1"/>
  <c r="N90" i="4"/>
  <c r="N36" i="4"/>
  <c r="P36" i="4"/>
  <c r="Q36" i="4" s="1"/>
  <c r="R36" i="4" s="1"/>
  <c r="N21" i="4"/>
  <c r="N30" i="4" s="1"/>
  <c r="P58" i="4"/>
  <c r="Q58" i="4" s="1"/>
  <c r="R58" i="4" s="1"/>
  <c r="N100" i="4"/>
  <c r="Q100" i="4" s="1"/>
  <c r="R100" i="4" s="1"/>
  <c r="P157" i="4"/>
  <c r="N157" i="4"/>
  <c r="P116" i="4"/>
  <c r="Q114" i="4"/>
  <c r="P24" i="4"/>
  <c r="Q24" i="4" s="1"/>
  <c r="P91" i="4"/>
  <c r="N91" i="4"/>
  <c r="N95" i="4" s="1"/>
  <c r="P165" i="4"/>
  <c r="N165" i="4"/>
  <c r="P16" i="4"/>
  <c r="P55" i="4"/>
  <c r="Q55" i="4" s="1"/>
  <c r="R55" i="4" s="1"/>
  <c r="P72" i="4"/>
  <c r="L82" i="4"/>
  <c r="P45" i="4"/>
  <c r="N45" i="4"/>
  <c r="N47" i="4" s="1"/>
  <c r="N107" i="4"/>
  <c r="N110" i="4" s="1"/>
  <c r="P107" i="4"/>
  <c r="Q107" i="4" s="1"/>
  <c r="R107" i="4" s="1"/>
  <c r="R34" i="4"/>
  <c r="P39" i="4"/>
  <c r="P54" i="4"/>
  <c r="Q54" i="4" s="1"/>
  <c r="R54" i="4" s="1"/>
  <c r="N65" i="4"/>
  <c r="P65" i="4"/>
  <c r="Q65" i="4" s="1"/>
  <c r="R65" i="4" s="1"/>
  <c r="P60" i="4"/>
  <c r="Q60" i="4" s="1"/>
  <c r="R60" i="4" s="1"/>
  <c r="Q66" i="4"/>
  <c r="R66" i="4" s="1"/>
  <c r="P156" i="4"/>
  <c r="N156" i="4"/>
  <c r="Q62" i="4"/>
  <c r="R62" i="4" s="1"/>
  <c r="P51" i="4"/>
  <c r="P61" i="4"/>
  <c r="Q61" i="4" s="1"/>
  <c r="R61" i="4" s="1"/>
  <c r="M90" i="4"/>
  <c r="P90" i="4" s="1"/>
  <c r="Q90" i="4" s="1"/>
  <c r="R90" i="4" s="1"/>
  <c r="P132" i="4"/>
  <c r="N132" i="4"/>
  <c r="N134" i="4" s="1"/>
  <c r="P141" i="4"/>
  <c r="Q141" i="4" s="1"/>
  <c r="R141" i="4" s="1"/>
  <c r="P164" i="4"/>
  <c r="N164" i="4"/>
  <c r="R24" i="4"/>
  <c r="M89" i="4"/>
  <c r="P89" i="4" s="1"/>
  <c r="Q89" i="4" s="1"/>
  <c r="R89" i="4" s="1"/>
  <c r="L95" i="4"/>
  <c r="L118" i="4" s="1"/>
  <c r="M88" i="4"/>
  <c r="P88" i="4" s="1"/>
  <c r="L25" i="1"/>
  <c r="L24" i="1"/>
  <c r="Y63" i="1"/>
  <c r="N68" i="4" l="1"/>
  <c r="N39" i="4"/>
  <c r="P95" i="4"/>
  <c r="Q88" i="4"/>
  <c r="N82" i="4"/>
  <c r="Q106" i="4"/>
  <c r="P110" i="4"/>
  <c r="Q140" i="4"/>
  <c r="R140" i="4" s="1"/>
  <c r="Q147" i="4"/>
  <c r="P149" i="4"/>
  <c r="Q157" i="4"/>
  <c r="R157" i="4" s="1"/>
  <c r="P169" i="4"/>
  <c r="Q164" i="4"/>
  <c r="P160" i="4"/>
  <c r="Q37" i="4"/>
  <c r="Q99" i="4"/>
  <c r="P102" i="4"/>
  <c r="N160" i="4"/>
  <c r="Q165" i="4"/>
  <c r="R165" i="4" s="1"/>
  <c r="Q80" i="4"/>
  <c r="R78" i="4"/>
  <c r="R80" i="4" s="1"/>
  <c r="N169" i="4"/>
  <c r="N171" i="4" s="1"/>
  <c r="Q53" i="4"/>
  <c r="R53" i="4" s="1"/>
  <c r="Q156" i="4"/>
  <c r="R156" i="4" s="1"/>
  <c r="Q153" i="4"/>
  <c r="P74" i="4"/>
  <c r="Q72" i="4"/>
  <c r="P30" i="4"/>
  <c r="Q51" i="4"/>
  <c r="P68" i="4"/>
  <c r="L173" i="4"/>
  <c r="Q43" i="4"/>
  <c r="P47" i="4"/>
  <c r="Q91" i="4"/>
  <c r="R91" i="4" s="1"/>
  <c r="Q45" i="4"/>
  <c r="R45" i="4" s="1"/>
  <c r="Q132" i="4"/>
  <c r="R132" i="4" s="1"/>
  <c r="R114" i="4"/>
  <c r="R116" i="4" s="1"/>
  <c r="Q116" i="4"/>
  <c r="Q138" i="4"/>
  <c r="P143" i="4"/>
  <c r="Q131" i="4"/>
  <c r="P134" i="4"/>
  <c r="Q124" i="4"/>
  <c r="P127" i="4"/>
  <c r="P171" i="4" s="1"/>
  <c r="Q59" i="4"/>
  <c r="R59" i="4" s="1"/>
  <c r="Q21" i="4"/>
  <c r="P18" i="4"/>
  <c r="Q16" i="4"/>
  <c r="N102" i="4"/>
  <c r="N118" i="4" s="1"/>
  <c r="N174" i="4" l="1"/>
  <c r="R124" i="4"/>
  <c r="R127" i="4" s="1"/>
  <c r="Q127" i="4"/>
  <c r="R131" i="4"/>
  <c r="R134" i="4" s="1"/>
  <c r="Q134" i="4"/>
  <c r="N173" i="4"/>
  <c r="N177" i="4" s="1"/>
  <c r="R147" i="4"/>
  <c r="R149" i="4" s="1"/>
  <c r="Q149" i="4"/>
  <c r="Q68" i="4"/>
  <c r="R51" i="4"/>
  <c r="R68" i="4" s="1"/>
  <c r="R70" i="4" s="1"/>
  <c r="Q143" i="4"/>
  <c r="R138" i="4"/>
  <c r="R143" i="4" s="1"/>
  <c r="P82" i="4"/>
  <c r="R72" i="4"/>
  <c r="R74" i="4" s="1"/>
  <c r="Q74" i="4"/>
  <c r="R106" i="4"/>
  <c r="R110" i="4" s="1"/>
  <c r="Q110" i="4"/>
  <c r="R16" i="4"/>
  <c r="R18" i="4" s="1"/>
  <c r="Q18" i="4"/>
  <c r="Q30" i="4"/>
  <c r="R21" i="4"/>
  <c r="R30" i="4" s="1"/>
  <c r="Q169" i="4"/>
  <c r="R164" i="4"/>
  <c r="R169" i="4" s="1"/>
  <c r="Q95" i="4"/>
  <c r="R88" i="4"/>
  <c r="R95" i="4" s="1"/>
  <c r="R43" i="4"/>
  <c r="R47" i="4" s="1"/>
  <c r="Q47" i="4"/>
  <c r="Q102" i="4"/>
  <c r="R99" i="4"/>
  <c r="R102" i="4" s="1"/>
  <c r="R37" i="4"/>
  <c r="R39" i="4" s="1"/>
  <c r="Q39" i="4"/>
  <c r="R153" i="4"/>
  <c r="R160" i="4" s="1"/>
  <c r="Q160" i="4"/>
  <c r="P118" i="4"/>
  <c r="L42" i="2"/>
  <c r="L44" i="2" s="1"/>
  <c r="V40" i="2"/>
  <c r="T40" i="2"/>
  <c r="S40" i="2"/>
  <c r="M40" i="2"/>
  <c r="K40" i="2"/>
  <c r="U40" i="2" s="1"/>
  <c r="N40" i="2" s="1"/>
  <c r="V39" i="2"/>
  <c r="T39" i="2"/>
  <c r="S39" i="2"/>
  <c r="M39" i="2"/>
  <c r="K39" i="2"/>
  <c r="U39" i="2" s="1"/>
  <c r="V38" i="2"/>
  <c r="T38" i="2"/>
  <c r="S38" i="2"/>
  <c r="M38" i="2"/>
  <c r="K38" i="2"/>
  <c r="U38" i="2" s="1"/>
  <c r="V37" i="2"/>
  <c r="T37" i="2"/>
  <c r="S37" i="2"/>
  <c r="M37" i="2"/>
  <c r="K37" i="2"/>
  <c r="U37" i="2" s="1"/>
  <c r="V36" i="2"/>
  <c r="T36" i="2"/>
  <c r="S36" i="2"/>
  <c r="M36" i="2"/>
  <c r="K36" i="2"/>
  <c r="U36" i="2" s="1"/>
  <c r="V35" i="2"/>
  <c r="T35" i="2"/>
  <c r="S35" i="2"/>
  <c r="M35" i="2"/>
  <c r="K35" i="2"/>
  <c r="U35" i="2" s="1"/>
  <c r="V34" i="2"/>
  <c r="T34" i="2"/>
  <c r="S34" i="2"/>
  <c r="M34" i="2"/>
  <c r="K34" i="2"/>
  <c r="U34" i="2" s="1"/>
  <c r="V33" i="2"/>
  <c r="T33" i="2"/>
  <c r="S33" i="2"/>
  <c r="M33" i="2"/>
  <c r="K33" i="2"/>
  <c r="U33" i="2" s="1"/>
  <c r="V32" i="2"/>
  <c r="T32" i="2"/>
  <c r="S32" i="2"/>
  <c r="M32" i="2"/>
  <c r="K32" i="2"/>
  <c r="U32" i="2" s="1"/>
  <c r="V31" i="2"/>
  <c r="T31" i="2"/>
  <c r="S31" i="2"/>
  <c r="M31" i="2"/>
  <c r="K31" i="2"/>
  <c r="U31" i="2" s="1"/>
  <c r="V30" i="2"/>
  <c r="T30" i="2"/>
  <c r="S30" i="2"/>
  <c r="M30" i="2"/>
  <c r="K30" i="2"/>
  <c r="U30" i="2" s="1"/>
  <c r="V29" i="2"/>
  <c r="T29" i="2"/>
  <c r="S29" i="2"/>
  <c r="M29" i="2"/>
  <c r="K29" i="2"/>
  <c r="U29" i="2" s="1"/>
  <c r="V28" i="2"/>
  <c r="T28" i="2"/>
  <c r="S28" i="2"/>
  <c r="M28" i="2"/>
  <c r="K28" i="2"/>
  <c r="U28" i="2" s="1"/>
  <c r="V27" i="2"/>
  <c r="T27" i="2"/>
  <c r="S27" i="2"/>
  <c r="M27" i="2"/>
  <c r="K27" i="2"/>
  <c r="U27" i="2" s="1"/>
  <c r="V26" i="2"/>
  <c r="T26" i="2"/>
  <c r="S26" i="2"/>
  <c r="M26" i="2"/>
  <c r="K26" i="2"/>
  <c r="U26" i="2" s="1"/>
  <c r="V25" i="2"/>
  <c r="T25" i="2"/>
  <c r="S25" i="2"/>
  <c r="M25" i="2"/>
  <c r="K25" i="2"/>
  <c r="U25" i="2" s="1"/>
  <c r="V24" i="2"/>
  <c r="T24" i="2"/>
  <c r="S24" i="2"/>
  <c r="M24" i="2"/>
  <c r="K24" i="2"/>
  <c r="U24" i="2" s="1"/>
  <c r="V23" i="2"/>
  <c r="T23" i="2"/>
  <c r="S23" i="2"/>
  <c r="M23" i="2"/>
  <c r="K23" i="2"/>
  <c r="U23" i="2" s="1"/>
  <c r="V22" i="2"/>
  <c r="T22" i="2"/>
  <c r="S22" i="2"/>
  <c r="M22" i="2"/>
  <c r="K22" i="2"/>
  <c r="U22" i="2" s="1"/>
  <c r="V21" i="2"/>
  <c r="T21" i="2"/>
  <c r="S21" i="2"/>
  <c r="M21" i="2"/>
  <c r="K21" i="2"/>
  <c r="U21" i="2" s="1"/>
  <c r="V20" i="2"/>
  <c r="T20" i="2"/>
  <c r="S20" i="2"/>
  <c r="M20" i="2"/>
  <c r="K20" i="2"/>
  <c r="U20" i="2" s="1"/>
  <c r="V19" i="2"/>
  <c r="T19" i="2"/>
  <c r="S19" i="2"/>
  <c r="M19" i="2"/>
  <c r="K19" i="2"/>
  <c r="U19" i="2" s="1"/>
  <c r="V18" i="2"/>
  <c r="T18" i="2"/>
  <c r="S18" i="2"/>
  <c r="M18" i="2"/>
  <c r="K18" i="2"/>
  <c r="U18" i="2" s="1"/>
  <c r="V17" i="2"/>
  <c r="T17" i="2"/>
  <c r="S17" i="2"/>
  <c r="M17" i="2"/>
  <c r="K17" i="2"/>
  <c r="U17" i="2" s="1"/>
  <c r="V16" i="2"/>
  <c r="T16" i="2"/>
  <c r="S16" i="2"/>
  <c r="M16" i="2"/>
  <c r="K16" i="2"/>
  <c r="U16" i="2" s="1"/>
  <c r="L161" i="1"/>
  <c r="L150" i="1"/>
  <c r="L144" i="1"/>
  <c r="L135" i="1"/>
  <c r="L128" i="1"/>
  <c r="L117" i="1"/>
  <c r="L111" i="1"/>
  <c r="L81" i="1"/>
  <c r="L75" i="1"/>
  <c r="L69" i="1"/>
  <c r="L39" i="1"/>
  <c r="L18" i="1"/>
  <c r="V155" i="1"/>
  <c r="T155" i="1"/>
  <c r="S155" i="1"/>
  <c r="M155" i="1"/>
  <c r="K155" i="1"/>
  <c r="U155" i="1" s="1"/>
  <c r="L100" i="1"/>
  <c r="M100" i="1" s="1"/>
  <c r="V100" i="1"/>
  <c r="T100" i="1"/>
  <c r="S100" i="1"/>
  <c r="K100" i="1"/>
  <c r="U100" i="1" s="1"/>
  <c r="L45" i="1"/>
  <c r="R118" i="4" l="1"/>
  <c r="Q118" i="4"/>
  <c r="P173" i="4"/>
  <c r="R82" i="4"/>
  <c r="Q171" i="4"/>
  <c r="Q82" i="4"/>
  <c r="Q173" i="4" s="1"/>
  <c r="R171" i="4"/>
  <c r="L47" i="1"/>
  <c r="N28" i="2"/>
  <c r="N30" i="2"/>
  <c r="N16" i="2"/>
  <c r="N24" i="2"/>
  <c r="N35" i="2"/>
  <c r="N29" i="2"/>
  <c r="N22" i="2"/>
  <c r="P31" i="2"/>
  <c r="P37" i="2"/>
  <c r="P17" i="2"/>
  <c r="N36" i="2"/>
  <c r="N34" i="2"/>
  <c r="P35" i="2"/>
  <c r="P29" i="2"/>
  <c r="Q29" i="2" s="1"/>
  <c r="R29" i="2" s="1"/>
  <c r="P23" i="2"/>
  <c r="P34" i="2"/>
  <c r="P28" i="2"/>
  <c r="P30" i="2"/>
  <c r="Q30" i="2" s="1"/>
  <c r="R30" i="2" s="1"/>
  <c r="N23" i="2"/>
  <c r="N17" i="2"/>
  <c r="P36" i="2"/>
  <c r="P22" i="2"/>
  <c r="P24" i="2"/>
  <c r="Q24" i="2" s="1"/>
  <c r="R24" i="2" s="1"/>
  <c r="P25" i="2"/>
  <c r="P19" i="2"/>
  <c r="P40" i="2"/>
  <c r="Q40" i="2" s="1"/>
  <c r="R40" i="2" s="1"/>
  <c r="P16" i="2"/>
  <c r="P18" i="2"/>
  <c r="N18" i="2"/>
  <c r="P32" i="2"/>
  <c r="N32" i="2"/>
  <c r="P21" i="2"/>
  <c r="N21" i="2"/>
  <c r="P26" i="2"/>
  <c r="N26" i="2"/>
  <c r="P20" i="2"/>
  <c r="N20" i="2"/>
  <c r="P39" i="2"/>
  <c r="N39" i="2"/>
  <c r="P33" i="2"/>
  <c r="N33" i="2"/>
  <c r="P38" i="2"/>
  <c r="N38" i="2"/>
  <c r="P27" i="2"/>
  <c r="N27" i="2"/>
  <c r="N19" i="2"/>
  <c r="N25" i="2"/>
  <c r="N31" i="2"/>
  <c r="Q31" i="2" s="1"/>
  <c r="R31" i="2" s="1"/>
  <c r="N37" i="2"/>
  <c r="Q37" i="2" s="1"/>
  <c r="R37" i="2" s="1"/>
  <c r="L172" i="1"/>
  <c r="L103" i="1"/>
  <c r="P155" i="1"/>
  <c r="N155" i="1"/>
  <c r="N100" i="1"/>
  <c r="P100" i="1"/>
  <c r="Q23" i="2" l="1"/>
  <c r="R23" i="2" s="1"/>
  <c r="R173" i="4"/>
  <c r="Q35" i="2"/>
  <c r="R35" i="2" s="1"/>
  <c r="Q16" i="2"/>
  <c r="Q28" i="2"/>
  <c r="R28" i="2" s="1"/>
  <c r="Q22" i="2"/>
  <c r="R22" i="2" s="1"/>
  <c r="Q19" i="2"/>
  <c r="R19" i="2" s="1"/>
  <c r="N42" i="2"/>
  <c r="N44" i="2" s="1"/>
  <c r="Q34" i="2"/>
  <c r="R34" i="2" s="1"/>
  <c r="Q25" i="2"/>
  <c r="R25" i="2" s="1"/>
  <c r="Q36" i="2"/>
  <c r="R36" i="2" s="1"/>
  <c r="Q33" i="2"/>
  <c r="R33" i="2" s="1"/>
  <c r="Q32" i="2"/>
  <c r="R32" i="2" s="1"/>
  <c r="Q17" i="2"/>
  <c r="R17" i="2" s="1"/>
  <c r="Q18" i="2"/>
  <c r="R18" i="2" s="1"/>
  <c r="Q21" i="2"/>
  <c r="R21" i="2" s="1"/>
  <c r="Q39" i="2"/>
  <c r="R39" i="2" s="1"/>
  <c r="P42" i="2"/>
  <c r="P44" i="2" s="1"/>
  <c r="Q38" i="2"/>
  <c r="R38" i="2" s="1"/>
  <c r="Q20" i="2"/>
  <c r="R20" i="2" s="1"/>
  <c r="Q27" i="2"/>
  <c r="R27" i="2" s="1"/>
  <c r="Q26" i="2"/>
  <c r="R26" i="2" s="1"/>
  <c r="R16" i="2"/>
  <c r="Q100" i="1"/>
  <c r="R100" i="1" s="1"/>
  <c r="Q155" i="1"/>
  <c r="R155" i="1" s="1"/>
  <c r="R42" i="2" l="1"/>
  <c r="R44" i="2" s="1"/>
  <c r="Q42" i="2"/>
  <c r="Q44" i="2" s="1"/>
  <c r="V168" i="1"/>
  <c r="T168" i="1"/>
  <c r="S168" i="1"/>
  <c r="M168" i="1"/>
  <c r="K168" i="1"/>
  <c r="U168" i="1" s="1"/>
  <c r="V167" i="1"/>
  <c r="T167" i="1"/>
  <c r="S167" i="1"/>
  <c r="M167" i="1"/>
  <c r="K167" i="1"/>
  <c r="U167" i="1" s="1"/>
  <c r="V166" i="1"/>
  <c r="T166" i="1"/>
  <c r="S166" i="1"/>
  <c r="M166" i="1"/>
  <c r="K166" i="1"/>
  <c r="U166" i="1" s="1"/>
  <c r="V165" i="1"/>
  <c r="T165" i="1"/>
  <c r="S165" i="1"/>
  <c r="M165" i="1"/>
  <c r="K165" i="1"/>
  <c r="U165" i="1" s="1"/>
  <c r="V159" i="1"/>
  <c r="T159" i="1"/>
  <c r="S159" i="1"/>
  <c r="M159" i="1"/>
  <c r="K159" i="1"/>
  <c r="U159" i="1" s="1"/>
  <c r="V158" i="1"/>
  <c r="T158" i="1"/>
  <c r="S158" i="1"/>
  <c r="M158" i="1"/>
  <c r="K158" i="1"/>
  <c r="U158" i="1" s="1"/>
  <c r="V156" i="1"/>
  <c r="T156" i="1"/>
  <c r="S156" i="1"/>
  <c r="M156" i="1"/>
  <c r="K156" i="1"/>
  <c r="U156" i="1" s="1"/>
  <c r="V154" i="1"/>
  <c r="T154" i="1"/>
  <c r="S154" i="1"/>
  <c r="M154" i="1"/>
  <c r="K154" i="1"/>
  <c r="U154" i="1" s="1"/>
  <c r="V142" i="1"/>
  <c r="T142" i="1"/>
  <c r="S142" i="1"/>
  <c r="M142" i="1"/>
  <c r="K142" i="1"/>
  <c r="U142" i="1" s="1"/>
  <c r="V141" i="1"/>
  <c r="T141" i="1"/>
  <c r="S141" i="1"/>
  <c r="M141" i="1"/>
  <c r="K141" i="1"/>
  <c r="U141" i="1" s="1"/>
  <c r="V140" i="1"/>
  <c r="T140" i="1"/>
  <c r="S140" i="1"/>
  <c r="M140" i="1"/>
  <c r="K140" i="1"/>
  <c r="U140" i="1" s="1"/>
  <c r="V139" i="1"/>
  <c r="T139" i="1"/>
  <c r="S139" i="1"/>
  <c r="M139" i="1"/>
  <c r="K139" i="1"/>
  <c r="U139" i="1" s="1"/>
  <c r="V133" i="1"/>
  <c r="T133" i="1"/>
  <c r="S133" i="1"/>
  <c r="M133" i="1"/>
  <c r="K133" i="1"/>
  <c r="U133" i="1" s="1"/>
  <c r="V132" i="1"/>
  <c r="T132" i="1"/>
  <c r="S132" i="1"/>
  <c r="M132" i="1"/>
  <c r="K132" i="1"/>
  <c r="U132" i="1" s="1"/>
  <c r="V126" i="1"/>
  <c r="T126" i="1"/>
  <c r="S126" i="1"/>
  <c r="M126" i="1"/>
  <c r="K126" i="1"/>
  <c r="U126" i="1" s="1"/>
  <c r="V125" i="1"/>
  <c r="T125" i="1"/>
  <c r="S125" i="1"/>
  <c r="M125" i="1"/>
  <c r="K125" i="1"/>
  <c r="U125" i="1" s="1"/>
  <c r="V115" i="1"/>
  <c r="T115" i="1"/>
  <c r="S115" i="1"/>
  <c r="M115" i="1"/>
  <c r="K115" i="1"/>
  <c r="U115" i="1" s="1"/>
  <c r="V109" i="1"/>
  <c r="T109" i="1"/>
  <c r="S109" i="1"/>
  <c r="M109" i="1"/>
  <c r="K109" i="1"/>
  <c r="U109" i="1" s="1"/>
  <c r="V108" i="1"/>
  <c r="T108" i="1"/>
  <c r="S108" i="1"/>
  <c r="M108" i="1"/>
  <c r="K108" i="1"/>
  <c r="U108" i="1" s="1"/>
  <c r="V107" i="1"/>
  <c r="T107" i="1"/>
  <c r="S107" i="1"/>
  <c r="M107" i="1"/>
  <c r="K107" i="1"/>
  <c r="U107" i="1" s="1"/>
  <c r="V101" i="1"/>
  <c r="T101" i="1"/>
  <c r="S101" i="1"/>
  <c r="M101" i="1"/>
  <c r="K101" i="1"/>
  <c r="U101" i="1" s="1"/>
  <c r="V94" i="1"/>
  <c r="T94" i="1"/>
  <c r="S94" i="1"/>
  <c r="M94" i="1"/>
  <c r="K94" i="1"/>
  <c r="U94" i="1" s="1"/>
  <c r="V92" i="1"/>
  <c r="T92" i="1"/>
  <c r="S92" i="1"/>
  <c r="L92" i="1"/>
  <c r="M92" i="1" s="1"/>
  <c r="K92" i="1"/>
  <c r="U92" i="1" s="1"/>
  <c r="V90" i="1"/>
  <c r="T90" i="1"/>
  <c r="S90" i="1"/>
  <c r="L90" i="1"/>
  <c r="K90" i="1"/>
  <c r="U90" i="1" s="1"/>
  <c r="V91" i="1"/>
  <c r="T91" i="1"/>
  <c r="S91" i="1"/>
  <c r="L91" i="1"/>
  <c r="M91" i="1" s="1"/>
  <c r="K91" i="1"/>
  <c r="U91" i="1" s="1"/>
  <c r="V89" i="1"/>
  <c r="T89" i="1"/>
  <c r="S89" i="1"/>
  <c r="L89" i="1"/>
  <c r="K89" i="1"/>
  <c r="U89" i="1" s="1"/>
  <c r="V93" i="1"/>
  <c r="T93" i="1"/>
  <c r="S93" i="1"/>
  <c r="M93" i="1"/>
  <c r="K93" i="1"/>
  <c r="U93" i="1" s="1"/>
  <c r="V79" i="1"/>
  <c r="T79" i="1"/>
  <c r="S79" i="1"/>
  <c r="M79" i="1"/>
  <c r="K79" i="1"/>
  <c r="U79" i="1" s="1"/>
  <c r="V73" i="1"/>
  <c r="T73" i="1"/>
  <c r="S73" i="1"/>
  <c r="M73" i="1"/>
  <c r="K73" i="1"/>
  <c r="U73" i="1" s="1"/>
  <c r="V67" i="1"/>
  <c r="T67" i="1"/>
  <c r="S67" i="1"/>
  <c r="M67" i="1"/>
  <c r="K67" i="1"/>
  <c r="U67" i="1" s="1"/>
  <c r="V66" i="1"/>
  <c r="T66" i="1"/>
  <c r="S66" i="1"/>
  <c r="M66" i="1"/>
  <c r="K66" i="1"/>
  <c r="U66" i="1" s="1"/>
  <c r="V65" i="1"/>
  <c r="T65" i="1"/>
  <c r="S65" i="1"/>
  <c r="M65" i="1"/>
  <c r="K65" i="1"/>
  <c r="U65" i="1" s="1"/>
  <c r="V148" i="1"/>
  <c r="T148" i="1"/>
  <c r="S148" i="1"/>
  <c r="M148" i="1"/>
  <c r="K148" i="1"/>
  <c r="U148" i="1" s="1"/>
  <c r="V64" i="1"/>
  <c r="T64" i="1"/>
  <c r="S64" i="1"/>
  <c r="M64" i="1"/>
  <c r="K64" i="1"/>
  <c r="U64" i="1" s="1"/>
  <c r="V157" i="1"/>
  <c r="T157" i="1"/>
  <c r="S157" i="1"/>
  <c r="M157" i="1"/>
  <c r="K157" i="1"/>
  <c r="U157" i="1" s="1"/>
  <c r="V63" i="1"/>
  <c r="T63" i="1"/>
  <c r="S63" i="1"/>
  <c r="M63" i="1"/>
  <c r="K63" i="1"/>
  <c r="U63" i="1" s="1"/>
  <c r="V62" i="1"/>
  <c r="T62" i="1"/>
  <c r="S62" i="1"/>
  <c r="M62" i="1"/>
  <c r="K62" i="1"/>
  <c r="U62" i="1" s="1"/>
  <c r="V61" i="1"/>
  <c r="T61" i="1"/>
  <c r="S61" i="1"/>
  <c r="M61" i="1"/>
  <c r="K61" i="1"/>
  <c r="U61" i="1" s="1"/>
  <c r="V60" i="1"/>
  <c r="T60" i="1"/>
  <c r="S60" i="1"/>
  <c r="M60" i="1"/>
  <c r="K60" i="1"/>
  <c r="U60" i="1" s="1"/>
  <c r="V59" i="1"/>
  <c r="T59" i="1"/>
  <c r="S59" i="1"/>
  <c r="M59" i="1"/>
  <c r="K59" i="1"/>
  <c r="U59" i="1" s="1"/>
  <c r="V58" i="1"/>
  <c r="T58" i="1"/>
  <c r="S58" i="1"/>
  <c r="M58" i="1"/>
  <c r="K58" i="1"/>
  <c r="U58" i="1" s="1"/>
  <c r="V57" i="1"/>
  <c r="T57" i="1"/>
  <c r="S57" i="1"/>
  <c r="M57" i="1"/>
  <c r="K57" i="1"/>
  <c r="U57" i="1" s="1"/>
  <c r="V56" i="1"/>
  <c r="T56" i="1"/>
  <c r="S56" i="1"/>
  <c r="M56" i="1"/>
  <c r="K56" i="1"/>
  <c r="U56" i="1" s="1"/>
  <c r="V55" i="1"/>
  <c r="T55" i="1"/>
  <c r="S55" i="1"/>
  <c r="M55" i="1"/>
  <c r="K55" i="1"/>
  <c r="U55" i="1" s="1"/>
  <c r="V54" i="1"/>
  <c r="T54" i="1"/>
  <c r="S54" i="1"/>
  <c r="M54" i="1"/>
  <c r="K54" i="1"/>
  <c r="U54" i="1" s="1"/>
  <c r="V52" i="1"/>
  <c r="T52" i="1"/>
  <c r="S52" i="1"/>
  <c r="M52" i="1"/>
  <c r="K52" i="1"/>
  <c r="U52" i="1" s="1"/>
  <c r="V53" i="1"/>
  <c r="T53" i="1"/>
  <c r="S53" i="1"/>
  <c r="M53" i="1"/>
  <c r="K53" i="1"/>
  <c r="U53" i="1" s="1"/>
  <c r="V51" i="1"/>
  <c r="T51" i="1"/>
  <c r="S51" i="1"/>
  <c r="M51" i="1"/>
  <c r="K51" i="1"/>
  <c r="U51" i="1" s="1"/>
  <c r="V44" i="1"/>
  <c r="T44" i="1"/>
  <c r="S44" i="1"/>
  <c r="M44" i="1"/>
  <c r="K44" i="1"/>
  <c r="U44" i="1" s="1"/>
  <c r="V36" i="1"/>
  <c r="T36" i="1"/>
  <c r="S36" i="1"/>
  <c r="M36" i="1"/>
  <c r="K36" i="1"/>
  <c r="U36" i="1" s="1"/>
  <c r="V43" i="1"/>
  <c r="T43" i="1"/>
  <c r="S43" i="1"/>
  <c r="M43" i="1"/>
  <c r="K43" i="1"/>
  <c r="U43" i="1" s="1"/>
  <c r="V37" i="1"/>
  <c r="T37" i="1"/>
  <c r="S37" i="1"/>
  <c r="M37" i="1"/>
  <c r="K37" i="1"/>
  <c r="U37" i="1" s="1"/>
  <c r="V45" i="1"/>
  <c r="T45" i="1"/>
  <c r="S45" i="1"/>
  <c r="M45" i="1"/>
  <c r="K45" i="1"/>
  <c r="U45" i="1" s="1"/>
  <c r="V35" i="1"/>
  <c r="T35" i="1"/>
  <c r="S35" i="1"/>
  <c r="M35" i="1"/>
  <c r="K35" i="1"/>
  <c r="U35" i="1" s="1"/>
  <c r="V34" i="1"/>
  <c r="T34" i="1"/>
  <c r="S34" i="1"/>
  <c r="M34" i="1"/>
  <c r="K34" i="1"/>
  <c r="U34" i="1" s="1"/>
  <c r="V28" i="1"/>
  <c r="T28" i="1"/>
  <c r="S28" i="1"/>
  <c r="M28" i="1"/>
  <c r="K28" i="1"/>
  <c r="U28" i="1" s="1"/>
  <c r="V26" i="1"/>
  <c r="T26" i="1"/>
  <c r="S26" i="1"/>
  <c r="L26" i="1"/>
  <c r="M26" i="1" s="1"/>
  <c r="K26" i="1"/>
  <c r="U26" i="1" s="1"/>
  <c r="V25" i="1"/>
  <c r="T25" i="1"/>
  <c r="S25" i="1"/>
  <c r="M25" i="1"/>
  <c r="K25" i="1"/>
  <c r="U25" i="1" s="1"/>
  <c r="V24" i="1"/>
  <c r="T24" i="1"/>
  <c r="S24" i="1"/>
  <c r="K24" i="1"/>
  <c r="U24" i="1" s="1"/>
  <c r="V23" i="1"/>
  <c r="T23" i="1"/>
  <c r="S23" i="1"/>
  <c r="L23" i="1"/>
  <c r="K23" i="1"/>
  <c r="U23" i="1" s="1"/>
  <c r="V22" i="1"/>
  <c r="T22" i="1"/>
  <c r="S22" i="1"/>
  <c r="M22" i="1"/>
  <c r="K22" i="1"/>
  <c r="U22" i="1" s="1"/>
  <c r="V21" i="1"/>
  <c r="T21" i="1"/>
  <c r="S21" i="1"/>
  <c r="M21" i="1"/>
  <c r="K21" i="1"/>
  <c r="U21" i="1" s="1"/>
  <c r="V27" i="1"/>
  <c r="T27" i="1"/>
  <c r="S27" i="1"/>
  <c r="M27" i="1"/>
  <c r="K27" i="1"/>
  <c r="U27" i="1" s="1"/>
  <c r="V16" i="1"/>
  <c r="T16" i="1"/>
  <c r="S16" i="1"/>
  <c r="M16" i="1"/>
  <c r="K16" i="1"/>
  <c r="U16" i="1" s="1"/>
  <c r="L96" i="1" l="1"/>
  <c r="L30" i="1"/>
  <c r="L83" i="1" s="1"/>
  <c r="M23" i="1"/>
  <c r="P23" i="1" s="1"/>
  <c r="N115" i="1"/>
  <c r="N52" i="1"/>
  <c r="N61" i="1"/>
  <c r="N107" i="1"/>
  <c r="N65" i="1"/>
  <c r="N55" i="1"/>
  <c r="N63" i="1"/>
  <c r="P43" i="1"/>
  <c r="P73" i="1"/>
  <c r="P75" i="1" s="1"/>
  <c r="N21" i="1"/>
  <c r="N66" i="1"/>
  <c r="P93" i="1"/>
  <c r="N92" i="1"/>
  <c r="N34" i="1"/>
  <c r="N26" i="1"/>
  <c r="N27" i="1"/>
  <c r="N157" i="1"/>
  <c r="N148" i="1"/>
  <c r="N150" i="1" s="1"/>
  <c r="N79" i="1"/>
  <c r="N81" i="1" s="1"/>
  <c r="N91" i="1"/>
  <c r="N142" i="1"/>
  <c r="N158" i="1"/>
  <c r="P44" i="1"/>
  <c r="N58" i="1"/>
  <c r="P59" i="1"/>
  <c r="N53" i="1"/>
  <c r="N60" i="1"/>
  <c r="N125" i="1"/>
  <c r="N159" i="1"/>
  <c r="N165" i="1"/>
  <c r="N57" i="1"/>
  <c r="N94" i="1"/>
  <c r="P107" i="1"/>
  <c r="N140" i="1"/>
  <c r="N168" i="1"/>
  <c r="P91" i="1"/>
  <c r="N22" i="1"/>
  <c r="P54" i="1"/>
  <c r="N67" i="1"/>
  <c r="N184" i="4" s="1"/>
  <c r="N108" i="1"/>
  <c r="N59" i="1"/>
  <c r="N51" i="1"/>
  <c r="P37" i="1"/>
  <c r="P67" i="1"/>
  <c r="N93" i="1"/>
  <c r="N139" i="1"/>
  <c r="P58" i="1"/>
  <c r="N24" i="1"/>
  <c r="N90" i="1"/>
  <c r="N126" i="1"/>
  <c r="P156" i="1"/>
  <c r="N43" i="1"/>
  <c r="N54" i="1"/>
  <c r="N35" i="1"/>
  <c r="N64" i="1"/>
  <c r="P21" i="1"/>
  <c r="P26" i="1"/>
  <c r="N62" i="1"/>
  <c r="P133" i="1"/>
  <c r="P167" i="1"/>
  <c r="P168" i="1"/>
  <c r="N36" i="1"/>
  <c r="N56" i="1"/>
  <c r="P148" i="1"/>
  <c r="P150" i="1" s="1"/>
  <c r="P79" i="1"/>
  <c r="P81" i="1" s="1"/>
  <c r="N166" i="1"/>
  <c r="N101" i="1"/>
  <c r="N37" i="1"/>
  <c r="N44" i="1"/>
  <c r="P92" i="1"/>
  <c r="N109" i="1"/>
  <c r="P132" i="1"/>
  <c r="N141" i="1"/>
  <c r="P27" i="1"/>
  <c r="N25" i="1"/>
  <c r="P35" i="1"/>
  <c r="P62" i="1"/>
  <c r="P63" i="1"/>
  <c r="P101" i="1"/>
  <c r="P126" i="1"/>
  <c r="P166" i="1"/>
  <c r="P28" i="1"/>
  <c r="N28" i="1"/>
  <c r="P25" i="1"/>
  <c r="P34" i="1"/>
  <c r="N45" i="1"/>
  <c r="P45" i="1"/>
  <c r="P16" i="1"/>
  <c r="N16" i="1"/>
  <c r="N18" i="1" s="1"/>
  <c r="N23" i="1"/>
  <c r="P22" i="1"/>
  <c r="P57" i="1"/>
  <c r="P66" i="1"/>
  <c r="P142" i="1"/>
  <c r="P154" i="1"/>
  <c r="P165" i="1"/>
  <c r="P53" i="1"/>
  <c r="P52" i="1"/>
  <c r="P61" i="1"/>
  <c r="N89" i="1"/>
  <c r="N133" i="1"/>
  <c r="P141" i="1"/>
  <c r="P159" i="1"/>
  <c r="M24" i="1"/>
  <c r="P24" i="1" s="1"/>
  <c r="P56" i="1"/>
  <c r="P125" i="1"/>
  <c r="P55" i="1"/>
  <c r="P109" i="1"/>
  <c r="N156" i="1"/>
  <c r="P158" i="1"/>
  <c r="M90" i="1"/>
  <c r="P90" i="1" s="1"/>
  <c r="P36" i="1"/>
  <c r="P51" i="1"/>
  <c r="P60" i="1"/>
  <c r="P108" i="1"/>
  <c r="P140" i="1"/>
  <c r="M89" i="1"/>
  <c r="P89" i="1" s="1"/>
  <c r="P115" i="1"/>
  <c r="P65" i="1"/>
  <c r="N73" i="1"/>
  <c r="N75" i="1" s="1"/>
  <c r="P94" i="1"/>
  <c r="N132" i="1"/>
  <c r="P139" i="1"/>
  <c r="N167" i="1"/>
  <c r="P157" i="1"/>
  <c r="P64" i="1"/>
  <c r="N154" i="1"/>
  <c r="P128" i="1" l="1"/>
  <c r="L119" i="1"/>
  <c r="Q65" i="1"/>
  <c r="R65" i="1" s="1"/>
  <c r="N128" i="1"/>
  <c r="P170" i="1"/>
  <c r="N170" i="1"/>
  <c r="Q44" i="1"/>
  <c r="R44" i="1" s="1"/>
  <c r="Q92" i="1"/>
  <c r="R92" i="1" s="1"/>
  <c r="Q157" i="1"/>
  <c r="R157" i="1" s="1"/>
  <c r="Q158" i="1"/>
  <c r="R158" i="1" s="1"/>
  <c r="Q64" i="1"/>
  <c r="R64" i="1" s="1"/>
  <c r="Q63" i="1"/>
  <c r="R63" i="1" s="1"/>
  <c r="N117" i="1"/>
  <c r="Q107" i="1"/>
  <c r="R107" i="1" s="1"/>
  <c r="Q61" i="1"/>
  <c r="R61" i="1" s="1"/>
  <c r="Q140" i="1"/>
  <c r="R140" i="1" s="1"/>
  <c r="Q60" i="1"/>
  <c r="R60" i="1" s="1"/>
  <c r="Q26" i="1"/>
  <c r="R26" i="1" s="1"/>
  <c r="N103" i="1"/>
  <c r="Q58" i="1"/>
  <c r="R58" i="1" s="1"/>
  <c r="Q79" i="1"/>
  <c r="Q81" i="1" s="1"/>
  <c r="Q55" i="1"/>
  <c r="R55" i="1" s="1"/>
  <c r="N111" i="1"/>
  <c r="Q52" i="1"/>
  <c r="R52" i="1" s="1"/>
  <c r="Q142" i="1"/>
  <c r="R142" i="1" s="1"/>
  <c r="Q51" i="1"/>
  <c r="R51" i="1" s="1"/>
  <c r="Q56" i="1"/>
  <c r="R56" i="1" s="1"/>
  <c r="Q59" i="1"/>
  <c r="R59" i="1" s="1"/>
  <c r="Q43" i="1"/>
  <c r="R43" i="1" s="1"/>
  <c r="Q109" i="1"/>
  <c r="R109" i="1" s="1"/>
  <c r="Q37" i="1"/>
  <c r="R37" i="1" s="1"/>
  <c r="Q21" i="1"/>
  <c r="R21" i="1" s="1"/>
  <c r="Q54" i="1"/>
  <c r="R54" i="1" s="1"/>
  <c r="Q168" i="1"/>
  <c r="R168" i="1" s="1"/>
  <c r="Q148" i="1"/>
  <c r="Q27" i="1"/>
  <c r="R27" i="1" s="1"/>
  <c r="Q165" i="1"/>
  <c r="Q45" i="1"/>
  <c r="R45" i="1" s="1"/>
  <c r="Q94" i="1"/>
  <c r="R94" i="1" s="1"/>
  <c r="Q93" i="1"/>
  <c r="R93" i="1" s="1"/>
  <c r="Q101" i="1"/>
  <c r="R101" i="1" s="1"/>
  <c r="Q90" i="1"/>
  <c r="R90" i="1" s="1"/>
  <c r="P103" i="1"/>
  <c r="Q66" i="1"/>
  <c r="R66" i="1" s="1"/>
  <c r="Q108" i="1"/>
  <c r="R108" i="1" s="1"/>
  <c r="N69" i="1"/>
  <c r="Q62" i="1"/>
  <c r="R62" i="1" s="1"/>
  <c r="Q133" i="1"/>
  <c r="R133" i="1" s="1"/>
  <c r="Q156" i="1"/>
  <c r="R156" i="1" s="1"/>
  <c r="Q67" i="1"/>
  <c r="R67" i="1" s="1"/>
  <c r="Q91" i="1"/>
  <c r="R91" i="1" s="1"/>
  <c r="N135" i="1"/>
  <c r="N144" i="1"/>
  <c r="Q159" i="1"/>
  <c r="R159" i="1" s="1"/>
  <c r="N161" i="1"/>
  <c r="Q57" i="1"/>
  <c r="R57" i="1" s="1"/>
  <c r="Q22" i="1"/>
  <c r="R22" i="1" s="1"/>
  <c r="Q141" i="1"/>
  <c r="R141" i="1" s="1"/>
  <c r="Q53" i="1"/>
  <c r="R53" i="1" s="1"/>
  <c r="P135" i="1"/>
  <c r="Q126" i="1"/>
  <c r="R126" i="1" s="1"/>
  <c r="Q125" i="1"/>
  <c r="N47" i="1"/>
  <c r="Q35" i="1"/>
  <c r="R35" i="1" s="1"/>
  <c r="Q36" i="1"/>
  <c r="R36" i="1" s="1"/>
  <c r="N39" i="1"/>
  <c r="Q24" i="1"/>
  <c r="R24" i="1" s="1"/>
  <c r="N96" i="1"/>
  <c r="N119" i="1" s="1"/>
  <c r="N30" i="1"/>
  <c r="Q166" i="1"/>
  <c r="R166" i="1" s="1"/>
  <c r="Q25" i="1"/>
  <c r="R25" i="1" s="1"/>
  <c r="Q89" i="1"/>
  <c r="R89" i="1" s="1"/>
  <c r="P96" i="1"/>
  <c r="P69" i="1"/>
  <c r="P111" i="1"/>
  <c r="Q28" i="1"/>
  <c r="R28" i="1" s="1"/>
  <c r="Q167" i="1"/>
  <c r="R167" i="1" s="1"/>
  <c r="Q23" i="1"/>
  <c r="R23" i="1" s="1"/>
  <c r="Q115" i="1"/>
  <c r="P117" i="1"/>
  <c r="Q34" i="1"/>
  <c r="P39" i="1"/>
  <c r="P47" i="1"/>
  <c r="Q73" i="1"/>
  <c r="P18" i="1"/>
  <c r="Q16" i="1"/>
  <c r="P144" i="1"/>
  <c r="Q139" i="1"/>
  <c r="Q154" i="1"/>
  <c r="P161" i="1"/>
  <c r="P30" i="1"/>
  <c r="Q132" i="1"/>
  <c r="N83" i="1" l="1"/>
  <c r="R165" i="1"/>
  <c r="Q170" i="1"/>
  <c r="N172" i="1"/>
  <c r="P172" i="1"/>
  <c r="L174" i="1"/>
  <c r="R125" i="1"/>
  <c r="R128" i="1" s="1"/>
  <c r="Q128" i="1"/>
  <c r="R148" i="1"/>
  <c r="R150" i="1" s="1"/>
  <c r="Q150" i="1"/>
  <c r="R79" i="1"/>
  <c r="R81" i="1" s="1"/>
  <c r="Q103" i="1"/>
  <c r="R103" i="1"/>
  <c r="R111" i="1"/>
  <c r="Q111" i="1"/>
  <c r="R47" i="1"/>
  <c r="Q69" i="1"/>
  <c r="Q47" i="1"/>
  <c r="R69" i="1"/>
  <c r="R71" i="1" s="1"/>
  <c r="R30" i="1"/>
  <c r="Q96" i="1"/>
  <c r="R96" i="1"/>
  <c r="Q18" i="1"/>
  <c r="R16" i="1"/>
  <c r="R18" i="1" s="1"/>
  <c r="R132" i="1"/>
  <c r="R135" i="1" s="1"/>
  <c r="Q135" i="1"/>
  <c r="P83" i="1"/>
  <c r="Q39" i="1"/>
  <c r="R34" i="1"/>
  <c r="R39" i="1" s="1"/>
  <c r="Q75" i="1"/>
  <c r="R73" i="1"/>
  <c r="R75" i="1" s="1"/>
  <c r="P119" i="1"/>
  <c r="R154" i="1"/>
  <c r="R161" i="1" s="1"/>
  <c r="Q161" i="1"/>
  <c r="Q144" i="1"/>
  <c r="R139" i="1"/>
  <c r="R144" i="1" s="1"/>
  <c r="Q30" i="1"/>
  <c r="R115" i="1"/>
  <c r="R117" i="1" s="1"/>
  <c r="Q117" i="1"/>
  <c r="Q172" i="1" l="1"/>
  <c r="N175" i="1"/>
  <c r="R170" i="1"/>
  <c r="R172" i="1" s="1"/>
  <c r="Q119" i="1"/>
  <c r="R119" i="1"/>
  <c r="P174" i="1"/>
  <c r="R83" i="1"/>
  <c r="Q83" i="1"/>
  <c r="Q174" i="1" l="1"/>
  <c r="R174" i="1"/>
</calcChain>
</file>

<file path=xl/sharedStrings.xml><?xml version="1.0" encoding="utf-8"?>
<sst xmlns="http://schemas.openxmlformats.org/spreadsheetml/2006/main" count="720" uniqueCount="149">
  <si>
    <t>Regulatory Depreciation Schedule</t>
  </si>
  <si>
    <t>Months in first year</t>
  </si>
  <si>
    <t>A.</t>
  </si>
  <si>
    <t>Purchase date</t>
  </si>
  <si>
    <t>Months in second year</t>
  </si>
  <si>
    <t>B.</t>
  </si>
  <si>
    <t>End of Test Period</t>
  </si>
  <si>
    <t>First year</t>
  </si>
  <si>
    <t>C</t>
  </si>
  <si>
    <t>Date fully Depr</t>
  </si>
  <si>
    <t>Second year</t>
  </si>
  <si>
    <t>D.</t>
  </si>
  <si>
    <t>Beg of Test Period</t>
  </si>
  <si>
    <t>Beginning</t>
  </si>
  <si>
    <t>Ending</t>
  </si>
  <si>
    <t>Date in</t>
  </si>
  <si>
    <t>Salvage</t>
  </si>
  <si>
    <t>Year</t>
  </si>
  <si>
    <t>Accumulated</t>
  </si>
  <si>
    <t xml:space="preserve">dom | irr </t>
  </si>
  <si>
    <t>Asset</t>
  </si>
  <si>
    <t>Service</t>
  </si>
  <si>
    <t>Value</t>
  </si>
  <si>
    <t>Method</t>
  </si>
  <si>
    <t>Life</t>
  </si>
  <si>
    <t>Fully</t>
  </si>
  <si>
    <t>Monthly</t>
  </si>
  <si>
    <t>Test year</t>
  </si>
  <si>
    <t>%</t>
  </si>
  <si>
    <t>Depreciation</t>
  </si>
  <si>
    <t>EOP</t>
  </si>
  <si>
    <t>| common</t>
  </si>
  <si>
    <t>Category</t>
  </si>
  <si>
    <t>Description</t>
  </si>
  <si>
    <t>Mo.</t>
  </si>
  <si>
    <t>Day</t>
  </si>
  <si>
    <t>Depreciated</t>
  </si>
  <si>
    <t>Cost</t>
  </si>
  <si>
    <t>Allo.</t>
  </si>
  <si>
    <t>Investment</t>
  </si>
  <si>
    <t>B</t>
  </si>
  <si>
    <t>C.</t>
  </si>
  <si>
    <t>Domestic</t>
  </si>
  <si>
    <t>Plant, Structures, &amp; Improvements (35)</t>
  </si>
  <si>
    <t>dom</t>
  </si>
  <si>
    <t>Start Up 2008</t>
  </si>
  <si>
    <t>SL</t>
  </si>
  <si>
    <t>Total Plant, Structures, &amp; Improvements (35)</t>
  </si>
  <si>
    <t>Service Connection (30)</t>
  </si>
  <si>
    <t>TCDC-pre rate case</t>
  </si>
  <si>
    <t>CMLLC-pre rate case</t>
  </si>
  <si>
    <t>RRW Ph 1</t>
  </si>
  <si>
    <t>RRW Ph 3</t>
  </si>
  <si>
    <t>RRW Ph 2</t>
  </si>
  <si>
    <t>RRW Ph 4</t>
  </si>
  <si>
    <t>Ph 8 - 11</t>
  </si>
  <si>
    <t>Ph 12 - 14</t>
  </si>
  <si>
    <t>Total Service Connection (30)</t>
  </si>
  <si>
    <t>Mains &amp; Reservoirs (50)</t>
  </si>
  <si>
    <t>Water System S02</t>
  </si>
  <si>
    <t>Reserviour - Water Storage</t>
  </si>
  <si>
    <t>Total Mains &amp; Reservoirs (50)</t>
  </si>
  <si>
    <t>Pumping &amp; Water Treatment (20)</t>
  </si>
  <si>
    <t>Domestic S02 Well #2</t>
  </si>
  <si>
    <t>SO2 Well</t>
  </si>
  <si>
    <t>Water Transmission ML</t>
  </si>
  <si>
    <t>Total Pumping &amp; Water Treatment (20)</t>
  </si>
  <si>
    <t>Meters (20)</t>
  </si>
  <si>
    <t>HD Fowler Meters-Dom</t>
  </si>
  <si>
    <t>Total Meters (20)</t>
  </si>
  <si>
    <t>Transportation (7)</t>
  </si>
  <si>
    <t>Cart</t>
  </si>
  <si>
    <t>Total Transportation (7)</t>
  </si>
  <si>
    <t>Water System Plan (6)</t>
  </si>
  <si>
    <t>Water System Plan</t>
  </si>
  <si>
    <t>Total Water System Plan (6)</t>
  </si>
  <si>
    <t xml:space="preserve">Total Domestic System </t>
  </si>
  <si>
    <t>Irrigation</t>
  </si>
  <si>
    <t>irr</t>
  </si>
  <si>
    <t>SO2 Well-Irrig</t>
  </si>
  <si>
    <t>Pond Rehabilitation</t>
  </si>
  <si>
    <t>ECS NW - Irrig Tie in panel elect</t>
  </si>
  <si>
    <t>H&amp;N Control Panel - Irrig</t>
  </si>
  <si>
    <t>Layne Pump Irrig</t>
  </si>
  <si>
    <t>Pond Flow Meter</t>
  </si>
  <si>
    <t xml:space="preserve">Total Irrigation System </t>
  </si>
  <si>
    <t>Common Assets</t>
  </si>
  <si>
    <t>common</t>
  </si>
  <si>
    <r>
      <t xml:space="preserve">#2 Reserviour - </t>
    </r>
    <r>
      <rPr>
        <sz val="11"/>
        <rFont val="Aptos Narrow"/>
        <family val="2"/>
      </rPr>
      <t>dev costs</t>
    </r>
  </si>
  <si>
    <t xml:space="preserve">#2 Reserviour </t>
  </si>
  <si>
    <t>Layne Pump SO2</t>
  </si>
  <si>
    <t>Equipment (Laboratory, Office, &amp; Shop) (15)</t>
  </si>
  <si>
    <t>CX31B Excavator</t>
  </si>
  <si>
    <t xml:space="preserve">Skid Steer SSHA-84 </t>
  </si>
  <si>
    <t>Ditch Witch HX30 500</t>
  </si>
  <si>
    <t>Hydrant Wrench SD800 Exercizer</t>
  </si>
  <si>
    <t>Total Equipment (Laboratory, Office, &amp; Shop) (15)</t>
  </si>
  <si>
    <t>Fire Hydrant Meter</t>
  </si>
  <si>
    <t>Equipment (IT) (5)</t>
  </si>
  <si>
    <t>Office Equip</t>
  </si>
  <si>
    <t>Quikwater Q5 Software</t>
  </si>
  <si>
    <t>Detector</t>
  </si>
  <si>
    <t>Starlink Security System</t>
  </si>
  <si>
    <t>Computers (2)</t>
  </si>
  <si>
    <t>Total Equipment (IT) (5)</t>
  </si>
  <si>
    <t>2011 Chevy K10</t>
  </si>
  <si>
    <t xml:space="preserve">2017 Chevy Silverado K1500 </t>
  </si>
  <si>
    <t>2019 Chevy Silverado</t>
  </si>
  <si>
    <t>2019 Dodge Ram 5500</t>
  </si>
  <si>
    <t>Total Common Assets</t>
  </si>
  <si>
    <t>Total SVWW System - Domestic, Irrigation &amp; Shared</t>
  </si>
  <si>
    <t>check</t>
  </si>
  <si>
    <t>per books</t>
  </si>
  <si>
    <t>R-09</t>
  </si>
  <si>
    <t>Pro Forma Adjustment for New Meters</t>
  </si>
  <si>
    <t xml:space="preserve">                       -  </t>
  </si>
  <si>
    <t>P-11</t>
  </si>
  <si>
    <t>Pro Forma Depreciation Expense</t>
  </si>
  <si>
    <t>CIAC</t>
  </si>
  <si>
    <t>Facility &amp; Connection Charges (20)</t>
  </si>
  <si>
    <t>Hook Up Fee 2009</t>
  </si>
  <si>
    <t>Hook Up Fee 2010</t>
  </si>
  <si>
    <t>Hook Up Fee 2011</t>
  </si>
  <si>
    <t>Hook Up Fee 2012</t>
  </si>
  <si>
    <t>Fac Chg 2012</t>
  </si>
  <si>
    <t>Hook Up Fee 2013</t>
  </si>
  <si>
    <t>Fac Chg 2013</t>
  </si>
  <si>
    <t>Hook Up Fee 2014</t>
  </si>
  <si>
    <t>Fac Chg 2014</t>
  </si>
  <si>
    <t>Hook Up Fee 2015</t>
  </si>
  <si>
    <t>Fac Chg 2015</t>
  </si>
  <si>
    <t>Hook Up Fee 2016</t>
  </si>
  <si>
    <t>Fac Chg 2016</t>
  </si>
  <si>
    <t>Hook Up Fee 2018</t>
  </si>
  <si>
    <t>Fac Chg 2018</t>
  </si>
  <si>
    <t>Hook Up Fee 2019</t>
  </si>
  <si>
    <t>Fac Chg 2019</t>
  </si>
  <si>
    <t>Hook Up Fee 2020</t>
  </si>
  <si>
    <t>Fac Chg 2020</t>
  </si>
  <si>
    <t>Hook Up Fee 2021</t>
  </si>
  <si>
    <t>Fac Chg 2021</t>
  </si>
  <si>
    <t>Hook Up Fee 2022</t>
  </si>
  <si>
    <t>Hook Up Fee 2017</t>
  </si>
  <si>
    <t>Fac Chg 2017</t>
  </si>
  <si>
    <t>Hook Up Fee 2023</t>
  </si>
  <si>
    <t>Total Facility &amp; Connection Charges (20)</t>
  </si>
  <si>
    <t>Total CIAC</t>
  </si>
  <si>
    <t>Restated</t>
  </si>
  <si>
    <t>Pro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</si>
</sst>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;[Red]0.00"/>
  </numFmts>
  <fonts count="31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z val="11"/>
      <name val="Aptos Narrow"/>
      <family val="2"/>
      <scheme val="minor"/>
    </font>
    <font>
      <sz val="8"/>
      <name val="Arial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2" tint="-0.499984740745262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indexed="8"/>
      <name val="Calibri"/>
      <family val="2"/>
    </font>
    <font>
      <b/>
      <u/>
      <sz val="11"/>
      <name val="Aptos Narrow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9"/>
      <color rgb="FF0000FF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sz val="11"/>
      <name val="Aptos Narrow"/>
      <family val="2"/>
    </font>
    <font>
      <sz val="8"/>
      <name val="Calibri"/>
      <family val="2"/>
    </font>
    <font>
      <b/>
      <sz val="11"/>
      <name val="Aptos Narrow"/>
      <family val="2"/>
    </font>
    <font>
      <sz val="9"/>
      <name val="Aptos Narrow"/>
      <family val="2"/>
    </font>
    <font>
      <b/>
      <sz val="11"/>
      <color rgb="FF0000FF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3" fontId="6" fillId="0" borderId="0" xfId="3" applyNumberFormat="1" applyFont="1"/>
    <xf numFmtId="0" fontId="6" fillId="0" borderId="0" xfId="4" applyFont="1"/>
    <xf numFmtId="0" fontId="3" fillId="0" borderId="0" xfId="2" applyFont="1" applyAlignment="1">
      <alignment horizontal="center"/>
    </xf>
    <xf numFmtId="0" fontId="8" fillId="0" borderId="0" xfId="2" applyFont="1"/>
    <xf numFmtId="3" fontId="9" fillId="0" borderId="0" xfId="3" applyNumberFormat="1" applyFont="1" applyAlignment="1">
      <alignment horizontal="centerContinuous"/>
    </xf>
    <xf numFmtId="9" fontId="9" fillId="0" borderId="0" xfId="5" applyFont="1" applyAlignment="1">
      <alignment horizontal="centerContinuous"/>
    </xf>
    <xf numFmtId="3" fontId="10" fillId="0" borderId="0" xfId="3" applyNumberFormat="1" applyFont="1" applyAlignment="1">
      <alignment horizontal="right"/>
    </xf>
    <xf numFmtId="3" fontId="10" fillId="0" borderId="0" xfId="3" applyNumberFormat="1" applyFont="1" applyAlignment="1">
      <alignment horizontal="left"/>
    </xf>
    <xf numFmtId="3" fontId="9" fillId="0" borderId="0" xfId="3" applyNumberFormat="1" applyFont="1"/>
    <xf numFmtId="3" fontId="9" fillId="0" borderId="0" xfId="3" applyNumberFormat="1" applyFont="1" applyAlignment="1">
      <alignment horizontal="left"/>
    </xf>
    <xf numFmtId="0" fontId="9" fillId="0" borderId="0" xfId="4" applyFont="1"/>
    <xf numFmtId="0" fontId="9" fillId="0" borderId="0" xfId="4" applyFont="1" applyAlignment="1">
      <alignment horizontal="center"/>
    </xf>
    <xf numFmtId="3" fontId="9" fillId="0" borderId="0" xfId="3" applyNumberFormat="1" applyFont="1" applyAlignment="1">
      <alignment horizontal="center"/>
    </xf>
    <xf numFmtId="9" fontId="9" fillId="0" borderId="0" xfId="5" applyFont="1"/>
    <xf numFmtId="0" fontId="12" fillId="0" borderId="0" xfId="2" applyFont="1"/>
    <xf numFmtId="1" fontId="10" fillId="0" borderId="0" xfId="3" applyNumberFormat="1" applyFont="1" applyAlignment="1">
      <alignment horizontal="right"/>
    </xf>
    <xf numFmtId="0" fontId="13" fillId="0" borderId="0" xfId="4" applyFont="1" applyAlignment="1">
      <alignment horizontal="center"/>
    </xf>
    <xf numFmtId="3" fontId="14" fillId="0" borderId="0" xfId="3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9" fontId="6" fillId="0" borderId="0" xfId="5" applyFont="1"/>
    <xf numFmtId="3" fontId="6" fillId="0" borderId="0" xfId="3" applyNumberFormat="1" applyFont="1" applyAlignment="1">
      <alignment horizontal="left"/>
    </xf>
    <xf numFmtId="0" fontId="13" fillId="0" borderId="0" xfId="4" applyFont="1"/>
    <xf numFmtId="3" fontId="14" fillId="0" borderId="0" xfId="3" applyNumberFormat="1" applyFont="1"/>
    <xf numFmtId="3" fontId="14" fillId="0" borderId="0" xfId="3" applyNumberFormat="1" applyFont="1" applyAlignment="1">
      <alignment horizontal="centerContinuous"/>
    </xf>
    <xf numFmtId="9" fontId="14" fillId="0" borderId="0" xfId="5" applyFont="1" applyAlignment="1">
      <alignment horizontal="center"/>
    </xf>
    <xf numFmtId="0" fontId="14" fillId="0" borderId="0" xfId="4" applyFont="1" applyAlignment="1">
      <alignment horizontal="center" wrapText="1"/>
    </xf>
    <xf numFmtId="0" fontId="14" fillId="0" borderId="0" xfId="4" applyFont="1" applyAlignment="1">
      <alignment horizontal="center"/>
    </xf>
    <xf numFmtId="43" fontId="14" fillId="0" borderId="0" xfId="6" applyFont="1" applyAlignment="1">
      <alignment horizontal="left" indent="1"/>
    </xf>
    <xf numFmtId="14" fontId="14" fillId="0" borderId="0" xfId="3" quotePrefix="1" applyNumberFormat="1" applyFont="1" applyAlignment="1">
      <alignment horizontal="center"/>
    </xf>
    <xf numFmtId="14" fontId="14" fillId="0" borderId="0" xfId="3" applyNumberFormat="1" applyFont="1" applyAlignment="1">
      <alignment horizontal="center"/>
    </xf>
    <xf numFmtId="0" fontId="6" fillId="0" borderId="0" xfId="4" applyFont="1" applyAlignment="1">
      <alignment horizontal="center"/>
    </xf>
    <xf numFmtId="3" fontId="16" fillId="0" borderId="0" xfId="3" applyNumberFormat="1" applyFont="1" applyAlignment="1">
      <alignment horizontal="left"/>
    </xf>
    <xf numFmtId="1" fontId="6" fillId="0" borderId="0" xfId="3" applyNumberFormat="1" applyFont="1" applyAlignment="1">
      <alignment horizontal="center"/>
    </xf>
    <xf numFmtId="1" fontId="6" fillId="0" borderId="0" xfId="3" applyNumberFormat="1" applyFont="1"/>
    <xf numFmtId="4" fontId="9" fillId="0" borderId="0" xfId="3" applyNumberFormat="1" applyFont="1"/>
    <xf numFmtId="4" fontId="6" fillId="0" borderId="0" xfId="3" applyNumberFormat="1" applyFont="1"/>
    <xf numFmtId="0" fontId="6" fillId="2" borderId="0" xfId="4" applyFont="1" applyFill="1" applyAlignment="1">
      <alignment horizontal="center"/>
    </xf>
    <xf numFmtId="1" fontId="6" fillId="2" borderId="0" xfId="3" applyNumberFormat="1" applyFont="1" applyFill="1" applyAlignment="1">
      <alignment horizontal="center"/>
    </xf>
    <xf numFmtId="3" fontId="6" fillId="2" borderId="0" xfId="3" applyNumberFormat="1" applyFont="1" applyFill="1" applyAlignment="1">
      <alignment horizontal="center"/>
    </xf>
    <xf numFmtId="9" fontId="6" fillId="2" borderId="0" xfId="5" applyFont="1" applyFill="1"/>
    <xf numFmtId="3" fontId="6" fillId="2" borderId="0" xfId="3" applyNumberFormat="1" applyFont="1" applyFill="1"/>
    <xf numFmtId="1" fontId="6" fillId="2" borderId="0" xfId="3" applyNumberFormat="1" applyFont="1" applyFill="1"/>
    <xf numFmtId="3" fontId="9" fillId="2" borderId="0" xfId="3" applyNumberFormat="1" applyFont="1" applyFill="1"/>
    <xf numFmtId="4" fontId="9" fillId="2" borderId="0" xfId="3" applyNumberFormat="1" applyFont="1" applyFill="1"/>
    <xf numFmtId="4" fontId="6" fillId="2" borderId="0" xfId="3" applyNumberFormat="1" applyFont="1" applyFill="1"/>
    <xf numFmtId="0" fontId="6" fillId="2" borderId="0" xfId="4" applyFont="1" applyFill="1"/>
    <xf numFmtId="164" fontId="6" fillId="0" borderId="0" xfId="6" applyNumberFormat="1" applyFont="1"/>
    <xf numFmtId="9" fontId="6" fillId="0" borderId="0" xfId="7" applyFont="1" applyFill="1" applyBorder="1"/>
    <xf numFmtId="165" fontId="9" fillId="0" borderId="0" xfId="4" applyNumberFormat="1" applyFont="1"/>
    <xf numFmtId="165" fontId="6" fillId="0" borderId="0" xfId="4" applyNumberFormat="1" applyFont="1"/>
    <xf numFmtId="0" fontId="14" fillId="0" borderId="0" xfId="4" applyFont="1" applyAlignment="1">
      <alignment horizontal="left"/>
    </xf>
    <xf numFmtId="9" fontId="14" fillId="0" borderId="0" xfId="5" applyFont="1"/>
    <xf numFmtId="0" fontId="14" fillId="0" borderId="0" xfId="4" applyFont="1"/>
    <xf numFmtId="164" fontId="14" fillId="0" borderId="0" xfId="6" applyNumberFormat="1" applyFont="1"/>
    <xf numFmtId="164" fontId="14" fillId="0" borderId="1" xfId="6" applyNumberFormat="1" applyFont="1" applyBorder="1"/>
    <xf numFmtId="9" fontId="14" fillId="0" borderId="0" xfId="7" applyFont="1" applyFill="1" applyBorder="1"/>
    <xf numFmtId="165" fontId="11" fillId="0" borderId="0" xfId="4" applyNumberFormat="1" applyFont="1"/>
    <xf numFmtId="165" fontId="14" fillId="0" borderId="0" xfId="4" applyNumberFormat="1" applyFont="1"/>
    <xf numFmtId="164" fontId="14" fillId="0" borderId="0" xfId="6" applyNumberFormat="1" applyFont="1" applyBorder="1"/>
    <xf numFmtId="164" fontId="19" fillId="0" borderId="0" xfId="6" applyNumberFormat="1" applyFont="1"/>
    <xf numFmtId="0" fontId="20" fillId="0" borderId="0" xfId="4" applyFont="1" applyAlignment="1">
      <alignment horizontal="center"/>
    </xf>
    <xf numFmtId="0" fontId="20" fillId="0" borderId="0" xfId="4" applyFont="1"/>
    <xf numFmtId="9" fontId="20" fillId="0" borderId="0" xfId="5" applyFont="1"/>
    <xf numFmtId="164" fontId="20" fillId="0" borderId="0" xfId="6" applyNumberFormat="1" applyFont="1"/>
    <xf numFmtId="9" fontId="20" fillId="0" borderId="0" xfId="7" applyFont="1" applyFill="1" applyBorder="1"/>
    <xf numFmtId="165" fontId="22" fillId="0" borderId="0" xfId="4" applyNumberFormat="1" applyFont="1"/>
    <xf numFmtId="165" fontId="20" fillId="0" borderId="0" xfId="4" applyNumberFormat="1" applyFont="1"/>
    <xf numFmtId="164" fontId="6" fillId="0" borderId="0" xfId="4" applyNumberFormat="1" applyFont="1"/>
    <xf numFmtId="0" fontId="18" fillId="0" borderId="0" xfId="0" applyFont="1"/>
    <xf numFmtId="0" fontId="14" fillId="2" borderId="0" xfId="4" applyFont="1" applyFill="1" applyAlignment="1">
      <alignment horizontal="center"/>
    </xf>
    <xf numFmtId="9" fontId="14" fillId="2" borderId="0" xfId="5" applyFont="1" applyFill="1"/>
    <xf numFmtId="0" fontId="14" fillId="2" borderId="0" xfId="4" applyFont="1" applyFill="1"/>
    <xf numFmtId="164" fontId="14" fillId="2" borderId="1" xfId="6" applyNumberFormat="1" applyFont="1" applyFill="1" applyBorder="1"/>
    <xf numFmtId="164" fontId="14" fillId="2" borderId="0" xfId="6" applyNumberFormat="1" applyFont="1" applyFill="1"/>
    <xf numFmtId="9" fontId="14" fillId="2" borderId="0" xfId="7" applyFont="1" applyFill="1" applyBorder="1"/>
    <xf numFmtId="165" fontId="11" fillId="2" borderId="0" xfId="4" applyNumberFormat="1" applyFont="1" applyFill="1"/>
    <xf numFmtId="165" fontId="14" fillId="2" borderId="0" xfId="4" applyNumberFormat="1" applyFont="1" applyFill="1"/>
    <xf numFmtId="164" fontId="14" fillId="2" borderId="0" xfId="6" applyNumberFormat="1" applyFont="1" applyFill="1" applyBorder="1"/>
    <xf numFmtId="0" fontId="19" fillId="0" borderId="0" xfId="4" applyFont="1"/>
    <xf numFmtId="0" fontId="19" fillId="0" borderId="0" xfId="4" applyFont="1" applyAlignment="1">
      <alignment horizontal="center"/>
    </xf>
    <xf numFmtId="9" fontId="19" fillId="0" borderId="0" xfId="5" applyFont="1"/>
    <xf numFmtId="9" fontId="19" fillId="0" borderId="0" xfId="7" applyFont="1" applyFill="1" applyBorder="1"/>
    <xf numFmtId="165" fontId="24" fillId="0" borderId="0" xfId="4" applyNumberFormat="1" applyFont="1"/>
    <xf numFmtId="165" fontId="19" fillId="0" borderId="0" xfId="4" applyNumberFormat="1" applyFont="1"/>
    <xf numFmtId="43" fontId="11" fillId="0" borderId="0" xfId="1" applyFont="1"/>
    <xf numFmtId="41" fontId="25" fillId="0" borderId="0" xfId="8" applyNumberFormat="1" applyFont="1"/>
    <xf numFmtId="0" fontId="25" fillId="0" borderId="0" xfId="4" applyFont="1"/>
    <xf numFmtId="164" fontId="6" fillId="0" borderId="0" xfId="1" applyNumberFormat="1" applyFont="1"/>
    <xf numFmtId="9" fontId="13" fillId="0" borderId="0" xfId="5" applyFont="1"/>
    <xf numFmtId="164" fontId="14" fillId="0" borderId="0" xfId="4" applyNumberFormat="1" applyFont="1"/>
    <xf numFmtId="164" fontId="6" fillId="0" borderId="0" xfId="6" applyNumberFormat="1" applyFont="1" applyFill="1"/>
    <xf numFmtId="9" fontId="6" fillId="0" borderId="0" xfId="7" applyFont="1" applyFill="1"/>
    <xf numFmtId="164" fontId="14" fillId="0" borderId="1" xfId="6" applyNumberFormat="1" applyFont="1" applyFill="1" applyBorder="1"/>
    <xf numFmtId="9" fontId="6" fillId="0" borderId="0" xfId="5" applyFont="1" applyFill="1"/>
    <xf numFmtId="9" fontId="14" fillId="0" borderId="0" xfId="5" applyFont="1" applyFill="1"/>
    <xf numFmtId="164" fontId="14" fillId="0" borderId="0" xfId="6" applyNumberFormat="1" applyFont="1" applyFill="1"/>
    <xf numFmtId="164" fontId="25" fillId="0" borderId="0" xfId="6" applyNumberFormat="1" applyFont="1"/>
    <xf numFmtId="164" fontId="20" fillId="0" borderId="0" xfId="6" applyNumberFormat="1" applyFont="1" applyFill="1"/>
    <xf numFmtId="164" fontId="21" fillId="0" borderId="0" xfId="4" applyNumberFormat="1" applyFont="1"/>
    <xf numFmtId="0" fontId="21" fillId="0" borderId="0" xfId="4" applyFont="1" applyAlignment="1">
      <alignment horizontal="left"/>
    </xf>
    <xf numFmtId="0" fontId="6" fillId="0" borderId="0" xfId="6" applyNumberFormat="1" applyFont="1" applyAlignment="1">
      <alignment horizontal="left"/>
    </xf>
    <xf numFmtId="0" fontId="28" fillId="0" borderId="0" xfId="0" applyFont="1"/>
    <xf numFmtId="0" fontId="26" fillId="0" borderId="0" xfId="0" applyFont="1"/>
    <xf numFmtId="9" fontId="26" fillId="0" borderId="0" xfId="0" applyNumberFormat="1" applyFont="1"/>
    <xf numFmtId="3" fontId="26" fillId="0" borderId="0" xfId="0" applyNumberFormat="1" applyFont="1"/>
    <xf numFmtId="0" fontId="29" fillId="0" borderId="0" xfId="0" applyFont="1"/>
    <xf numFmtId="0" fontId="30" fillId="0" borderId="0" xfId="0" applyFont="1"/>
    <xf numFmtId="3" fontId="30" fillId="0" borderId="0" xfId="0" applyNumberFormat="1" applyFont="1"/>
    <xf numFmtId="0" fontId="21" fillId="0" borderId="0" xfId="4" applyFont="1"/>
    <xf numFmtId="164" fontId="21" fillId="0" borderId="0" xfId="6" applyNumberFormat="1" applyFont="1"/>
    <xf numFmtId="0" fontId="23" fillId="0" borderId="0" xfId="4" applyFont="1" applyAlignment="1">
      <alignment horizontal="center"/>
    </xf>
    <xf numFmtId="0" fontId="14" fillId="2" borderId="0" xfId="4" applyFont="1" applyFill="1" applyAlignment="1">
      <alignment horizontal="left"/>
    </xf>
    <xf numFmtId="0" fontId="14" fillId="0" borderId="0" xfId="4" applyFont="1" applyAlignment="1">
      <alignment horizontal="left"/>
    </xf>
    <xf numFmtId="0" fontId="6" fillId="0" borderId="0" xfId="4" applyFont="1" applyAlignment="1">
      <alignment horizontal="left"/>
    </xf>
    <xf numFmtId="0" fontId="28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3" fontId="9" fillId="0" borderId="0" xfId="3" applyNumberFormat="1" applyFont="1" applyAlignment="1">
      <alignment horizontal="left"/>
    </xf>
    <xf numFmtId="3" fontId="14" fillId="2" borderId="0" xfId="3" applyNumberFormat="1" applyFont="1" applyFill="1" applyAlignment="1">
      <alignment horizontal="left"/>
    </xf>
    <xf numFmtId="0" fontId="6" fillId="0" borderId="0" xfId="4" applyFont="1" applyFill="1"/>
  </cellXfs>
  <cellStyles count="9">
    <cellStyle name="Comma" xfId="1" builtinId="3"/>
    <cellStyle name="Comma 2 2" xfId="6" xr:uid="{D7A41F94-2968-49E6-AE7F-F634DBE2C829}"/>
    <cellStyle name="Comma 3" xfId="8" xr:uid="{B3591AED-27F9-4B6D-A726-361B55A6FACB}"/>
    <cellStyle name="Normal" xfId="0" builtinId="0"/>
    <cellStyle name="Normal 2 2" xfId="4" xr:uid="{53062F91-9380-44AB-BF22-C70978847530}"/>
    <cellStyle name="Normal 7" xfId="2" xr:uid="{84224569-5AB1-492B-B589-3EBBCA3EC4AB}"/>
    <cellStyle name="Normal_Sheet2" xfId="3" xr:uid="{A1AD269A-1418-4116-8AF2-51D40B07DB73}"/>
    <cellStyle name="Percent 2" xfId="5" xr:uid="{D9ACEE2F-4AA9-4284-9BAD-AC0B8D6B1EAB}"/>
    <cellStyle name="Percent 2 2" xfId="7" xr:uid="{58D256E4-F177-47BD-88F7-682BBD37D5F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FA29-B34C-4C0F-9DA7-13267C1988B2}">
  <sheetPr>
    <pageSetUpPr fitToPage="1"/>
  </sheetPr>
  <dimension ref="B1:Y186"/>
  <sheetViews>
    <sheetView workbookViewId="0">
      <pane xSplit="4" ySplit="12" topLeftCell="E164" activePane="bottomRight" state="frozen"/>
      <selection pane="topRight" activeCell="E1" sqref="E1"/>
      <selection pane="bottomLeft" activeCell="A12" sqref="A12"/>
      <selection pane="bottomRight" activeCell="B1" sqref="B1:R1"/>
    </sheetView>
  </sheetViews>
  <sheetFormatPr defaultColWidth="9.140625" defaultRowHeight="12" x14ac:dyDescent="0.2"/>
  <cols>
    <col min="1" max="1" width="2.7109375" style="22" customWidth="1"/>
    <col min="2" max="2" width="10.28515625" style="17" bestFit="1" customWidth="1"/>
    <col min="3" max="3" width="9.140625" style="22" bestFit="1" customWidth="1"/>
    <col min="4" max="4" width="29.42578125" style="22" bestFit="1" customWidth="1"/>
    <col min="5" max="5" width="10.42578125" style="22" bestFit="1" customWidth="1"/>
    <col min="6" max="6" width="4.28515625" style="22" bestFit="1" customWidth="1"/>
    <col min="7" max="7" width="4.42578125" style="22" bestFit="1" customWidth="1"/>
    <col min="8" max="8" width="7.85546875" style="89" bestFit="1" customWidth="1"/>
    <col min="9" max="9" width="7.85546875" style="22" bestFit="1" customWidth="1"/>
    <col min="10" max="10" width="4.42578125" style="22" bestFit="1" customWidth="1"/>
    <col min="11" max="11" width="12.140625" style="22" bestFit="1" customWidth="1"/>
    <col min="12" max="12" width="10.5703125" style="22" bestFit="1" customWidth="1"/>
    <col min="13" max="13" width="12.7109375" style="22" bestFit="1" customWidth="1"/>
    <col min="14" max="14" width="16.42578125" style="22" bestFit="1" customWidth="1"/>
    <col min="15" max="15" width="9.7109375" style="22" bestFit="1" customWidth="1"/>
    <col min="16" max="17" width="12.7109375" style="22" bestFit="1" customWidth="1"/>
    <col min="18" max="18" width="11.28515625" style="22" bestFit="1" customWidth="1"/>
    <col min="19" max="19" width="7" style="11" bestFit="1" customWidth="1"/>
    <col min="20" max="20" width="6.5703125" style="11" bestFit="1" customWidth="1"/>
    <col min="21" max="21" width="7" style="11" bestFit="1" customWidth="1"/>
    <col min="22" max="22" width="6.5703125" style="11" bestFit="1" customWidth="1"/>
    <col min="23" max="23" width="2.7109375" style="22" customWidth="1"/>
    <col min="24" max="24" width="28.85546875" style="22" bestFit="1" customWidth="1"/>
    <col min="25" max="25" width="7" style="22" bestFit="1" customWidth="1"/>
    <col min="26" max="16384" width="9.140625" style="22"/>
  </cols>
  <sheetData>
    <row r="1" spans="2:23" s="2" customFormat="1" ht="15.75" x14ac:dyDescent="0.2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"/>
      <c r="T1" s="1"/>
      <c r="U1" s="1"/>
      <c r="V1" s="1"/>
      <c r="W1" s="1"/>
    </row>
    <row r="2" spans="2:23" s="2" customFormat="1" ht="15.75" x14ac:dyDescent="0.25">
      <c r="B2" s="116" t="s">
        <v>147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"/>
      <c r="T2" s="1"/>
      <c r="U2" s="1"/>
      <c r="V2" s="1"/>
      <c r="W2" s="1"/>
    </row>
    <row r="3" spans="2:23" s="2" customFormat="1" ht="1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</row>
    <row r="4" spans="2:23" s="11" customFormat="1" x14ac:dyDescent="0.2">
      <c r="B4" s="4"/>
      <c r="C4" s="4"/>
      <c r="D4" s="4"/>
      <c r="E4" s="5"/>
      <c r="F4" s="5"/>
      <c r="G4" s="5"/>
      <c r="H4" s="6"/>
      <c r="I4" s="5"/>
      <c r="J4" s="5"/>
      <c r="K4" s="5"/>
      <c r="L4" s="5"/>
      <c r="M4" s="7">
        <v>12</v>
      </c>
      <c r="N4" s="8" t="s">
        <v>1</v>
      </c>
      <c r="O4" s="9"/>
      <c r="P4" s="9"/>
      <c r="Q4" s="9"/>
      <c r="R4" s="9"/>
      <c r="S4" s="9"/>
      <c r="T4" s="10" t="s">
        <v>2</v>
      </c>
      <c r="U4" s="117" t="s">
        <v>3</v>
      </c>
      <c r="V4" s="117"/>
      <c r="W4" s="10"/>
    </row>
    <row r="5" spans="2:23" s="11" customFormat="1" x14ac:dyDescent="0.2">
      <c r="B5" s="12"/>
      <c r="D5" s="9"/>
      <c r="E5" s="13"/>
      <c r="F5" s="13"/>
      <c r="G5" s="13"/>
      <c r="H5" s="14"/>
      <c r="I5" s="13"/>
      <c r="J5" s="9"/>
      <c r="K5" s="9"/>
      <c r="L5" s="9"/>
      <c r="M5" s="7">
        <v>0</v>
      </c>
      <c r="N5" s="8" t="s">
        <v>4</v>
      </c>
      <c r="O5" s="9"/>
      <c r="P5" s="9"/>
      <c r="Q5" s="9"/>
      <c r="R5" s="9"/>
      <c r="S5" s="9"/>
      <c r="T5" s="10" t="s">
        <v>5</v>
      </c>
      <c r="U5" s="117" t="s">
        <v>6</v>
      </c>
      <c r="V5" s="117"/>
      <c r="W5" s="10"/>
    </row>
    <row r="6" spans="2:23" s="11" customFormat="1" x14ac:dyDescent="0.2">
      <c r="D6" s="15"/>
      <c r="E6" s="13"/>
      <c r="F6" s="13"/>
      <c r="G6" s="13"/>
      <c r="H6" s="14"/>
      <c r="I6" s="13"/>
      <c r="J6" s="9"/>
      <c r="K6" s="9"/>
      <c r="L6" s="9"/>
      <c r="M6" s="16">
        <v>2023</v>
      </c>
      <c r="N6" s="8" t="s">
        <v>7</v>
      </c>
      <c r="O6" s="9"/>
      <c r="P6" s="9"/>
      <c r="Q6" s="9"/>
      <c r="R6" s="9"/>
      <c r="S6" s="9"/>
      <c r="T6" s="10" t="s">
        <v>8</v>
      </c>
      <c r="U6" s="117" t="s">
        <v>9</v>
      </c>
      <c r="V6" s="117"/>
      <c r="W6" s="10"/>
    </row>
    <row r="7" spans="2:23" s="11" customFormat="1" x14ac:dyDescent="0.2">
      <c r="B7" s="12"/>
      <c r="D7" s="9"/>
      <c r="E7" s="13"/>
      <c r="F7" s="13"/>
      <c r="G7" s="13"/>
      <c r="H7" s="14"/>
      <c r="I7" s="13"/>
      <c r="J7" s="9"/>
      <c r="K7" s="9"/>
      <c r="L7" s="9"/>
      <c r="M7" s="16">
        <v>2024</v>
      </c>
      <c r="N7" s="8" t="s">
        <v>10</v>
      </c>
      <c r="O7" s="9"/>
      <c r="P7" s="9"/>
      <c r="Q7" s="9"/>
      <c r="R7" s="9"/>
      <c r="S7" s="9"/>
      <c r="T7" s="10" t="s">
        <v>11</v>
      </c>
      <c r="U7" s="117" t="s">
        <v>12</v>
      </c>
      <c r="V7" s="117"/>
      <c r="W7" s="10"/>
    </row>
    <row r="8" spans="2:23" ht="15" x14ac:dyDescent="0.25">
      <c r="C8" s="2"/>
      <c r="D8" s="1"/>
      <c r="E8" s="19"/>
      <c r="F8" s="19"/>
      <c r="G8" s="19"/>
      <c r="H8" s="20"/>
      <c r="I8" s="19"/>
      <c r="J8" s="1"/>
      <c r="K8" s="1"/>
      <c r="L8" s="1"/>
      <c r="M8" s="1"/>
      <c r="N8" s="1"/>
      <c r="O8" s="1"/>
      <c r="P8" s="18" t="s">
        <v>13</v>
      </c>
      <c r="Q8" s="18" t="s">
        <v>14</v>
      </c>
      <c r="R8" s="1"/>
      <c r="S8" s="9"/>
      <c r="T8" s="9"/>
      <c r="U8" s="10"/>
      <c r="V8" s="10"/>
      <c r="W8" s="21"/>
    </row>
    <row r="9" spans="2:23" ht="15" x14ac:dyDescent="0.25">
      <c r="C9" s="2"/>
      <c r="D9" s="23"/>
      <c r="E9" s="24" t="s">
        <v>15</v>
      </c>
      <c r="F9" s="24"/>
      <c r="G9" s="24"/>
      <c r="H9" s="25" t="s">
        <v>16</v>
      </c>
      <c r="I9" s="18"/>
      <c r="J9" s="23"/>
      <c r="K9" s="18" t="s">
        <v>17</v>
      </c>
      <c r="L9" s="23"/>
      <c r="M9" s="23"/>
      <c r="N9" s="23"/>
      <c r="O9" s="23"/>
      <c r="P9" s="18" t="s">
        <v>18</v>
      </c>
      <c r="Q9" s="18" t="s">
        <v>18</v>
      </c>
      <c r="R9" s="23"/>
      <c r="S9" s="9"/>
      <c r="T9" s="9"/>
      <c r="U9" s="9"/>
      <c r="V9" s="9"/>
      <c r="W9" s="1"/>
    </row>
    <row r="10" spans="2:23" ht="15" x14ac:dyDescent="0.25">
      <c r="B10" s="26" t="s">
        <v>19</v>
      </c>
      <c r="C10" s="27" t="s">
        <v>20</v>
      </c>
      <c r="D10" s="23"/>
      <c r="E10" s="28" t="s">
        <v>21</v>
      </c>
      <c r="F10" s="18"/>
      <c r="G10" s="18"/>
      <c r="H10" s="25" t="s">
        <v>22</v>
      </c>
      <c r="I10" s="18" t="s">
        <v>23</v>
      </c>
      <c r="J10" s="18" t="s">
        <v>24</v>
      </c>
      <c r="K10" s="18" t="s">
        <v>25</v>
      </c>
      <c r="L10" s="18" t="s">
        <v>20</v>
      </c>
      <c r="M10" s="18" t="s">
        <v>26</v>
      </c>
      <c r="N10" s="18" t="s">
        <v>27</v>
      </c>
      <c r="O10" s="18" t="s">
        <v>28</v>
      </c>
      <c r="P10" s="18" t="s">
        <v>29</v>
      </c>
      <c r="Q10" s="18" t="s">
        <v>29</v>
      </c>
      <c r="R10" s="18" t="s">
        <v>30</v>
      </c>
      <c r="S10" s="13"/>
      <c r="T10" s="13"/>
      <c r="U10" s="13"/>
      <c r="V10" s="9"/>
      <c r="W10" s="1"/>
    </row>
    <row r="11" spans="2:23" ht="15" x14ac:dyDescent="0.25">
      <c r="B11" s="26" t="s">
        <v>31</v>
      </c>
      <c r="C11" s="27" t="s">
        <v>32</v>
      </c>
      <c r="D11" s="18" t="s">
        <v>33</v>
      </c>
      <c r="E11" s="18" t="s">
        <v>17</v>
      </c>
      <c r="F11" s="18" t="s">
        <v>34</v>
      </c>
      <c r="G11" s="18" t="s">
        <v>35</v>
      </c>
      <c r="H11" s="25" t="s">
        <v>28</v>
      </c>
      <c r="I11" s="18"/>
      <c r="J11" s="18"/>
      <c r="K11" s="18" t="s">
        <v>36</v>
      </c>
      <c r="L11" s="18" t="s">
        <v>37</v>
      </c>
      <c r="M11" s="18" t="s">
        <v>29</v>
      </c>
      <c r="N11" s="18" t="s">
        <v>29</v>
      </c>
      <c r="O11" s="18" t="s">
        <v>38</v>
      </c>
      <c r="P11" s="29">
        <v>44927</v>
      </c>
      <c r="Q11" s="30">
        <v>45291</v>
      </c>
      <c r="R11" s="18" t="s">
        <v>39</v>
      </c>
      <c r="S11" s="13" t="s">
        <v>2</v>
      </c>
      <c r="T11" s="13" t="s">
        <v>40</v>
      </c>
      <c r="U11" s="13" t="s">
        <v>41</v>
      </c>
      <c r="V11" s="13" t="s">
        <v>11</v>
      </c>
      <c r="W11" s="19"/>
    </row>
    <row r="12" spans="2:23" s="2" customFormat="1" ht="15" x14ac:dyDescent="0.25">
      <c r="B12" s="31"/>
      <c r="D12" s="32"/>
      <c r="E12" s="33"/>
      <c r="F12" s="19"/>
      <c r="G12" s="19"/>
      <c r="H12" s="20"/>
      <c r="I12" s="19"/>
      <c r="J12" s="1"/>
      <c r="K12" s="34"/>
      <c r="L12" s="1"/>
      <c r="M12" s="1"/>
      <c r="N12" s="1"/>
      <c r="O12" s="1"/>
      <c r="P12" s="1"/>
      <c r="Q12" s="1"/>
      <c r="R12" s="1"/>
      <c r="S12" s="9"/>
      <c r="T12" s="9"/>
      <c r="U12" s="9"/>
      <c r="V12" s="35"/>
      <c r="W12" s="36"/>
    </row>
    <row r="13" spans="2:23" s="46" customFormat="1" ht="15" x14ac:dyDescent="0.25">
      <c r="B13" s="37"/>
      <c r="C13" s="118" t="s">
        <v>42</v>
      </c>
      <c r="D13" s="118"/>
      <c r="E13" s="38"/>
      <c r="F13" s="39"/>
      <c r="G13" s="39"/>
      <c r="H13" s="40"/>
      <c r="I13" s="39"/>
      <c r="J13" s="41"/>
      <c r="K13" s="42"/>
      <c r="L13" s="41"/>
      <c r="M13" s="41"/>
      <c r="N13" s="41"/>
      <c r="O13" s="41"/>
      <c r="P13" s="41"/>
      <c r="Q13" s="41"/>
      <c r="R13" s="41"/>
      <c r="S13" s="43"/>
      <c r="T13" s="43"/>
      <c r="U13" s="43"/>
      <c r="V13" s="44"/>
      <c r="W13" s="45"/>
    </row>
    <row r="14" spans="2:23" s="2" customFormat="1" ht="15" x14ac:dyDescent="0.25">
      <c r="B14" s="31"/>
      <c r="E14" s="31"/>
      <c r="F14" s="31"/>
      <c r="G14" s="31"/>
      <c r="H14" s="20"/>
      <c r="I14" s="31"/>
      <c r="J14" s="31"/>
      <c r="L14" s="47"/>
      <c r="M14" s="47"/>
      <c r="N14" s="47"/>
      <c r="O14" s="48"/>
      <c r="P14" s="47"/>
      <c r="Q14" s="47"/>
      <c r="R14" s="47"/>
      <c r="S14" s="49"/>
      <c r="T14" s="49"/>
      <c r="U14" s="49"/>
      <c r="V14" s="49"/>
      <c r="W14" s="50"/>
    </row>
    <row r="15" spans="2:23" s="2" customFormat="1" ht="15" x14ac:dyDescent="0.25">
      <c r="B15" s="31"/>
      <c r="C15" s="113" t="s">
        <v>43</v>
      </c>
      <c r="D15" s="113"/>
      <c r="E15" s="33"/>
      <c r="F15" s="19"/>
      <c r="G15" s="19"/>
      <c r="H15" s="20"/>
      <c r="I15" s="19"/>
      <c r="J15" s="1"/>
      <c r="K15" s="34"/>
      <c r="L15" s="1"/>
      <c r="M15" s="1"/>
      <c r="N15" s="1"/>
      <c r="O15" s="1"/>
      <c r="P15" s="1"/>
      <c r="Q15" s="1"/>
      <c r="R15" s="1"/>
      <c r="S15" s="9"/>
      <c r="T15" s="9"/>
      <c r="U15" s="9"/>
      <c r="V15" s="35"/>
      <c r="W15" s="36"/>
    </row>
    <row r="16" spans="2:23" s="2" customFormat="1" ht="15" x14ac:dyDescent="0.25">
      <c r="B16" s="31" t="s">
        <v>44</v>
      </c>
      <c r="D16" s="2" t="s">
        <v>45</v>
      </c>
      <c r="E16" s="31">
        <v>2008</v>
      </c>
      <c r="F16" s="31">
        <v>12</v>
      </c>
      <c r="G16" s="31">
        <v>31</v>
      </c>
      <c r="H16" s="20">
        <v>0</v>
      </c>
      <c r="I16" s="31" t="s">
        <v>46</v>
      </c>
      <c r="J16" s="31">
        <v>35</v>
      </c>
      <c r="K16" s="2">
        <f>+E16+J16</f>
        <v>2043</v>
      </c>
      <c r="L16" s="91">
        <v>64024</v>
      </c>
      <c r="M16" s="47">
        <f>L16/J16/12</f>
        <v>152.43809523809523</v>
      </c>
      <c r="N16" s="47">
        <f>IF(U16&lt;=T16,0,L16/J16)</f>
        <v>1829.2571428571428</v>
      </c>
      <c r="O16" s="92">
        <v>1</v>
      </c>
      <c r="P16" s="47">
        <f t="shared" ref="P16" si="0">IF(S16&gt;T16,0,IF(U16&lt;V16,L16,IF((AND((U16&gt;=V16),(U16&lt;=T16))),(L16-N16),IF((AND((V16&lt;=S16),(T16&gt;=S16))),0,IF(U16&gt;T16,((V16-S16)*12)*M16,0)))))</f>
        <v>25762.038095237956</v>
      </c>
      <c r="Q16" s="47">
        <f t="shared" ref="Q16" si="1">P16+N16</f>
        <v>27591.295238095099</v>
      </c>
      <c r="R16" s="47">
        <f t="shared" ref="R16" si="2">+L16-Q16</f>
        <v>36432.704761904897</v>
      </c>
      <c r="S16" s="49">
        <f>$E16+(($F16-1)/12)</f>
        <v>2008.9166666666667</v>
      </c>
      <c r="T16" s="49">
        <f>($M$7+1)-($M$4/12)</f>
        <v>2024</v>
      </c>
      <c r="U16" s="49">
        <f>$K16+(($F16-1)/12)</f>
        <v>2043.9166666666667</v>
      </c>
      <c r="V16" s="49">
        <f>$M$6+($M$5/12)</f>
        <v>2023</v>
      </c>
      <c r="W16" s="50"/>
    </row>
    <row r="17" spans="2:23" s="2" customFormat="1" ht="15" x14ac:dyDescent="0.25">
      <c r="B17" s="31"/>
      <c r="E17" s="31"/>
      <c r="F17" s="31"/>
      <c r="G17" s="31"/>
      <c r="H17" s="20"/>
      <c r="I17" s="31"/>
      <c r="J17" s="31"/>
      <c r="L17" s="91"/>
      <c r="M17" s="47"/>
      <c r="N17" s="47"/>
      <c r="O17" s="92"/>
      <c r="P17" s="47"/>
      <c r="Q17" s="47"/>
      <c r="R17" s="47"/>
      <c r="S17" s="49"/>
      <c r="T17" s="49"/>
      <c r="U17" s="49"/>
      <c r="V17" s="49"/>
      <c r="W17" s="50"/>
    </row>
    <row r="18" spans="2:23" s="53" customFormat="1" ht="15" x14ac:dyDescent="0.25">
      <c r="B18" s="27"/>
      <c r="C18" s="114" t="s">
        <v>47</v>
      </c>
      <c r="D18" s="114"/>
      <c r="E18" s="27"/>
      <c r="F18" s="27"/>
      <c r="G18" s="27"/>
      <c r="H18" s="52"/>
      <c r="I18" s="27"/>
      <c r="J18" s="27"/>
      <c r="L18" s="93">
        <f>SUM(L16:L17)</f>
        <v>64024</v>
      </c>
      <c r="M18" s="54"/>
      <c r="N18" s="55">
        <f>SUM(N16:N17)</f>
        <v>1829.2571428571428</v>
      </c>
      <c r="O18" s="56"/>
      <c r="P18" s="55">
        <f>SUM(P16:P17)</f>
        <v>25762.038095237956</v>
      </c>
      <c r="Q18" s="55">
        <f>SUM(Q16:Q17)</f>
        <v>27591.295238095099</v>
      </c>
      <c r="R18" s="55">
        <f>SUM(R16:R17)</f>
        <v>36432.704761904897</v>
      </c>
      <c r="S18" s="57"/>
      <c r="T18" s="57"/>
      <c r="U18" s="57"/>
      <c r="V18" s="57"/>
      <c r="W18" s="58"/>
    </row>
    <row r="19" spans="2:23" s="53" customFormat="1" ht="15" x14ac:dyDescent="0.25">
      <c r="B19" s="27"/>
      <c r="C19" s="51"/>
      <c r="D19" s="51"/>
      <c r="E19" s="27"/>
      <c r="F19" s="27"/>
      <c r="G19" s="27"/>
      <c r="H19" s="52"/>
      <c r="I19" s="27"/>
      <c r="J19" s="27"/>
      <c r="L19" s="59"/>
      <c r="M19" s="54"/>
      <c r="N19" s="59"/>
      <c r="O19" s="56"/>
      <c r="P19" s="59"/>
      <c r="Q19" s="59"/>
      <c r="R19" s="59"/>
      <c r="S19" s="57"/>
      <c r="T19" s="57"/>
      <c r="U19" s="57"/>
      <c r="V19" s="57"/>
      <c r="W19" s="58"/>
    </row>
    <row r="20" spans="2:23" s="2" customFormat="1" ht="15" x14ac:dyDescent="0.25">
      <c r="B20" s="31"/>
      <c r="C20" s="113" t="s">
        <v>48</v>
      </c>
      <c r="D20" s="113"/>
      <c r="E20" s="31"/>
      <c r="F20" s="31"/>
      <c r="G20" s="31"/>
      <c r="H20" s="20"/>
      <c r="I20" s="31"/>
      <c r="J20" s="31"/>
      <c r="L20" s="47"/>
      <c r="M20" s="47"/>
      <c r="N20" s="47"/>
      <c r="O20" s="48"/>
      <c r="P20" s="47"/>
      <c r="Q20" s="47"/>
      <c r="R20" s="47"/>
      <c r="S20" s="49"/>
      <c r="T20" s="49"/>
      <c r="U20" s="49"/>
      <c r="V20" s="49"/>
      <c r="W20" s="50"/>
    </row>
    <row r="21" spans="2:23" s="2" customFormat="1" ht="15" x14ac:dyDescent="0.25">
      <c r="B21" s="31" t="s">
        <v>44</v>
      </c>
      <c r="D21" s="2" t="s">
        <v>49</v>
      </c>
      <c r="E21" s="31">
        <v>2011</v>
      </c>
      <c r="F21" s="31">
        <v>11</v>
      </c>
      <c r="G21" s="31">
        <v>22</v>
      </c>
      <c r="H21" s="20">
        <v>0</v>
      </c>
      <c r="I21" s="31" t="s">
        <v>46</v>
      </c>
      <c r="J21" s="31">
        <v>30</v>
      </c>
      <c r="K21" s="2">
        <f t="shared" ref="K21:K28" si="3">+E21+J21</f>
        <v>2041</v>
      </c>
      <c r="L21" s="91">
        <v>66020</v>
      </c>
      <c r="M21" s="47">
        <f t="shared" ref="M21:M28" si="4">L21/J21/12</f>
        <v>183.38888888888889</v>
      </c>
      <c r="N21" s="47">
        <f t="shared" ref="N21:N28" si="5">IF(U21&lt;=T21,0,L21/J21)</f>
        <v>2200.6666666666665</v>
      </c>
      <c r="O21" s="48">
        <v>1</v>
      </c>
      <c r="P21" s="47">
        <f t="shared" ref="P21:P28" si="6">IF(S21&gt;T21,0,IF(U21&lt;V21,L21,IF((AND((U21&gt;=V21),(U21&lt;=T21))),(L21-N21),IF((AND((V21&lt;=S21),(T21&gt;=S21))),0,IF(U21&gt;T21,((V21-S21)*12)*M21,0)))))</f>
        <v>24574.111111111277</v>
      </c>
      <c r="Q21" s="47">
        <f t="shared" ref="Q21:Q28" si="7">P21+N21</f>
        <v>26774.777777777945</v>
      </c>
      <c r="R21" s="47">
        <f t="shared" ref="R21:R28" si="8">+L21-Q21</f>
        <v>39245.222222222059</v>
      </c>
      <c r="S21" s="49">
        <f t="shared" ref="S21:S28" si="9">$E21+(($F21-1)/12)</f>
        <v>2011.8333333333333</v>
      </c>
      <c r="T21" s="49">
        <f t="shared" ref="T21:T28" si="10">($M$7+1)-($M$4/12)</f>
        <v>2024</v>
      </c>
      <c r="U21" s="49">
        <f t="shared" ref="U21:U28" si="11">$K21+(($F21-1)/12)</f>
        <v>2041.8333333333333</v>
      </c>
      <c r="V21" s="49">
        <f t="shared" ref="V21:V28" si="12">$M$6+($M$5/12)</f>
        <v>2023</v>
      </c>
      <c r="W21" s="50"/>
    </row>
    <row r="22" spans="2:23" s="2" customFormat="1" ht="15" x14ac:dyDescent="0.25">
      <c r="B22" s="31" t="s">
        <v>44</v>
      </c>
      <c r="D22" s="2" t="s">
        <v>50</v>
      </c>
      <c r="E22" s="31">
        <v>2011</v>
      </c>
      <c r="F22" s="31">
        <v>11</v>
      </c>
      <c r="G22" s="31">
        <v>22</v>
      </c>
      <c r="H22" s="20">
        <v>0</v>
      </c>
      <c r="I22" s="31" t="s">
        <v>46</v>
      </c>
      <c r="J22" s="31">
        <v>30</v>
      </c>
      <c r="K22" s="2">
        <f t="shared" si="3"/>
        <v>2041</v>
      </c>
      <c r="L22" s="91">
        <v>66020</v>
      </c>
      <c r="M22" s="47">
        <f t="shared" si="4"/>
        <v>183.38888888888889</v>
      </c>
      <c r="N22" s="47">
        <f t="shared" si="5"/>
        <v>2200.6666666666665</v>
      </c>
      <c r="O22" s="48">
        <v>1</v>
      </c>
      <c r="P22" s="47">
        <f t="shared" si="6"/>
        <v>24574.111111111277</v>
      </c>
      <c r="Q22" s="47">
        <f t="shared" si="7"/>
        <v>26774.777777777945</v>
      </c>
      <c r="R22" s="47">
        <f t="shared" si="8"/>
        <v>39245.222222222059</v>
      </c>
      <c r="S22" s="49">
        <f t="shared" si="9"/>
        <v>2011.8333333333333</v>
      </c>
      <c r="T22" s="49">
        <f t="shared" si="10"/>
        <v>2024</v>
      </c>
      <c r="U22" s="49">
        <f t="shared" si="11"/>
        <v>2041.8333333333333</v>
      </c>
      <c r="V22" s="49">
        <f t="shared" si="12"/>
        <v>2023</v>
      </c>
      <c r="W22" s="50"/>
    </row>
    <row r="23" spans="2:23" s="2" customFormat="1" ht="15" x14ac:dyDescent="0.25">
      <c r="B23" s="31" t="s">
        <v>44</v>
      </c>
      <c r="D23" s="2" t="s">
        <v>51</v>
      </c>
      <c r="E23" s="31">
        <v>2012</v>
      </c>
      <c r="F23" s="31">
        <v>5</v>
      </c>
      <c r="G23" s="31">
        <v>23</v>
      </c>
      <c r="H23" s="20">
        <v>0</v>
      </c>
      <c r="I23" s="31" t="s">
        <v>46</v>
      </c>
      <c r="J23" s="31">
        <v>30</v>
      </c>
      <c r="K23" s="2">
        <f t="shared" si="3"/>
        <v>2042</v>
      </c>
      <c r="L23" s="60">
        <f>236950+118475</f>
        <v>355425</v>
      </c>
      <c r="M23" s="47">
        <f t="shared" si="4"/>
        <v>987.29166666666663</v>
      </c>
      <c r="N23" s="47">
        <f t="shared" si="5"/>
        <v>11847.5</v>
      </c>
      <c r="O23" s="48">
        <v>1</v>
      </c>
      <c r="P23" s="47">
        <f t="shared" si="6"/>
        <v>126373.33333333423</v>
      </c>
      <c r="Q23" s="47">
        <f t="shared" si="7"/>
        <v>138220.83333333425</v>
      </c>
      <c r="R23" s="47">
        <f t="shared" si="8"/>
        <v>217204.16666666575</v>
      </c>
      <c r="S23" s="49">
        <f t="shared" si="9"/>
        <v>2012.3333333333333</v>
      </c>
      <c r="T23" s="49">
        <f t="shared" si="10"/>
        <v>2024</v>
      </c>
      <c r="U23" s="49">
        <f t="shared" si="11"/>
        <v>2042.3333333333333</v>
      </c>
      <c r="V23" s="49">
        <f t="shared" si="12"/>
        <v>2023</v>
      </c>
      <c r="W23" s="50"/>
    </row>
    <row r="24" spans="2:23" s="2" customFormat="1" ht="15" x14ac:dyDescent="0.25">
      <c r="B24" s="31" t="s">
        <v>44</v>
      </c>
      <c r="D24" s="2" t="s">
        <v>52</v>
      </c>
      <c r="E24" s="31">
        <v>2014</v>
      </c>
      <c r="F24" s="31">
        <v>6</v>
      </c>
      <c r="G24" s="31">
        <v>11</v>
      </c>
      <c r="H24" s="20">
        <v>0</v>
      </c>
      <c r="I24" s="31" t="s">
        <v>46</v>
      </c>
      <c r="J24" s="31">
        <v>30</v>
      </c>
      <c r="K24" s="2">
        <f t="shared" si="3"/>
        <v>2044</v>
      </c>
      <c r="L24" s="91">
        <f>102622+51311</f>
        <v>153933</v>
      </c>
      <c r="M24" s="47">
        <f t="shared" si="4"/>
        <v>427.5916666666667</v>
      </c>
      <c r="N24" s="47">
        <f t="shared" si="5"/>
        <v>5131.1000000000004</v>
      </c>
      <c r="O24" s="48">
        <v>1</v>
      </c>
      <c r="P24" s="47">
        <f t="shared" si="6"/>
        <v>44041.94166666628</v>
      </c>
      <c r="Q24" s="47">
        <f t="shared" si="7"/>
        <v>49173.041666666279</v>
      </c>
      <c r="R24" s="47">
        <f t="shared" si="8"/>
        <v>104759.95833333372</v>
      </c>
      <c r="S24" s="49">
        <f t="shared" si="9"/>
        <v>2014.4166666666667</v>
      </c>
      <c r="T24" s="49">
        <f t="shared" si="10"/>
        <v>2024</v>
      </c>
      <c r="U24" s="49">
        <f t="shared" si="11"/>
        <v>2044.4166666666667</v>
      </c>
      <c r="V24" s="49">
        <f t="shared" si="12"/>
        <v>2023</v>
      </c>
      <c r="W24" s="50"/>
    </row>
    <row r="25" spans="2:23" s="2" customFormat="1" ht="15" x14ac:dyDescent="0.25">
      <c r="B25" s="31" t="s">
        <v>44</v>
      </c>
      <c r="D25" s="2" t="s">
        <v>53</v>
      </c>
      <c r="E25" s="31">
        <v>2014</v>
      </c>
      <c r="F25" s="31">
        <v>8</v>
      </c>
      <c r="G25" s="31">
        <v>31</v>
      </c>
      <c r="H25" s="20">
        <v>0</v>
      </c>
      <c r="I25" s="31" t="s">
        <v>46</v>
      </c>
      <c r="J25" s="31">
        <v>30</v>
      </c>
      <c r="K25" s="2">
        <f t="shared" si="3"/>
        <v>2044</v>
      </c>
      <c r="L25" s="47">
        <f>166269+83134</f>
        <v>249403</v>
      </c>
      <c r="M25" s="47">
        <f t="shared" si="4"/>
        <v>692.78611111111104</v>
      </c>
      <c r="N25" s="47">
        <f t="shared" si="5"/>
        <v>8313.4333333333325</v>
      </c>
      <c r="O25" s="48">
        <v>1</v>
      </c>
      <c r="P25" s="47">
        <f t="shared" si="6"/>
        <v>69971.397222222848</v>
      </c>
      <c r="Q25" s="47">
        <f t="shared" si="7"/>
        <v>78284.830555556182</v>
      </c>
      <c r="R25" s="47">
        <f t="shared" si="8"/>
        <v>171118.16944444383</v>
      </c>
      <c r="S25" s="49">
        <f t="shared" si="9"/>
        <v>2014.5833333333333</v>
      </c>
      <c r="T25" s="49">
        <f t="shared" si="10"/>
        <v>2024</v>
      </c>
      <c r="U25" s="49">
        <f t="shared" si="11"/>
        <v>2044.5833333333333</v>
      </c>
      <c r="V25" s="49">
        <f t="shared" si="12"/>
        <v>2023</v>
      </c>
      <c r="W25" s="50"/>
    </row>
    <row r="26" spans="2:23" s="2" customFormat="1" ht="15" x14ac:dyDescent="0.25">
      <c r="B26" s="31" t="s">
        <v>44</v>
      </c>
      <c r="D26" s="2" t="s">
        <v>54</v>
      </c>
      <c r="E26" s="31">
        <v>2015</v>
      </c>
      <c r="F26" s="31">
        <v>5</v>
      </c>
      <c r="G26" s="31">
        <v>29</v>
      </c>
      <c r="H26" s="20">
        <v>0</v>
      </c>
      <c r="I26" s="31" t="s">
        <v>46</v>
      </c>
      <c r="J26" s="31">
        <v>30</v>
      </c>
      <c r="K26" s="2">
        <f t="shared" si="3"/>
        <v>2045</v>
      </c>
      <c r="L26" s="47">
        <f>175462+87731</f>
        <v>263193</v>
      </c>
      <c r="M26" s="47">
        <f t="shared" si="4"/>
        <v>731.0916666666667</v>
      </c>
      <c r="N26" s="47">
        <f t="shared" si="5"/>
        <v>8773.1</v>
      </c>
      <c r="O26" s="48">
        <v>1</v>
      </c>
      <c r="P26" s="47">
        <f t="shared" si="6"/>
        <v>67260.433333334004</v>
      </c>
      <c r="Q26" s="47">
        <f t="shared" si="7"/>
        <v>76033.53333333401</v>
      </c>
      <c r="R26" s="47">
        <f t="shared" si="8"/>
        <v>187159.46666666598</v>
      </c>
      <c r="S26" s="49">
        <f t="shared" si="9"/>
        <v>2015.3333333333333</v>
      </c>
      <c r="T26" s="49">
        <f t="shared" si="10"/>
        <v>2024</v>
      </c>
      <c r="U26" s="49">
        <f t="shared" si="11"/>
        <v>2045.3333333333333</v>
      </c>
      <c r="V26" s="49">
        <f t="shared" si="12"/>
        <v>2023</v>
      </c>
      <c r="W26" s="50"/>
    </row>
    <row r="27" spans="2:23" s="2" customFormat="1" ht="15" x14ac:dyDescent="0.25">
      <c r="B27" s="31" t="s">
        <v>44</v>
      </c>
      <c r="D27" s="2" t="s">
        <v>55</v>
      </c>
      <c r="E27" s="31">
        <v>2019</v>
      </c>
      <c r="F27" s="31">
        <v>1</v>
      </c>
      <c r="G27" s="31">
        <v>1</v>
      </c>
      <c r="H27" s="20">
        <v>0</v>
      </c>
      <c r="I27" s="31" t="s">
        <v>46</v>
      </c>
      <c r="J27" s="31">
        <v>30</v>
      </c>
      <c r="K27" s="2">
        <f>+E27+J27</f>
        <v>2049</v>
      </c>
      <c r="L27" s="47">
        <v>844986</v>
      </c>
      <c r="M27" s="47">
        <f>L27/J27/12</f>
        <v>2347.1833333333334</v>
      </c>
      <c r="N27" s="47">
        <f>IF(U27&lt;=T27,0,L27/J27)</f>
        <v>28166.2</v>
      </c>
      <c r="O27" s="48">
        <v>1</v>
      </c>
      <c r="P27" s="47">
        <f>IF(S27&gt;T27,0,IF(U27&lt;V27,L27,IF((AND((U27&gt;=V27),(U27&lt;=T27))),(L27-N27),IF((AND((V27&lt;=S27),(T27&gt;=S27))),0,IF(U27&gt;T27,((V27-S27)*12)*M27,0)))))</f>
        <v>112664.8</v>
      </c>
      <c r="Q27" s="47">
        <f>P27+N27</f>
        <v>140831</v>
      </c>
      <c r="R27" s="47">
        <f>+L27-Q27</f>
        <v>704155</v>
      </c>
      <c r="S27" s="49">
        <f>$E27+(($F27-1)/12)</f>
        <v>2019</v>
      </c>
      <c r="T27" s="49">
        <f t="shared" si="10"/>
        <v>2024</v>
      </c>
      <c r="U27" s="49">
        <f>$K27+(($F27-1)/12)</f>
        <v>2049</v>
      </c>
      <c r="V27" s="49">
        <f t="shared" si="12"/>
        <v>2023</v>
      </c>
      <c r="W27" s="50"/>
    </row>
    <row r="28" spans="2:23" s="2" customFormat="1" ht="15" x14ac:dyDescent="0.25">
      <c r="B28" s="31" t="s">
        <v>44</v>
      </c>
      <c r="D28" s="2" t="s">
        <v>56</v>
      </c>
      <c r="E28" s="31">
        <v>2023</v>
      </c>
      <c r="F28" s="31">
        <v>3</v>
      </c>
      <c r="G28" s="31">
        <v>20</v>
      </c>
      <c r="H28" s="94">
        <v>0</v>
      </c>
      <c r="I28" s="31" t="s">
        <v>46</v>
      </c>
      <c r="J28" s="31">
        <v>30</v>
      </c>
      <c r="K28" s="2">
        <f t="shared" si="3"/>
        <v>2053</v>
      </c>
      <c r="L28" s="91">
        <v>379067</v>
      </c>
      <c r="M28" s="91">
        <f t="shared" si="4"/>
        <v>1052.963888888889</v>
      </c>
      <c r="N28" s="91">
        <f t="shared" si="5"/>
        <v>12635.566666666668</v>
      </c>
      <c r="O28" s="48">
        <v>1</v>
      </c>
      <c r="P28" s="91">
        <f t="shared" si="6"/>
        <v>0</v>
      </c>
      <c r="Q28" s="91">
        <f t="shared" si="7"/>
        <v>12635.566666666668</v>
      </c>
      <c r="R28" s="91">
        <f t="shared" si="8"/>
        <v>366431.43333333335</v>
      </c>
      <c r="S28" s="49">
        <f t="shared" si="9"/>
        <v>2023.1666666666667</v>
      </c>
      <c r="T28" s="49">
        <f t="shared" si="10"/>
        <v>2024</v>
      </c>
      <c r="U28" s="49">
        <f t="shared" si="11"/>
        <v>2053.1666666666665</v>
      </c>
      <c r="V28" s="49">
        <f t="shared" si="12"/>
        <v>2023</v>
      </c>
      <c r="W28" s="50"/>
    </row>
    <row r="29" spans="2:23" s="2" customFormat="1" ht="15" x14ac:dyDescent="0.25">
      <c r="B29" s="31"/>
      <c r="E29" s="31"/>
      <c r="F29" s="31"/>
      <c r="G29" s="31"/>
      <c r="H29" s="94"/>
      <c r="I29" s="31"/>
      <c r="J29" s="31"/>
      <c r="L29" s="91"/>
      <c r="M29" s="91"/>
      <c r="N29" s="91"/>
      <c r="O29" s="48"/>
      <c r="P29" s="91"/>
      <c r="Q29" s="91"/>
      <c r="R29" s="91"/>
      <c r="S29" s="49"/>
      <c r="T29" s="49"/>
      <c r="U29" s="49"/>
      <c r="V29" s="49"/>
      <c r="W29" s="50"/>
    </row>
    <row r="30" spans="2:23" s="53" customFormat="1" ht="15" x14ac:dyDescent="0.25">
      <c r="B30" s="27"/>
      <c r="C30" s="114" t="s">
        <v>57</v>
      </c>
      <c r="D30" s="114"/>
      <c r="E30" s="27"/>
      <c r="F30" s="27"/>
      <c r="G30" s="27"/>
      <c r="H30" s="52"/>
      <c r="I30" s="27"/>
      <c r="J30" s="27"/>
      <c r="L30" s="55">
        <f>SUM(L21:L28)</f>
        <v>2378047</v>
      </c>
      <c r="M30" s="54"/>
      <c r="N30" s="55">
        <f>SUM(N21:N28)</f>
        <v>79268.233333333337</v>
      </c>
      <c r="O30" s="56"/>
      <c r="P30" s="55">
        <f>SUM(P21:P28)</f>
        <v>469460.12777777988</v>
      </c>
      <c r="Q30" s="55">
        <f>SUM(Q21:Q28)</f>
        <v>548728.36111111334</v>
      </c>
      <c r="R30" s="55">
        <f>SUM(R21:R28)</f>
        <v>1829318.6388888869</v>
      </c>
      <c r="S30" s="57"/>
      <c r="T30" s="57"/>
      <c r="U30" s="57"/>
      <c r="V30" s="57"/>
      <c r="W30" s="58"/>
    </row>
    <row r="31" spans="2:23" s="2" customFormat="1" ht="15" x14ac:dyDescent="0.25">
      <c r="B31" s="31"/>
      <c r="E31" s="31"/>
      <c r="F31" s="31"/>
      <c r="G31" s="31"/>
      <c r="H31" s="20"/>
      <c r="I31" s="31"/>
      <c r="J31" s="31"/>
      <c r="K31" s="87"/>
      <c r="L31" s="97"/>
      <c r="M31" s="47"/>
      <c r="N31" s="47"/>
      <c r="O31" s="48"/>
      <c r="P31" s="47"/>
      <c r="Q31" s="47"/>
      <c r="R31" s="47"/>
      <c r="S31" s="49"/>
      <c r="T31" s="49"/>
      <c r="U31" s="49"/>
      <c r="V31" s="49"/>
      <c r="W31" s="50"/>
    </row>
    <row r="32" spans="2:23" s="2" customFormat="1" ht="15" x14ac:dyDescent="0.25">
      <c r="B32" s="31"/>
      <c r="E32" s="31"/>
      <c r="F32" s="31"/>
      <c r="G32" s="31"/>
      <c r="H32" s="20"/>
      <c r="I32" s="31"/>
      <c r="J32" s="31"/>
      <c r="K32" s="87"/>
      <c r="L32" s="97"/>
      <c r="M32" s="47"/>
      <c r="N32" s="47"/>
      <c r="O32" s="48"/>
      <c r="P32" s="47"/>
      <c r="Q32" s="47"/>
      <c r="R32" s="47"/>
      <c r="S32" s="49"/>
      <c r="T32" s="49"/>
      <c r="U32" s="49"/>
      <c r="V32" s="49"/>
      <c r="W32" s="50"/>
    </row>
    <row r="33" spans="2:23" s="2" customFormat="1" ht="15" x14ac:dyDescent="0.25">
      <c r="B33" s="31"/>
      <c r="C33" s="113" t="s">
        <v>58</v>
      </c>
      <c r="D33" s="113"/>
      <c r="E33" s="31"/>
      <c r="F33" s="31"/>
      <c r="G33" s="31"/>
      <c r="H33" s="20"/>
      <c r="I33" s="31"/>
      <c r="J33" s="31"/>
      <c r="L33" s="47"/>
      <c r="M33" s="47"/>
      <c r="N33" s="47"/>
      <c r="O33" s="48"/>
      <c r="P33" s="47"/>
      <c r="Q33" s="47"/>
      <c r="R33" s="47"/>
      <c r="S33" s="49"/>
      <c r="T33" s="49"/>
      <c r="U33" s="49"/>
      <c r="V33" s="49"/>
      <c r="W33" s="50"/>
    </row>
    <row r="34" spans="2:23" s="2" customFormat="1" ht="15" x14ac:dyDescent="0.25">
      <c r="B34" s="31" t="s">
        <v>44</v>
      </c>
      <c r="D34" s="2" t="s">
        <v>49</v>
      </c>
      <c r="E34" s="31">
        <v>2011</v>
      </c>
      <c r="F34" s="31">
        <v>11</v>
      </c>
      <c r="G34" s="31">
        <v>22</v>
      </c>
      <c r="H34" s="94">
        <v>0</v>
      </c>
      <c r="I34" s="31" t="s">
        <v>46</v>
      </c>
      <c r="J34" s="31">
        <v>50</v>
      </c>
      <c r="K34" s="2">
        <f t="shared" ref="K34:K37" si="13">+E34+J34</f>
        <v>2061</v>
      </c>
      <c r="L34" s="91">
        <v>66020</v>
      </c>
      <c r="M34" s="91">
        <f t="shared" ref="M34:M37" si="14">L34/J34/12</f>
        <v>110.03333333333335</v>
      </c>
      <c r="N34" s="91">
        <f t="shared" ref="N34:N37" si="15">IF(U34&lt;=T34,0,L34/J34)</f>
        <v>1320.4</v>
      </c>
      <c r="O34" s="48">
        <v>1</v>
      </c>
      <c r="P34" s="91">
        <f t="shared" ref="P34:P37" si="16">IF(S34&gt;T34,0,IF(U34&lt;V34,L34,IF((AND((U34&gt;=V34),(U34&lt;=T34))),(L34-N34),IF((AND((V34&lt;=S34),(T34&gt;=S34))),0,IF(U34&gt;T34,((V34-S34)*12)*M34,0)))))</f>
        <v>14744.466666666769</v>
      </c>
      <c r="Q34" s="91">
        <f t="shared" ref="Q34:Q37" si="17">P34+N34</f>
        <v>16064.866666666769</v>
      </c>
      <c r="R34" s="91">
        <f t="shared" ref="R34:R37" si="18">+L34-Q34</f>
        <v>49955.13333333323</v>
      </c>
      <c r="S34" s="49">
        <f t="shared" ref="S34:S37" si="19">$E34+(($F34-1)/12)</f>
        <v>2011.8333333333333</v>
      </c>
      <c r="T34" s="49">
        <f t="shared" ref="T34:T45" si="20">($M$7+1)-($M$4/12)</f>
        <v>2024</v>
      </c>
      <c r="U34" s="49">
        <f t="shared" ref="U34:U37" si="21">$K34+(($F34-1)/12)</f>
        <v>2061.8333333333335</v>
      </c>
      <c r="V34" s="49">
        <f t="shared" ref="V34:V45" si="22">$M$6+($M$5/12)</f>
        <v>2023</v>
      </c>
      <c r="W34" s="50"/>
    </row>
    <row r="35" spans="2:23" s="2" customFormat="1" ht="15" x14ac:dyDescent="0.25">
      <c r="B35" s="31" t="s">
        <v>44</v>
      </c>
      <c r="D35" s="2" t="s">
        <v>50</v>
      </c>
      <c r="E35" s="31">
        <v>2011</v>
      </c>
      <c r="F35" s="31">
        <v>11</v>
      </c>
      <c r="G35" s="31">
        <v>22</v>
      </c>
      <c r="H35" s="94">
        <v>0</v>
      </c>
      <c r="I35" s="31" t="s">
        <v>46</v>
      </c>
      <c r="J35" s="31">
        <v>50</v>
      </c>
      <c r="K35" s="2">
        <f t="shared" si="13"/>
        <v>2061</v>
      </c>
      <c r="L35" s="91">
        <v>66020</v>
      </c>
      <c r="M35" s="91">
        <f t="shared" si="14"/>
        <v>110.03333333333335</v>
      </c>
      <c r="N35" s="91">
        <f t="shared" si="15"/>
        <v>1320.4</v>
      </c>
      <c r="O35" s="48">
        <v>1</v>
      </c>
      <c r="P35" s="91">
        <f t="shared" si="16"/>
        <v>14744.466666666769</v>
      </c>
      <c r="Q35" s="91">
        <f t="shared" si="17"/>
        <v>16064.866666666769</v>
      </c>
      <c r="R35" s="91">
        <f t="shared" si="18"/>
        <v>49955.13333333323</v>
      </c>
      <c r="S35" s="49">
        <f t="shared" si="19"/>
        <v>2011.8333333333333</v>
      </c>
      <c r="T35" s="49">
        <f t="shared" si="20"/>
        <v>2024</v>
      </c>
      <c r="U35" s="49">
        <f t="shared" si="21"/>
        <v>2061.8333333333335</v>
      </c>
      <c r="V35" s="49">
        <f t="shared" si="22"/>
        <v>2023</v>
      </c>
      <c r="W35" s="50"/>
    </row>
    <row r="36" spans="2:23" s="2" customFormat="1" ht="15" x14ac:dyDescent="0.25">
      <c r="B36" s="31" t="s">
        <v>44</v>
      </c>
      <c r="D36" s="2" t="s">
        <v>59</v>
      </c>
      <c r="E36" s="31">
        <v>2013</v>
      </c>
      <c r="F36" s="31">
        <v>11</v>
      </c>
      <c r="G36" s="31">
        <v>20</v>
      </c>
      <c r="H36" s="20">
        <v>0</v>
      </c>
      <c r="I36" s="31" t="s">
        <v>46</v>
      </c>
      <c r="J36" s="31">
        <v>20</v>
      </c>
      <c r="K36" s="2">
        <f>+E36+J36</f>
        <v>2033</v>
      </c>
      <c r="L36" s="47">
        <v>110314</v>
      </c>
      <c r="M36" s="47">
        <f>L36/J36/12</f>
        <v>459.64166666666665</v>
      </c>
      <c r="N36" s="47">
        <f>IF(U36&lt;=T36,0,L36/J36)</f>
        <v>5515.7</v>
      </c>
      <c r="O36" s="48">
        <v>1</v>
      </c>
      <c r="P36" s="47">
        <f>IF(S36&gt;T36,0,IF(U36&lt;V36,L36,IF((AND((U36&gt;=V36),(U36&lt;=T36))),(L36-N36),IF((AND((V36&lt;=S36),(T36&gt;=S36))),0,IF(U36&gt;T36,((V36-S36)*12)*M36,0)))))</f>
        <v>50560.58333333375</v>
      </c>
      <c r="Q36" s="47">
        <f>P36+N36</f>
        <v>56076.283333333748</v>
      </c>
      <c r="R36" s="47">
        <f>+L36-Q36</f>
        <v>54237.716666666252</v>
      </c>
      <c r="S36" s="49">
        <f>$E36+(($F36-1)/12)</f>
        <v>2013.8333333333333</v>
      </c>
      <c r="T36" s="49">
        <f t="shared" si="20"/>
        <v>2024</v>
      </c>
      <c r="U36" s="49">
        <f>$K36+(($F36-1)/12)</f>
        <v>2033.8333333333333</v>
      </c>
      <c r="V36" s="49">
        <f t="shared" si="22"/>
        <v>2023</v>
      </c>
      <c r="W36" s="50"/>
    </row>
    <row r="37" spans="2:23" s="2" customFormat="1" ht="15" x14ac:dyDescent="0.25">
      <c r="B37" s="31" t="s">
        <v>44</v>
      </c>
      <c r="D37" s="2" t="s">
        <v>60</v>
      </c>
      <c r="E37" s="31">
        <v>2018</v>
      </c>
      <c r="F37" s="31">
        <v>6</v>
      </c>
      <c r="G37" s="31">
        <v>11</v>
      </c>
      <c r="H37" s="94">
        <v>0</v>
      </c>
      <c r="I37" s="31" t="s">
        <v>46</v>
      </c>
      <c r="J37" s="31">
        <v>50</v>
      </c>
      <c r="K37" s="2">
        <f t="shared" si="13"/>
        <v>2068</v>
      </c>
      <c r="L37" s="91">
        <v>5000</v>
      </c>
      <c r="M37" s="91">
        <f t="shared" si="14"/>
        <v>8.3333333333333339</v>
      </c>
      <c r="N37" s="91">
        <f t="shared" si="15"/>
        <v>100</v>
      </c>
      <c r="O37" s="48">
        <v>1</v>
      </c>
      <c r="P37" s="91">
        <f t="shared" si="16"/>
        <v>458.33333333332581</v>
      </c>
      <c r="Q37" s="91">
        <f t="shared" si="17"/>
        <v>558.33333333332575</v>
      </c>
      <c r="R37" s="91">
        <f t="shared" si="18"/>
        <v>4441.6666666666742</v>
      </c>
      <c r="S37" s="49">
        <f t="shared" si="19"/>
        <v>2018.4166666666667</v>
      </c>
      <c r="T37" s="49">
        <f t="shared" si="20"/>
        <v>2024</v>
      </c>
      <c r="U37" s="49">
        <f t="shared" si="21"/>
        <v>2068.4166666666665</v>
      </c>
      <c r="V37" s="49">
        <f t="shared" si="22"/>
        <v>2023</v>
      </c>
      <c r="W37" s="50"/>
    </row>
    <row r="38" spans="2:23" s="2" customFormat="1" ht="15" x14ac:dyDescent="0.25">
      <c r="B38" s="31"/>
      <c r="E38" s="31"/>
      <c r="F38" s="31"/>
      <c r="G38" s="31"/>
      <c r="H38" s="20"/>
      <c r="I38" s="31"/>
      <c r="J38" s="31"/>
      <c r="L38" s="47"/>
      <c r="M38" s="47"/>
      <c r="N38" s="47"/>
      <c r="O38" s="48"/>
      <c r="P38" s="47"/>
      <c r="Q38" s="47"/>
      <c r="R38" s="47"/>
      <c r="S38" s="49"/>
      <c r="T38" s="49"/>
      <c r="U38" s="49"/>
      <c r="V38" s="49"/>
      <c r="W38" s="50"/>
    </row>
    <row r="39" spans="2:23" s="53" customFormat="1" ht="15" x14ac:dyDescent="0.25">
      <c r="B39" s="27"/>
      <c r="C39" s="114" t="s">
        <v>61</v>
      </c>
      <c r="D39" s="114"/>
      <c r="E39" s="27"/>
      <c r="F39" s="27"/>
      <c r="G39" s="27"/>
      <c r="H39" s="52"/>
      <c r="I39" s="27"/>
      <c r="J39" s="27"/>
      <c r="L39" s="55">
        <f>SUM(L34:L38)</f>
        <v>247354</v>
      </c>
      <c r="M39" s="54"/>
      <c r="N39" s="55">
        <f>SUM(N34:N38)</f>
        <v>8256.5</v>
      </c>
      <c r="O39" s="56"/>
      <c r="P39" s="55">
        <f>SUM(P34:P38)</f>
        <v>80507.850000000617</v>
      </c>
      <c r="Q39" s="55">
        <f>SUM(Q34:Q38)</f>
        <v>88764.350000000617</v>
      </c>
      <c r="R39" s="55">
        <f>SUM(R34:R38)</f>
        <v>158589.64999999938</v>
      </c>
      <c r="S39" s="57"/>
      <c r="T39" s="57"/>
      <c r="U39" s="57"/>
      <c r="V39" s="57"/>
      <c r="W39" s="58"/>
    </row>
    <row r="40" spans="2:23" s="2" customFormat="1" ht="15" x14ac:dyDescent="0.25">
      <c r="B40" s="31"/>
      <c r="E40" s="31"/>
      <c r="F40" s="31"/>
      <c r="G40" s="31"/>
      <c r="H40" s="20"/>
      <c r="I40" s="31"/>
      <c r="J40" s="31"/>
      <c r="K40" s="87"/>
      <c r="L40" s="97"/>
      <c r="M40" s="47"/>
      <c r="N40" s="47"/>
      <c r="O40" s="48"/>
      <c r="P40" s="47"/>
      <c r="Q40" s="47"/>
      <c r="R40" s="47"/>
      <c r="S40" s="49"/>
      <c r="T40" s="49"/>
      <c r="U40" s="49"/>
      <c r="V40" s="49"/>
      <c r="W40" s="50"/>
    </row>
    <row r="41" spans="2:23" s="2" customFormat="1" ht="15" x14ac:dyDescent="0.25">
      <c r="B41" s="31"/>
      <c r="E41" s="31"/>
      <c r="F41" s="31"/>
      <c r="G41" s="31"/>
      <c r="H41" s="20"/>
      <c r="I41" s="31"/>
      <c r="J41" s="31"/>
      <c r="K41" s="87"/>
      <c r="L41" s="97"/>
      <c r="M41" s="47"/>
      <c r="N41" s="47"/>
      <c r="O41" s="48"/>
      <c r="P41" s="47"/>
      <c r="Q41" s="47"/>
      <c r="R41" s="47"/>
      <c r="S41" s="49"/>
      <c r="T41" s="49"/>
      <c r="U41" s="49"/>
      <c r="V41" s="49"/>
      <c r="W41" s="50"/>
    </row>
    <row r="42" spans="2:23" s="2" customFormat="1" ht="15" x14ac:dyDescent="0.25">
      <c r="B42" s="31"/>
      <c r="C42" s="113" t="s">
        <v>62</v>
      </c>
      <c r="D42" s="113"/>
      <c r="E42" s="31"/>
      <c r="F42" s="31"/>
      <c r="G42" s="31"/>
      <c r="H42" s="20"/>
      <c r="I42" s="31"/>
      <c r="J42" s="31"/>
      <c r="M42" s="47"/>
      <c r="N42" s="47"/>
      <c r="O42" s="48"/>
      <c r="P42" s="47"/>
      <c r="Q42" s="47"/>
      <c r="R42" s="47"/>
      <c r="S42" s="49"/>
      <c r="T42" s="49"/>
      <c r="U42" s="49"/>
      <c r="V42" s="49"/>
      <c r="W42" s="50"/>
    </row>
    <row r="43" spans="2:23" s="2" customFormat="1" ht="15" x14ac:dyDescent="0.25">
      <c r="B43" s="31" t="s">
        <v>44</v>
      </c>
      <c r="D43" s="2" t="s">
        <v>63</v>
      </c>
      <c r="E43" s="31">
        <v>2011</v>
      </c>
      <c r="F43" s="31">
        <v>11</v>
      </c>
      <c r="G43" s="31">
        <v>30</v>
      </c>
      <c r="H43" s="94">
        <v>0</v>
      </c>
      <c r="I43" s="31" t="s">
        <v>46</v>
      </c>
      <c r="J43" s="31">
        <v>20</v>
      </c>
      <c r="K43" s="2">
        <f>+E43+J43</f>
        <v>2031</v>
      </c>
      <c r="L43" s="91">
        <v>3900</v>
      </c>
      <c r="M43" s="91">
        <f t="shared" ref="M43:M44" si="23">L43/J43/12</f>
        <v>16.25</v>
      </c>
      <c r="N43" s="91">
        <f t="shared" ref="N43:N44" si="24">IF(U43&lt;=T43,0,L43/J43)</f>
        <v>195</v>
      </c>
      <c r="O43" s="48">
        <v>1</v>
      </c>
      <c r="P43" s="91">
        <f t="shared" ref="P43:P44" si="25">IF(S43&gt;T43,0,IF(U43&lt;V43,L43,IF((AND((U43&gt;=V43),(U43&lt;=T43))),(L43-N43),IF((AND((V43&lt;=S43),(T43&gt;=S43))),0,IF(U43&gt;T43,((V43-S43)*12)*M43,0)))))</f>
        <v>2177.5000000000146</v>
      </c>
      <c r="Q43" s="91">
        <f t="shared" ref="Q43:Q44" si="26">P43+N43</f>
        <v>2372.5000000000146</v>
      </c>
      <c r="R43" s="91">
        <f t="shared" ref="R43:R44" si="27">+L43-Q43</f>
        <v>1527.4999999999854</v>
      </c>
      <c r="S43" s="49">
        <f t="shared" ref="S43:S44" si="28">$E43+(($F43-1)/12)</f>
        <v>2011.8333333333333</v>
      </c>
      <c r="T43" s="49">
        <f t="shared" si="20"/>
        <v>2024</v>
      </c>
      <c r="U43" s="49">
        <f t="shared" ref="U43:U44" si="29">$K43+(($F43-1)/12)</f>
        <v>2031.8333333333333</v>
      </c>
      <c r="V43" s="49">
        <f t="shared" si="22"/>
        <v>2023</v>
      </c>
      <c r="W43" s="50"/>
    </row>
    <row r="44" spans="2:23" s="2" customFormat="1" ht="15" x14ac:dyDescent="0.25">
      <c r="B44" s="31" t="s">
        <v>44</v>
      </c>
      <c r="D44" s="2" t="s">
        <v>64</v>
      </c>
      <c r="E44" s="31">
        <v>2014</v>
      </c>
      <c r="F44" s="31">
        <v>12</v>
      </c>
      <c r="G44" s="31">
        <v>31</v>
      </c>
      <c r="H44" s="94">
        <v>0</v>
      </c>
      <c r="I44" s="31" t="s">
        <v>46</v>
      </c>
      <c r="J44" s="31">
        <v>20</v>
      </c>
      <c r="K44" s="2">
        <f t="shared" ref="K44" si="30">+E44+J44</f>
        <v>2034</v>
      </c>
      <c r="L44" s="91">
        <v>213034</v>
      </c>
      <c r="M44" s="91">
        <f t="shared" si="23"/>
        <v>887.64166666666677</v>
      </c>
      <c r="N44" s="91">
        <f t="shared" si="24"/>
        <v>10651.7</v>
      </c>
      <c r="O44" s="48">
        <v>1</v>
      </c>
      <c r="P44" s="91">
        <f t="shared" si="25"/>
        <v>86101.241666665868</v>
      </c>
      <c r="Q44" s="91">
        <f t="shared" si="26"/>
        <v>96752.941666665865</v>
      </c>
      <c r="R44" s="91">
        <f t="shared" si="27"/>
        <v>116281.05833333413</v>
      </c>
      <c r="S44" s="49">
        <f t="shared" si="28"/>
        <v>2014.9166666666667</v>
      </c>
      <c r="T44" s="49">
        <f t="shared" si="20"/>
        <v>2024</v>
      </c>
      <c r="U44" s="49">
        <f t="shared" si="29"/>
        <v>2034.9166666666667</v>
      </c>
      <c r="V44" s="49">
        <f t="shared" si="22"/>
        <v>2023</v>
      </c>
      <c r="W44" s="50"/>
    </row>
    <row r="45" spans="2:23" s="2" customFormat="1" ht="15" x14ac:dyDescent="0.25">
      <c r="B45" s="31" t="s">
        <v>44</v>
      </c>
      <c r="D45" s="2" t="s">
        <v>65</v>
      </c>
      <c r="E45" s="31">
        <v>2015</v>
      </c>
      <c r="F45" s="31">
        <v>2</v>
      </c>
      <c r="G45" s="31">
        <v>4</v>
      </c>
      <c r="H45" s="94">
        <v>0</v>
      </c>
      <c r="I45" s="31" t="s">
        <v>46</v>
      </c>
      <c r="J45" s="31">
        <v>50</v>
      </c>
      <c r="K45" s="2">
        <f>+E45+J45</f>
        <v>2065</v>
      </c>
      <c r="L45" s="91">
        <f>11250+19464</f>
        <v>30714</v>
      </c>
      <c r="M45" s="91">
        <f>L45/J45/12</f>
        <v>51.19</v>
      </c>
      <c r="N45" s="91">
        <f>IF(U45&lt;=T45,0,L45/J45)</f>
        <v>614.28</v>
      </c>
      <c r="O45" s="48">
        <v>1</v>
      </c>
      <c r="P45" s="91">
        <f>IF(S45&gt;T45,0,IF(U45&lt;V45,L45,IF((AND((U45&gt;=V45),(U45&lt;=T45))),(L45-N45),IF((AND((V45&lt;=S45),(T45&gt;=S45))),0,IF(U45&gt;T45,((V45-S45)*12)*M45,0)))))</f>
        <v>4863.0500000000466</v>
      </c>
      <c r="Q45" s="91">
        <f>P45+N45</f>
        <v>5477.3300000000463</v>
      </c>
      <c r="R45" s="91">
        <f>+L45-Q45</f>
        <v>25236.669999999955</v>
      </c>
      <c r="S45" s="49">
        <f>$E45+(($F45-1)/12)</f>
        <v>2015.0833333333333</v>
      </c>
      <c r="T45" s="49">
        <f t="shared" si="20"/>
        <v>2024</v>
      </c>
      <c r="U45" s="49">
        <f>$K45+(($F45-1)/12)</f>
        <v>2065.0833333333335</v>
      </c>
      <c r="V45" s="49">
        <f t="shared" si="22"/>
        <v>2023</v>
      </c>
      <c r="W45" s="50"/>
    </row>
    <row r="46" spans="2:23" s="2" customFormat="1" ht="15" x14ac:dyDescent="0.25">
      <c r="B46" s="31"/>
      <c r="E46" s="31"/>
      <c r="F46" s="31"/>
      <c r="G46" s="31"/>
      <c r="H46" s="20"/>
      <c r="I46" s="31"/>
      <c r="J46" s="31"/>
      <c r="L46" s="47"/>
      <c r="M46" s="47"/>
      <c r="N46" s="47"/>
      <c r="O46" s="48"/>
      <c r="P46" s="47"/>
      <c r="Q46" s="47"/>
      <c r="R46" s="47"/>
      <c r="S46" s="49"/>
      <c r="T46" s="49"/>
      <c r="U46" s="49"/>
      <c r="V46" s="49"/>
      <c r="W46" s="50"/>
    </row>
    <row r="47" spans="2:23" s="53" customFormat="1" ht="15" x14ac:dyDescent="0.25">
      <c r="B47" s="27"/>
      <c r="C47" s="114" t="s">
        <v>66</v>
      </c>
      <c r="D47" s="114"/>
      <c r="E47" s="27"/>
      <c r="F47" s="27"/>
      <c r="G47" s="27"/>
      <c r="H47" s="52"/>
      <c r="I47" s="27"/>
      <c r="J47" s="27"/>
      <c r="L47" s="55">
        <f>SUM(L43:L46)</f>
        <v>247648</v>
      </c>
      <c r="M47" s="54"/>
      <c r="N47" s="55">
        <f>SUM(N43:N46)</f>
        <v>11460.980000000001</v>
      </c>
      <c r="O47" s="56"/>
      <c r="P47" s="55">
        <f>SUM(P43:P46)</f>
        <v>93141.791666665929</v>
      </c>
      <c r="Q47" s="55">
        <f>SUM(Q43:Q46)</f>
        <v>104602.77166666593</v>
      </c>
      <c r="R47" s="55">
        <f>SUM(R43:R46)</f>
        <v>143045.22833333409</v>
      </c>
      <c r="S47" s="57"/>
      <c r="T47" s="57"/>
      <c r="U47" s="57"/>
      <c r="V47" s="57"/>
      <c r="W47" s="58"/>
    </row>
    <row r="48" spans="2:23" s="2" customFormat="1" ht="15" x14ac:dyDescent="0.25">
      <c r="B48" s="31"/>
      <c r="E48" s="31"/>
      <c r="F48" s="31"/>
      <c r="G48" s="31"/>
      <c r="H48" s="20"/>
      <c r="I48" s="31"/>
      <c r="J48" s="31"/>
      <c r="K48" s="87"/>
      <c r="L48" s="97"/>
      <c r="M48" s="47"/>
      <c r="N48" s="47"/>
      <c r="O48" s="48"/>
      <c r="P48" s="47"/>
      <c r="Q48" s="47"/>
      <c r="R48" s="47"/>
      <c r="S48" s="49"/>
      <c r="T48" s="49"/>
      <c r="U48" s="49"/>
      <c r="V48" s="49"/>
      <c r="W48" s="50"/>
    </row>
    <row r="49" spans="2:25" s="2" customFormat="1" ht="15" x14ac:dyDescent="0.25">
      <c r="B49" s="31"/>
      <c r="E49" s="31"/>
      <c r="F49" s="31"/>
      <c r="G49" s="31"/>
      <c r="H49" s="20"/>
      <c r="I49" s="31"/>
      <c r="J49" s="31"/>
      <c r="K49" s="87"/>
      <c r="L49" s="97"/>
      <c r="M49" s="47"/>
      <c r="N49" s="47"/>
      <c r="O49" s="48"/>
      <c r="P49" s="47"/>
      <c r="Q49" s="47"/>
      <c r="R49" s="47"/>
      <c r="S49" s="49"/>
      <c r="T49" s="49"/>
      <c r="U49" s="49"/>
      <c r="V49" s="49"/>
      <c r="W49" s="50"/>
    </row>
    <row r="50" spans="2:25" s="2" customFormat="1" ht="15" x14ac:dyDescent="0.25">
      <c r="B50" s="31"/>
      <c r="C50" s="113" t="s">
        <v>67</v>
      </c>
      <c r="D50" s="113"/>
      <c r="E50" s="31"/>
      <c r="F50" s="31"/>
      <c r="G50" s="31"/>
      <c r="H50" s="20"/>
      <c r="I50" s="31"/>
      <c r="J50" s="31"/>
      <c r="L50" s="47"/>
      <c r="M50" s="47"/>
      <c r="N50" s="47"/>
      <c r="O50" s="48"/>
      <c r="P50" s="47"/>
      <c r="Q50" s="47"/>
      <c r="R50" s="47"/>
      <c r="S50" s="49"/>
      <c r="T50" s="49"/>
      <c r="U50" s="49"/>
      <c r="V50" s="49"/>
      <c r="W50" s="50"/>
    </row>
    <row r="51" spans="2:25" s="2" customFormat="1" ht="15" x14ac:dyDescent="0.25">
      <c r="B51" s="31" t="s">
        <v>44</v>
      </c>
      <c r="D51" s="2" t="s">
        <v>68</v>
      </c>
      <c r="E51" s="31">
        <v>2016</v>
      </c>
      <c r="F51" s="31">
        <v>3</v>
      </c>
      <c r="G51" s="31">
        <v>7</v>
      </c>
      <c r="H51" s="94">
        <v>0</v>
      </c>
      <c r="I51" s="31" t="s">
        <v>46</v>
      </c>
      <c r="J51" s="31">
        <v>20</v>
      </c>
      <c r="K51" s="2">
        <f t="shared" ref="K51:K66" si="31">+E51+J51</f>
        <v>2036</v>
      </c>
      <c r="L51" s="91">
        <v>979</v>
      </c>
      <c r="M51" s="91">
        <f t="shared" ref="M51:M66" si="32">L51/J51/12</f>
        <v>4.0791666666666666</v>
      </c>
      <c r="N51" s="91">
        <f t="shared" ref="N51:N66" si="33">IF(U51&lt;=T51,0,L51/J51)</f>
        <v>48.95</v>
      </c>
      <c r="O51" s="48">
        <v>1</v>
      </c>
      <c r="P51" s="91">
        <f t="shared" ref="P51:P66" si="34">IF(S51&gt;T51,0,IF(U51&lt;V51,L51,IF((AND((U51&gt;=V51),(U51&lt;=T51))),(L51-N51),IF((AND((V51&lt;=S51),(T51&gt;=S51))),0,IF(U51&gt;T51,((V51-S51)*12)*M51,0)))))</f>
        <v>334.49166666666298</v>
      </c>
      <c r="Q51" s="91">
        <f t="shared" ref="Q51:Q66" si="35">P51+N51</f>
        <v>383.44166666666297</v>
      </c>
      <c r="R51" s="91">
        <f t="shared" ref="R51:R66" si="36">+L51-Q51</f>
        <v>595.55833333333703</v>
      </c>
      <c r="S51" s="49">
        <f t="shared" ref="S51:S66" si="37">$E51+(($F51-1)/12)</f>
        <v>2016.1666666666667</v>
      </c>
      <c r="T51" s="49">
        <f t="shared" ref="T51:T156" si="38">($M$7+1)-($M$4/12)</f>
        <v>2024</v>
      </c>
      <c r="U51" s="49">
        <f t="shared" ref="U51:U66" si="39">$K51+(($F51-1)/12)</f>
        <v>2036.1666666666667</v>
      </c>
      <c r="V51" s="49">
        <f t="shared" ref="V51:V156" si="40">$M$6+($M$5/12)</f>
        <v>2023</v>
      </c>
      <c r="W51" s="50"/>
    </row>
    <row r="52" spans="2:25" s="2" customFormat="1" ht="15" x14ac:dyDescent="0.25">
      <c r="B52" s="31" t="s">
        <v>44</v>
      </c>
      <c r="D52" s="2" t="s">
        <v>68</v>
      </c>
      <c r="E52" s="31">
        <v>2016</v>
      </c>
      <c r="F52" s="31">
        <v>4</v>
      </c>
      <c r="G52" s="31">
        <v>18</v>
      </c>
      <c r="H52" s="20">
        <v>0</v>
      </c>
      <c r="I52" s="31" t="s">
        <v>46</v>
      </c>
      <c r="J52" s="31">
        <v>20</v>
      </c>
      <c r="K52" s="2">
        <f>+E52+J52</f>
        <v>2036</v>
      </c>
      <c r="L52" s="47">
        <v>3164</v>
      </c>
      <c r="M52" s="47">
        <f>L52/J52/12</f>
        <v>13.183333333333332</v>
      </c>
      <c r="N52" s="47">
        <f>IF(U52&lt;=T52,0,L52/J52)</f>
        <v>158.19999999999999</v>
      </c>
      <c r="O52" s="48">
        <v>1</v>
      </c>
      <c r="P52" s="47">
        <f>IF(S52&gt;T52,0,IF(U52&lt;V52,L52,IF((AND((U52&gt;=V52),(U52&lt;=T52))),(L52-N52),IF((AND((V52&lt;=S52),(T52&gt;=S52))),0,IF(U52&gt;T52,((V52-S52)*12)*M52,0)))))</f>
        <v>1067.8499999999999</v>
      </c>
      <c r="Q52" s="47">
        <f>P52+N52</f>
        <v>1226.05</v>
      </c>
      <c r="R52" s="47">
        <f>+L52-Q52</f>
        <v>1937.95</v>
      </c>
      <c r="S52" s="49">
        <f>$E52+(($F52-1)/12)</f>
        <v>2016.25</v>
      </c>
      <c r="T52" s="49">
        <f t="shared" si="38"/>
        <v>2024</v>
      </c>
      <c r="U52" s="49">
        <f>$K52+(($F52-1)/12)</f>
        <v>2036.25</v>
      </c>
      <c r="V52" s="49">
        <f t="shared" si="40"/>
        <v>2023</v>
      </c>
      <c r="W52" s="50"/>
    </row>
    <row r="53" spans="2:25" s="2" customFormat="1" ht="15" x14ac:dyDescent="0.25">
      <c r="B53" s="31" t="s">
        <v>44</v>
      </c>
      <c r="D53" s="2" t="s">
        <v>68</v>
      </c>
      <c r="E53" s="31">
        <v>2016</v>
      </c>
      <c r="F53" s="31">
        <v>6</v>
      </c>
      <c r="G53" s="31">
        <v>13</v>
      </c>
      <c r="H53" s="94">
        <v>0</v>
      </c>
      <c r="I53" s="31" t="s">
        <v>46</v>
      </c>
      <c r="J53" s="31">
        <v>20</v>
      </c>
      <c r="K53" s="2">
        <f t="shared" si="31"/>
        <v>2036</v>
      </c>
      <c r="L53" s="91">
        <v>3975</v>
      </c>
      <c r="M53" s="91">
        <f t="shared" si="32"/>
        <v>16.5625</v>
      </c>
      <c r="N53" s="91">
        <f t="shared" si="33"/>
        <v>198.75</v>
      </c>
      <c r="O53" s="48">
        <v>1</v>
      </c>
      <c r="P53" s="91">
        <f t="shared" si="34"/>
        <v>1308.437499999985</v>
      </c>
      <c r="Q53" s="91">
        <f t="shared" si="35"/>
        <v>1507.187499999985</v>
      </c>
      <c r="R53" s="91">
        <f t="shared" si="36"/>
        <v>2467.812500000015</v>
      </c>
      <c r="S53" s="49">
        <f t="shared" si="37"/>
        <v>2016.4166666666667</v>
      </c>
      <c r="T53" s="49">
        <f t="shared" si="38"/>
        <v>2024</v>
      </c>
      <c r="U53" s="49">
        <f t="shared" si="39"/>
        <v>2036.4166666666667</v>
      </c>
      <c r="V53" s="49">
        <f t="shared" si="40"/>
        <v>2023</v>
      </c>
      <c r="W53" s="50"/>
    </row>
    <row r="54" spans="2:25" s="2" customFormat="1" ht="15" x14ac:dyDescent="0.25">
      <c r="B54" s="31" t="s">
        <v>44</v>
      </c>
      <c r="D54" s="2" t="s">
        <v>68</v>
      </c>
      <c r="E54" s="31">
        <v>2017</v>
      </c>
      <c r="F54" s="31">
        <v>2</v>
      </c>
      <c r="G54" s="31">
        <v>15</v>
      </c>
      <c r="H54" s="94">
        <v>0</v>
      </c>
      <c r="I54" s="31" t="s">
        <v>46</v>
      </c>
      <c r="J54" s="31">
        <v>20</v>
      </c>
      <c r="K54" s="2">
        <f t="shared" si="31"/>
        <v>2037</v>
      </c>
      <c r="L54" s="91">
        <v>2606</v>
      </c>
      <c r="M54" s="91">
        <f t="shared" si="32"/>
        <v>10.858333333333334</v>
      </c>
      <c r="N54" s="91">
        <f t="shared" si="33"/>
        <v>130.30000000000001</v>
      </c>
      <c r="O54" s="48">
        <v>1</v>
      </c>
      <c r="P54" s="91">
        <f t="shared" si="34"/>
        <v>770.94166666667661</v>
      </c>
      <c r="Q54" s="91">
        <f t="shared" si="35"/>
        <v>901.24166666667657</v>
      </c>
      <c r="R54" s="91">
        <f t="shared" si="36"/>
        <v>1704.7583333333234</v>
      </c>
      <c r="S54" s="49">
        <f t="shared" si="37"/>
        <v>2017.0833333333333</v>
      </c>
      <c r="T54" s="49">
        <f t="shared" si="38"/>
        <v>2024</v>
      </c>
      <c r="U54" s="49">
        <f t="shared" si="39"/>
        <v>2037.0833333333333</v>
      </c>
      <c r="V54" s="49">
        <f t="shared" si="40"/>
        <v>2023</v>
      </c>
      <c r="W54" s="50"/>
    </row>
    <row r="55" spans="2:25" s="2" customFormat="1" ht="15" x14ac:dyDescent="0.25">
      <c r="B55" s="31" t="s">
        <v>44</v>
      </c>
      <c r="D55" s="2" t="s">
        <v>68</v>
      </c>
      <c r="E55" s="31">
        <v>2017</v>
      </c>
      <c r="F55" s="31">
        <v>4</v>
      </c>
      <c r="G55" s="31">
        <v>4</v>
      </c>
      <c r="H55" s="94">
        <v>0</v>
      </c>
      <c r="I55" s="31" t="s">
        <v>46</v>
      </c>
      <c r="J55" s="31">
        <v>20</v>
      </c>
      <c r="K55" s="2">
        <f t="shared" si="31"/>
        <v>2037</v>
      </c>
      <c r="L55" s="91">
        <v>511</v>
      </c>
      <c r="M55" s="91">
        <f t="shared" si="32"/>
        <v>2.1291666666666669</v>
      </c>
      <c r="N55" s="91">
        <f t="shared" si="33"/>
        <v>25.55</v>
      </c>
      <c r="O55" s="48">
        <v>1</v>
      </c>
      <c r="P55" s="91">
        <f t="shared" si="34"/>
        <v>146.91250000000002</v>
      </c>
      <c r="Q55" s="91">
        <f t="shared" si="35"/>
        <v>172.46250000000003</v>
      </c>
      <c r="R55" s="91">
        <f t="shared" si="36"/>
        <v>338.53749999999997</v>
      </c>
      <c r="S55" s="49">
        <f t="shared" si="37"/>
        <v>2017.25</v>
      </c>
      <c r="T55" s="49">
        <f t="shared" si="38"/>
        <v>2024</v>
      </c>
      <c r="U55" s="49">
        <f t="shared" si="39"/>
        <v>2037.25</v>
      </c>
      <c r="V55" s="49">
        <f t="shared" si="40"/>
        <v>2023</v>
      </c>
      <c r="W55" s="50"/>
    </row>
    <row r="56" spans="2:25" s="2" customFormat="1" ht="15" x14ac:dyDescent="0.25">
      <c r="B56" s="31" t="s">
        <v>44</v>
      </c>
      <c r="D56" s="2" t="s">
        <v>68</v>
      </c>
      <c r="E56" s="31">
        <v>2017</v>
      </c>
      <c r="F56" s="31">
        <v>7</v>
      </c>
      <c r="G56" s="31">
        <v>17</v>
      </c>
      <c r="H56" s="94">
        <v>0</v>
      </c>
      <c r="I56" s="31" t="s">
        <v>46</v>
      </c>
      <c r="J56" s="31">
        <v>20</v>
      </c>
      <c r="K56" s="2">
        <f t="shared" si="31"/>
        <v>2037</v>
      </c>
      <c r="L56" s="91">
        <v>1608</v>
      </c>
      <c r="M56" s="91">
        <f t="shared" si="32"/>
        <v>6.7</v>
      </c>
      <c r="N56" s="91">
        <f t="shared" si="33"/>
        <v>80.400000000000006</v>
      </c>
      <c r="O56" s="48">
        <v>1</v>
      </c>
      <c r="P56" s="91">
        <f t="shared" si="34"/>
        <v>442.2</v>
      </c>
      <c r="Q56" s="91">
        <f t="shared" si="35"/>
        <v>522.6</v>
      </c>
      <c r="R56" s="91">
        <f t="shared" si="36"/>
        <v>1085.4000000000001</v>
      </c>
      <c r="S56" s="49">
        <f t="shared" si="37"/>
        <v>2017.5</v>
      </c>
      <c r="T56" s="49">
        <f t="shared" si="38"/>
        <v>2024</v>
      </c>
      <c r="U56" s="49">
        <f t="shared" si="39"/>
        <v>2037.5</v>
      </c>
      <c r="V56" s="49">
        <f t="shared" si="40"/>
        <v>2023</v>
      </c>
      <c r="W56" s="50"/>
    </row>
    <row r="57" spans="2:25" s="2" customFormat="1" ht="15" x14ac:dyDescent="0.25">
      <c r="B57" s="31" t="s">
        <v>44</v>
      </c>
      <c r="D57" s="2" t="s">
        <v>68</v>
      </c>
      <c r="E57" s="31">
        <v>2017</v>
      </c>
      <c r="F57" s="31">
        <v>9</v>
      </c>
      <c r="G57" s="31">
        <v>12</v>
      </c>
      <c r="H57" s="94">
        <v>0</v>
      </c>
      <c r="I57" s="31" t="s">
        <v>46</v>
      </c>
      <c r="J57" s="31">
        <v>20</v>
      </c>
      <c r="K57" s="2">
        <f t="shared" si="31"/>
        <v>2037</v>
      </c>
      <c r="L57" s="91">
        <v>461</v>
      </c>
      <c r="M57" s="91">
        <f t="shared" si="32"/>
        <v>1.9208333333333334</v>
      </c>
      <c r="N57" s="91">
        <f t="shared" si="33"/>
        <v>23.05</v>
      </c>
      <c r="O57" s="48">
        <v>1</v>
      </c>
      <c r="P57" s="91">
        <f t="shared" si="34"/>
        <v>122.93333333333159</v>
      </c>
      <c r="Q57" s="91">
        <f t="shared" si="35"/>
        <v>145.98333333333159</v>
      </c>
      <c r="R57" s="91">
        <f t="shared" si="36"/>
        <v>315.01666666666841</v>
      </c>
      <c r="S57" s="49">
        <f t="shared" si="37"/>
        <v>2017.6666666666667</v>
      </c>
      <c r="T57" s="49">
        <f t="shared" si="38"/>
        <v>2024</v>
      </c>
      <c r="U57" s="49">
        <f t="shared" si="39"/>
        <v>2037.6666666666667</v>
      </c>
      <c r="V57" s="49">
        <f t="shared" si="40"/>
        <v>2023</v>
      </c>
      <c r="W57" s="50"/>
    </row>
    <row r="58" spans="2:25" s="2" customFormat="1" ht="15" x14ac:dyDescent="0.25">
      <c r="B58" s="31" t="s">
        <v>44</v>
      </c>
      <c r="D58" s="2" t="s">
        <v>68</v>
      </c>
      <c r="E58" s="31">
        <v>2017</v>
      </c>
      <c r="F58" s="31">
        <v>12</v>
      </c>
      <c r="G58" s="31">
        <v>1</v>
      </c>
      <c r="H58" s="94">
        <v>0</v>
      </c>
      <c r="I58" s="31" t="s">
        <v>46</v>
      </c>
      <c r="J58" s="31">
        <v>20</v>
      </c>
      <c r="K58" s="2">
        <f t="shared" si="31"/>
        <v>2037</v>
      </c>
      <c r="L58" s="91">
        <v>1210</v>
      </c>
      <c r="M58" s="91">
        <f t="shared" si="32"/>
        <v>5.041666666666667</v>
      </c>
      <c r="N58" s="91">
        <f t="shared" si="33"/>
        <v>60.5</v>
      </c>
      <c r="O58" s="48">
        <v>1</v>
      </c>
      <c r="P58" s="91">
        <f t="shared" si="34"/>
        <v>307.54166666666208</v>
      </c>
      <c r="Q58" s="91">
        <f t="shared" si="35"/>
        <v>368.04166666666208</v>
      </c>
      <c r="R58" s="91">
        <f t="shared" si="36"/>
        <v>841.95833333333792</v>
      </c>
      <c r="S58" s="49">
        <f t="shared" si="37"/>
        <v>2017.9166666666667</v>
      </c>
      <c r="T58" s="49">
        <f t="shared" si="38"/>
        <v>2024</v>
      </c>
      <c r="U58" s="49">
        <f t="shared" si="39"/>
        <v>2037.9166666666667</v>
      </c>
      <c r="V58" s="49">
        <f t="shared" si="40"/>
        <v>2023</v>
      </c>
      <c r="W58" s="50"/>
    </row>
    <row r="59" spans="2:25" s="2" customFormat="1" ht="15" x14ac:dyDescent="0.25">
      <c r="B59" s="31" t="s">
        <v>44</v>
      </c>
      <c r="D59" s="2" t="s">
        <v>68</v>
      </c>
      <c r="E59" s="31">
        <v>2018</v>
      </c>
      <c r="F59" s="31">
        <v>3</v>
      </c>
      <c r="G59" s="31">
        <v>26</v>
      </c>
      <c r="H59" s="20">
        <v>0</v>
      </c>
      <c r="I59" s="31" t="s">
        <v>46</v>
      </c>
      <c r="J59" s="31">
        <v>20</v>
      </c>
      <c r="K59" s="2">
        <f t="shared" si="31"/>
        <v>2038</v>
      </c>
      <c r="L59" s="47">
        <v>3810</v>
      </c>
      <c r="M59" s="47">
        <f t="shared" si="32"/>
        <v>15.875</v>
      </c>
      <c r="N59" s="47">
        <f t="shared" si="33"/>
        <v>190.5</v>
      </c>
      <c r="O59" s="48">
        <v>1</v>
      </c>
      <c r="P59" s="47">
        <f t="shared" si="34"/>
        <v>920.74999999998556</v>
      </c>
      <c r="Q59" s="47">
        <f t="shared" si="35"/>
        <v>1111.2499999999854</v>
      </c>
      <c r="R59" s="47">
        <f t="shared" si="36"/>
        <v>2698.7500000000146</v>
      </c>
      <c r="S59" s="49">
        <f t="shared" si="37"/>
        <v>2018.1666666666667</v>
      </c>
      <c r="T59" s="49">
        <f t="shared" si="38"/>
        <v>2024</v>
      </c>
      <c r="U59" s="49">
        <f t="shared" si="39"/>
        <v>2038.1666666666667</v>
      </c>
      <c r="V59" s="49">
        <f t="shared" si="40"/>
        <v>2023</v>
      </c>
      <c r="W59" s="50"/>
      <c r="Y59" s="2">
        <v>81.900000000000006</v>
      </c>
    </row>
    <row r="60" spans="2:25" s="2" customFormat="1" ht="15" x14ac:dyDescent="0.25">
      <c r="B60" s="31" t="s">
        <v>44</v>
      </c>
      <c r="D60" s="2" t="s">
        <v>68</v>
      </c>
      <c r="E60" s="31">
        <v>2018</v>
      </c>
      <c r="F60" s="31">
        <v>5</v>
      </c>
      <c r="G60" s="31">
        <v>17</v>
      </c>
      <c r="H60" s="20">
        <v>0</v>
      </c>
      <c r="I60" s="31" t="s">
        <v>46</v>
      </c>
      <c r="J60" s="31">
        <v>20</v>
      </c>
      <c r="K60" s="2">
        <f t="shared" si="31"/>
        <v>2038</v>
      </c>
      <c r="L60" s="47">
        <v>3962</v>
      </c>
      <c r="M60" s="47">
        <f t="shared" si="32"/>
        <v>16.508333333333333</v>
      </c>
      <c r="N60" s="47">
        <f t="shared" si="33"/>
        <v>198.1</v>
      </c>
      <c r="O60" s="48">
        <v>1</v>
      </c>
      <c r="P60" s="47">
        <f t="shared" si="34"/>
        <v>924.4666666666817</v>
      </c>
      <c r="Q60" s="47">
        <f t="shared" si="35"/>
        <v>1122.5666666666816</v>
      </c>
      <c r="R60" s="47">
        <f t="shared" si="36"/>
        <v>2839.4333333333184</v>
      </c>
      <c r="S60" s="49">
        <f t="shared" si="37"/>
        <v>2018.3333333333333</v>
      </c>
      <c r="T60" s="49">
        <f t="shared" si="38"/>
        <v>2024</v>
      </c>
      <c r="U60" s="49">
        <f t="shared" si="39"/>
        <v>2038.3333333333333</v>
      </c>
      <c r="V60" s="49">
        <f t="shared" si="40"/>
        <v>2023</v>
      </c>
      <c r="W60" s="50"/>
      <c r="Y60" s="2">
        <v>83.59</v>
      </c>
    </row>
    <row r="61" spans="2:25" s="2" customFormat="1" ht="15" x14ac:dyDescent="0.25">
      <c r="B61" s="31" t="s">
        <v>44</v>
      </c>
      <c r="D61" s="2" t="s">
        <v>68</v>
      </c>
      <c r="E61" s="31">
        <v>2019</v>
      </c>
      <c r="F61" s="31">
        <v>3</v>
      </c>
      <c r="G61" s="31">
        <v>20</v>
      </c>
      <c r="H61" s="94">
        <v>0</v>
      </c>
      <c r="I61" s="31" t="s">
        <v>46</v>
      </c>
      <c r="J61" s="31">
        <v>20</v>
      </c>
      <c r="K61" s="2">
        <f t="shared" si="31"/>
        <v>2039</v>
      </c>
      <c r="L61" s="91">
        <v>802</v>
      </c>
      <c r="M61" s="91">
        <f t="shared" si="32"/>
        <v>3.3416666666666668</v>
      </c>
      <c r="N61" s="91">
        <f t="shared" si="33"/>
        <v>40.1</v>
      </c>
      <c r="O61" s="48">
        <v>1</v>
      </c>
      <c r="P61" s="91">
        <f t="shared" si="34"/>
        <v>153.71666666666363</v>
      </c>
      <c r="Q61" s="91">
        <f t="shared" si="35"/>
        <v>193.81666666666362</v>
      </c>
      <c r="R61" s="91">
        <f t="shared" si="36"/>
        <v>608.18333333333635</v>
      </c>
      <c r="S61" s="49">
        <f t="shared" si="37"/>
        <v>2019.1666666666667</v>
      </c>
      <c r="T61" s="49">
        <f t="shared" si="38"/>
        <v>2024</v>
      </c>
      <c r="U61" s="49">
        <f t="shared" si="39"/>
        <v>2039.1666666666667</v>
      </c>
      <c r="V61" s="49">
        <f t="shared" si="40"/>
        <v>2023</v>
      </c>
      <c r="W61" s="50"/>
      <c r="Y61" s="2">
        <v>202.05</v>
      </c>
    </row>
    <row r="62" spans="2:25" s="2" customFormat="1" ht="15" x14ac:dyDescent="0.25">
      <c r="B62" s="31" t="s">
        <v>44</v>
      </c>
      <c r="D62" s="2" t="s">
        <v>68</v>
      </c>
      <c r="E62" s="31">
        <v>2019</v>
      </c>
      <c r="F62" s="31">
        <v>11</v>
      </c>
      <c r="G62" s="31">
        <v>11</v>
      </c>
      <c r="H62" s="94">
        <v>0</v>
      </c>
      <c r="I62" s="31" t="s">
        <v>46</v>
      </c>
      <c r="J62" s="31">
        <v>20</v>
      </c>
      <c r="K62" s="2">
        <f t="shared" si="31"/>
        <v>2039</v>
      </c>
      <c r="L62" s="91">
        <v>1797</v>
      </c>
      <c r="M62" s="91">
        <f t="shared" si="32"/>
        <v>7.4874999999999998</v>
      </c>
      <c r="N62" s="91">
        <f t="shared" si="33"/>
        <v>89.85</v>
      </c>
      <c r="O62" s="48">
        <v>1</v>
      </c>
      <c r="P62" s="91">
        <f t="shared" si="34"/>
        <v>284.5250000000068</v>
      </c>
      <c r="Q62" s="91">
        <f t="shared" si="35"/>
        <v>374.37500000000682</v>
      </c>
      <c r="R62" s="91">
        <f t="shared" si="36"/>
        <v>1422.6249999999932</v>
      </c>
      <c r="S62" s="49">
        <f t="shared" si="37"/>
        <v>2019.8333333333333</v>
      </c>
      <c r="T62" s="49">
        <f t="shared" si="38"/>
        <v>2024</v>
      </c>
      <c r="U62" s="49">
        <f t="shared" si="39"/>
        <v>2039.8333333333333</v>
      </c>
      <c r="V62" s="49">
        <f t="shared" si="40"/>
        <v>2023</v>
      </c>
      <c r="W62" s="50"/>
      <c r="Y62" s="2">
        <v>416.92</v>
      </c>
    </row>
    <row r="63" spans="2:25" s="2" customFormat="1" ht="15" x14ac:dyDescent="0.25">
      <c r="B63" s="31" t="s">
        <v>44</v>
      </c>
      <c r="D63" s="2" t="s">
        <v>68</v>
      </c>
      <c r="E63" s="31">
        <v>2020</v>
      </c>
      <c r="F63" s="31">
        <v>8</v>
      </c>
      <c r="G63" s="31">
        <v>20</v>
      </c>
      <c r="H63" s="94">
        <v>0</v>
      </c>
      <c r="I63" s="31" t="s">
        <v>46</v>
      </c>
      <c r="J63" s="31">
        <v>20</v>
      </c>
      <c r="K63" s="2">
        <f t="shared" si="31"/>
        <v>2040</v>
      </c>
      <c r="L63" s="91">
        <v>5086</v>
      </c>
      <c r="M63" s="91">
        <f t="shared" si="32"/>
        <v>21.191666666666666</v>
      </c>
      <c r="N63" s="91">
        <f t="shared" si="33"/>
        <v>254.3</v>
      </c>
      <c r="O63" s="48">
        <v>1</v>
      </c>
      <c r="P63" s="91">
        <f t="shared" si="34"/>
        <v>614.55833333335261</v>
      </c>
      <c r="Q63" s="91">
        <f t="shared" si="35"/>
        <v>868.85833333335268</v>
      </c>
      <c r="R63" s="91">
        <f t="shared" si="36"/>
        <v>4217.1416666666473</v>
      </c>
      <c r="S63" s="49">
        <f t="shared" si="37"/>
        <v>2020.5833333333333</v>
      </c>
      <c r="T63" s="49">
        <f t="shared" si="38"/>
        <v>2024</v>
      </c>
      <c r="U63" s="49">
        <f t="shared" si="39"/>
        <v>2040.5833333333333</v>
      </c>
      <c r="V63" s="49">
        <f t="shared" si="40"/>
        <v>2023</v>
      </c>
      <c r="W63" s="50"/>
      <c r="Y63" s="2">
        <f>SUM(Y59:Y62)</f>
        <v>784.46</v>
      </c>
    </row>
    <row r="64" spans="2:25" s="2" customFormat="1" ht="15" x14ac:dyDescent="0.25">
      <c r="B64" s="31" t="s">
        <v>44</v>
      </c>
      <c r="D64" s="2" t="s">
        <v>68</v>
      </c>
      <c r="E64" s="31">
        <v>2021</v>
      </c>
      <c r="F64" s="31">
        <v>3</v>
      </c>
      <c r="G64" s="31">
        <v>1</v>
      </c>
      <c r="H64" s="94">
        <v>0</v>
      </c>
      <c r="I64" s="31" t="s">
        <v>46</v>
      </c>
      <c r="J64" s="31">
        <v>20</v>
      </c>
      <c r="K64" s="2">
        <f t="shared" si="31"/>
        <v>2041</v>
      </c>
      <c r="L64" s="91">
        <v>3903</v>
      </c>
      <c r="M64" s="91">
        <f t="shared" si="32"/>
        <v>16.262499999999999</v>
      </c>
      <c r="N64" s="91">
        <f t="shared" si="33"/>
        <v>195.15</v>
      </c>
      <c r="O64" s="48">
        <v>1</v>
      </c>
      <c r="P64" s="91">
        <f t="shared" si="34"/>
        <v>357.7749999999852</v>
      </c>
      <c r="Q64" s="91">
        <f t="shared" si="35"/>
        <v>552.92499999998518</v>
      </c>
      <c r="R64" s="91">
        <f t="shared" si="36"/>
        <v>3350.0750000000148</v>
      </c>
      <c r="S64" s="49">
        <f t="shared" si="37"/>
        <v>2021.1666666666667</v>
      </c>
      <c r="T64" s="49">
        <f t="shared" si="38"/>
        <v>2024</v>
      </c>
      <c r="U64" s="49">
        <f t="shared" si="39"/>
        <v>2041.1666666666667</v>
      </c>
      <c r="V64" s="49">
        <f t="shared" si="40"/>
        <v>2023</v>
      </c>
      <c r="W64" s="50"/>
    </row>
    <row r="65" spans="2:23" s="2" customFormat="1" ht="15" x14ac:dyDescent="0.25">
      <c r="B65" s="31" t="s">
        <v>44</v>
      </c>
      <c r="D65" s="2" t="s">
        <v>68</v>
      </c>
      <c r="E65" s="31">
        <v>2021</v>
      </c>
      <c r="F65" s="31">
        <v>12</v>
      </c>
      <c r="G65" s="31">
        <v>31</v>
      </c>
      <c r="H65" s="20">
        <v>0</v>
      </c>
      <c r="I65" s="31" t="s">
        <v>46</v>
      </c>
      <c r="J65" s="31">
        <v>20</v>
      </c>
      <c r="K65" s="2">
        <f t="shared" si="31"/>
        <v>2041</v>
      </c>
      <c r="L65" s="47">
        <v>1645</v>
      </c>
      <c r="M65" s="47">
        <f t="shared" si="32"/>
        <v>6.854166666666667</v>
      </c>
      <c r="N65" s="47">
        <f t="shared" si="33"/>
        <v>82.25</v>
      </c>
      <c r="O65" s="48">
        <v>1</v>
      </c>
      <c r="P65" s="47">
        <f t="shared" si="34"/>
        <v>89.104166666660433</v>
      </c>
      <c r="Q65" s="47">
        <f t="shared" si="35"/>
        <v>171.35416666666043</v>
      </c>
      <c r="R65" s="47">
        <f t="shared" si="36"/>
        <v>1473.6458333333396</v>
      </c>
      <c r="S65" s="49">
        <f t="shared" si="37"/>
        <v>2021.9166666666667</v>
      </c>
      <c r="T65" s="49">
        <f t="shared" si="38"/>
        <v>2024</v>
      </c>
      <c r="U65" s="49">
        <f t="shared" si="39"/>
        <v>2041.9166666666667</v>
      </c>
      <c r="V65" s="49">
        <f t="shared" si="40"/>
        <v>2023</v>
      </c>
      <c r="W65" s="50"/>
    </row>
    <row r="66" spans="2:23" s="2" customFormat="1" ht="15" x14ac:dyDescent="0.25">
      <c r="B66" s="31" t="s">
        <v>44</v>
      </c>
      <c r="D66" s="2" t="s">
        <v>68</v>
      </c>
      <c r="E66" s="31">
        <v>2023</v>
      </c>
      <c r="F66" s="31">
        <v>4</v>
      </c>
      <c r="G66" s="31">
        <v>28</v>
      </c>
      <c r="H66" s="94">
        <v>0</v>
      </c>
      <c r="I66" s="31" t="s">
        <v>46</v>
      </c>
      <c r="J66" s="31">
        <v>20</v>
      </c>
      <c r="K66" s="2">
        <f t="shared" si="31"/>
        <v>2043</v>
      </c>
      <c r="L66" s="91">
        <v>1231</v>
      </c>
      <c r="M66" s="91">
        <f t="shared" si="32"/>
        <v>5.1291666666666664</v>
      </c>
      <c r="N66" s="91">
        <f t="shared" si="33"/>
        <v>61.55</v>
      </c>
      <c r="O66" s="48">
        <v>1</v>
      </c>
      <c r="P66" s="91">
        <f t="shared" si="34"/>
        <v>0</v>
      </c>
      <c r="Q66" s="91">
        <f t="shared" si="35"/>
        <v>61.55</v>
      </c>
      <c r="R66" s="91">
        <f t="shared" si="36"/>
        <v>1169.45</v>
      </c>
      <c r="S66" s="49">
        <f t="shared" si="37"/>
        <v>2023.25</v>
      </c>
      <c r="T66" s="49">
        <f t="shared" si="38"/>
        <v>2024</v>
      </c>
      <c r="U66" s="49">
        <f t="shared" si="39"/>
        <v>2043.25</v>
      </c>
      <c r="V66" s="49">
        <f t="shared" si="40"/>
        <v>2023</v>
      </c>
      <c r="W66" s="50"/>
    </row>
    <row r="67" spans="2:23" s="2" customFormat="1" ht="15" x14ac:dyDescent="0.25">
      <c r="B67" s="61"/>
      <c r="C67" s="62"/>
      <c r="D67" s="62"/>
      <c r="E67" s="61"/>
      <c r="F67" s="61"/>
      <c r="G67" s="61"/>
      <c r="H67" s="63"/>
      <c r="I67" s="61"/>
      <c r="J67" s="61"/>
      <c r="K67" s="62"/>
      <c r="L67" s="98"/>
      <c r="M67" s="64"/>
      <c r="N67" s="64"/>
      <c r="O67" s="65"/>
      <c r="P67" s="64"/>
      <c r="Q67" s="64"/>
      <c r="R67" s="64"/>
      <c r="S67" s="49"/>
      <c r="T67" s="49"/>
      <c r="U67" s="49"/>
      <c r="V67" s="49"/>
      <c r="W67" s="50"/>
    </row>
    <row r="68" spans="2:23" s="53" customFormat="1" ht="15" x14ac:dyDescent="0.25">
      <c r="B68" s="27"/>
      <c r="C68" s="114" t="s">
        <v>69</v>
      </c>
      <c r="D68" s="114"/>
      <c r="E68" s="27"/>
      <c r="F68" s="27"/>
      <c r="G68" s="27"/>
      <c r="H68" s="52"/>
      <c r="I68" s="27"/>
      <c r="J68" s="27"/>
      <c r="L68" s="55">
        <f>SUM(L51:L66)</f>
        <v>36750</v>
      </c>
      <c r="M68" s="54"/>
      <c r="N68" s="55">
        <f>SUM(N51:N66)</f>
        <v>1837.4999999999998</v>
      </c>
      <c r="O68" s="56"/>
      <c r="P68" s="55">
        <f>SUM(P51:P66)</f>
        <v>7846.2041666666546</v>
      </c>
      <c r="Q68" s="55">
        <f>SUM(Q51:Q66)</f>
        <v>9683.7041666666555</v>
      </c>
      <c r="R68" s="55">
        <f>SUM(R51:R66)</f>
        <v>27066.295833333348</v>
      </c>
      <c r="S68" s="57"/>
      <c r="T68" s="57"/>
      <c r="U68" s="57"/>
      <c r="V68" s="57"/>
      <c r="W68" s="58"/>
    </row>
    <row r="69" spans="2:23" s="2" customFormat="1" ht="15" x14ac:dyDescent="0.25">
      <c r="B69" s="31"/>
      <c r="E69" s="31"/>
      <c r="F69" s="31"/>
      <c r="G69" s="31"/>
      <c r="H69" s="20"/>
      <c r="I69" s="31"/>
      <c r="J69" s="31"/>
      <c r="K69" s="87"/>
      <c r="L69" s="97"/>
      <c r="M69" s="47"/>
      <c r="N69" s="47"/>
      <c r="O69" s="48"/>
      <c r="P69" s="47"/>
      <c r="Q69" s="47"/>
      <c r="R69" s="47"/>
      <c r="S69" s="49"/>
      <c r="T69" s="49"/>
      <c r="U69" s="49"/>
      <c r="V69" s="49"/>
      <c r="W69" s="50"/>
    </row>
    <row r="70" spans="2:23" s="2" customFormat="1" ht="15" x14ac:dyDescent="0.25">
      <c r="B70" s="31"/>
      <c r="E70" s="31"/>
      <c r="F70" s="31"/>
      <c r="G70" s="31"/>
      <c r="H70" s="20"/>
      <c r="I70" s="31"/>
      <c r="J70" s="31"/>
      <c r="K70" s="87"/>
      <c r="L70" s="97"/>
      <c r="M70" s="47"/>
      <c r="N70" s="47"/>
      <c r="O70" s="48"/>
      <c r="P70" s="47"/>
      <c r="Q70" s="47"/>
      <c r="R70" s="47">
        <f>+R69-R68</f>
        <v>-27066.295833333348</v>
      </c>
      <c r="S70" s="49"/>
      <c r="T70" s="49"/>
      <c r="U70" s="49"/>
      <c r="V70" s="49"/>
      <c r="W70" s="50"/>
    </row>
    <row r="71" spans="2:23" s="2" customFormat="1" ht="15" x14ac:dyDescent="0.25">
      <c r="B71" s="31"/>
      <c r="C71" s="113" t="s">
        <v>70</v>
      </c>
      <c r="D71" s="113"/>
      <c r="E71" s="31"/>
      <c r="F71" s="31"/>
      <c r="G71" s="31"/>
      <c r="H71" s="20"/>
      <c r="I71" s="31"/>
      <c r="J71" s="31"/>
      <c r="L71" s="47"/>
      <c r="M71" s="47"/>
      <c r="N71" s="47"/>
      <c r="O71" s="48"/>
      <c r="P71" s="47"/>
      <c r="Q71" s="47"/>
      <c r="R71" s="47"/>
      <c r="S71" s="49"/>
      <c r="T71" s="49"/>
      <c r="U71" s="49"/>
      <c r="V71" s="49"/>
      <c r="W71" s="50"/>
    </row>
    <row r="72" spans="2:23" s="2" customFormat="1" ht="15" x14ac:dyDescent="0.25">
      <c r="B72" s="31" t="s">
        <v>44</v>
      </c>
      <c r="D72" s="2" t="s">
        <v>71</v>
      </c>
      <c r="E72" s="31">
        <v>2015</v>
      </c>
      <c r="F72" s="31">
        <v>12</v>
      </c>
      <c r="G72" s="31">
        <v>31</v>
      </c>
      <c r="H72" s="20">
        <v>0</v>
      </c>
      <c r="I72" s="31" t="s">
        <v>46</v>
      </c>
      <c r="J72" s="31">
        <v>7</v>
      </c>
      <c r="K72" s="2">
        <f t="shared" ref="K72" si="41">+E72+J72</f>
        <v>2022</v>
      </c>
      <c r="L72" s="91">
        <v>4018</v>
      </c>
      <c r="M72" s="47">
        <f t="shared" ref="M72" si="42">L72/J72/12</f>
        <v>47.833333333333336</v>
      </c>
      <c r="N72" s="47">
        <f t="shared" ref="N72" si="43">IF(U72&lt;=T72,0,L72/J72)</f>
        <v>0</v>
      </c>
      <c r="O72" s="48">
        <v>1</v>
      </c>
      <c r="P72" s="47">
        <f t="shared" ref="P72" si="44">IF(S72&gt;T72,0,IF(U72&lt;V72,L72,IF((AND((U72&gt;=V72),(U72&lt;=T72))),(L72-N72),IF((AND((V72&lt;=S72),(T72&gt;=S72))),0,IF(U72&gt;T72,((V72-S72)*12)*M72,0)))))</f>
        <v>4018</v>
      </c>
      <c r="Q72" s="47">
        <f t="shared" ref="Q72" si="45">P72+N72</f>
        <v>4018</v>
      </c>
      <c r="R72" s="47">
        <f t="shared" ref="R72" si="46">+L72-Q72</f>
        <v>0</v>
      </c>
      <c r="S72" s="49">
        <f>$E72+(($F72-1)/12)</f>
        <v>2015.9166666666667</v>
      </c>
      <c r="T72" s="49">
        <f>($M$7+1)-($M$4/12)</f>
        <v>2024</v>
      </c>
      <c r="U72" s="49">
        <f>$K72+(($F72-1)/12)</f>
        <v>2022.9166666666667</v>
      </c>
      <c r="V72" s="49">
        <f>$M$6+($M$5/12)</f>
        <v>2023</v>
      </c>
      <c r="W72" s="50"/>
    </row>
    <row r="73" spans="2:23" s="2" customFormat="1" ht="15" x14ac:dyDescent="0.25">
      <c r="B73" s="31"/>
      <c r="E73" s="31"/>
      <c r="F73" s="31"/>
      <c r="G73" s="31"/>
      <c r="H73" s="20"/>
      <c r="I73" s="31"/>
      <c r="J73" s="31"/>
      <c r="L73" s="91"/>
      <c r="M73" s="47"/>
      <c r="N73" s="47"/>
      <c r="O73" s="48"/>
      <c r="P73" s="47"/>
      <c r="Q73" s="47"/>
      <c r="R73" s="47"/>
      <c r="S73" s="49"/>
      <c r="T73" s="49"/>
      <c r="U73" s="49"/>
      <c r="V73" s="49"/>
      <c r="W73" s="50"/>
    </row>
    <row r="74" spans="2:23" s="53" customFormat="1" ht="15" x14ac:dyDescent="0.25">
      <c r="B74" s="27"/>
      <c r="C74" s="114" t="s">
        <v>72</v>
      </c>
      <c r="D74" s="114"/>
      <c r="E74" s="27"/>
      <c r="F74" s="27"/>
      <c r="G74" s="27"/>
      <c r="H74" s="52"/>
      <c r="I74" s="27"/>
      <c r="J74" s="27"/>
      <c r="L74" s="93">
        <f>SUM(L72:L73)</f>
        <v>4018</v>
      </c>
      <c r="M74" s="54"/>
      <c r="N74" s="55">
        <f>SUM(N72:N73)</f>
        <v>0</v>
      </c>
      <c r="O74" s="56"/>
      <c r="P74" s="55">
        <f>SUM(P72:P73)</f>
        <v>4018</v>
      </c>
      <c r="Q74" s="55">
        <f>SUM(Q72:Q73)</f>
        <v>4018</v>
      </c>
      <c r="R74" s="55">
        <f>SUM(R72:R73)</f>
        <v>0</v>
      </c>
      <c r="S74" s="57"/>
      <c r="T74" s="57"/>
      <c r="U74" s="57"/>
      <c r="V74" s="57"/>
      <c r="W74" s="58"/>
    </row>
    <row r="75" spans="2:23" s="2" customFormat="1" ht="15" x14ac:dyDescent="0.25">
      <c r="B75" s="31"/>
      <c r="D75" s="69"/>
      <c r="E75" s="31"/>
      <c r="F75" s="31"/>
      <c r="G75" s="31"/>
      <c r="H75" s="20"/>
      <c r="I75" s="31"/>
      <c r="J75" s="31"/>
      <c r="L75" s="47"/>
      <c r="M75" s="47"/>
      <c r="N75" s="47"/>
      <c r="O75" s="48"/>
      <c r="P75" s="47"/>
      <c r="Q75" s="47"/>
      <c r="R75" s="47"/>
      <c r="S75" s="49"/>
      <c r="T75" s="49"/>
      <c r="U75" s="49"/>
      <c r="V75" s="49"/>
      <c r="W75" s="50"/>
    </row>
    <row r="76" spans="2:23" s="2" customFormat="1" ht="15" x14ac:dyDescent="0.25">
      <c r="B76" s="31"/>
      <c r="C76" s="113" t="s">
        <v>73</v>
      </c>
      <c r="D76" s="113"/>
      <c r="E76" s="31"/>
      <c r="F76" s="31"/>
      <c r="G76" s="31"/>
      <c r="H76" s="20"/>
      <c r="I76" s="31"/>
      <c r="J76" s="31"/>
      <c r="L76" s="47"/>
      <c r="M76" s="47"/>
      <c r="N76" s="47"/>
      <c r="O76" s="48"/>
      <c r="P76" s="47"/>
      <c r="Q76" s="47"/>
      <c r="R76" s="47"/>
      <c r="S76" s="49"/>
      <c r="T76" s="49"/>
      <c r="U76" s="49"/>
      <c r="V76" s="49"/>
      <c r="W76" s="50"/>
    </row>
    <row r="77" spans="2:23" s="2" customFormat="1" ht="15" x14ac:dyDescent="0.25">
      <c r="B77" s="31"/>
      <c r="E77" s="31"/>
      <c r="F77" s="31"/>
      <c r="G77" s="31"/>
      <c r="H77" s="20"/>
      <c r="I77" s="31"/>
      <c r="J77" s="31"/>
      <c r="L77" s="47"/>
      <c r="M77" s="47"/>
      <c r="N77" s="47"/>
      <c r="O77" s="48"/>
      <c r="P77" s="47"/>
      <c r="Q77" s="47"/>
      <c r="R77" s="47"/>
      <c r="S77" s="49"/>
      <c r="T77" s="49"/>
      <c r="U77" s="49"/>
      <c r="V77" s="49"/>
      <c r="W77" s="50"/>
    </row>
    <row r="78" spans="2:23" s="2" customFormat="1" ht="15" x14ac:dyDescent="0.25">
      <c r="B78" s="31" t="s">
        <v>44</v>
      </c>
      <c r="D78" s="2" t="s">
        <v>74</v>
      </c>
      <c r="E78" s="31">
        <v>2023</v>
      </c>
      <c r="F78" s="31">
        <v>8</v>
      </c>
      <c r="G78" s="31">
        <v>17</v>
      </c>
      <c r="H78" s="94">
        <v>0</v>
      </c>
      <c r="I78" s="31" t="s">
        <v>46</v>
      </c>
      <c r="J78" s="31">
        <v>6</v>
      </c>
      <c r="K78" s="2">
        <f>+E78+J78</f>
        <v>2029</v>
      </c>
      <c r="L78" s="91">
        <v>15620</v>
      </c>
      <c r="M78" s="91">
        <f>L78/J78/12</f>
        <v>216.94444444444446</v>
      </c>
      <c r="N78" s="91">
        <f>IF(U78&lt;=T78,0,L78/J78)</f>
        <v>2603.3333333333335</v>
      </c>
      <c r="O78" s="48">
        <v>1</v>
      </c>
      <c r="P78" s="91">
        <f>IF(S78&gt;T78,0,IF(U78&lt;V78,L78,IF((AND((U78&gt;=V78),(U78&lt;=T78))),(L78-N78),IF((AND((V78&lt;=S78),(T78&gt;=S78))),0,IF(U78&gt;T78,((V78-S78)*12)*M78,0)))))</f>
        <v>0</v>
      </c>
      <c r="Q78" s="91">
        <f>P78+N78</f>
        <v>2603.3333333333335</v>
      </c>
      <c r="R78" s="91">
        <f>+L78-Q78</f>
        <v>13016.666666666666</v>
      </c>
      <c r="S78" s="49">
        <f>$E78+(($F78-1)/12)</f>
        <v>2023.5833333333333</v>
      </c>
      <c r="T78" s="49">
        <f>($M$7+1)-($M$4/12)</f>
        <v>2024</v>
      </c>
      <c r="U78" s="49">
        <f>$K78+(($F78-1)/12)</f>
        <v>2029.5833333333333</v>
      </c>
      <c r="V78" s="49">
        <f>$M$6+($M$5/12)</f>
        <v>2023</v>
      </c>
      <c r="W78" s="50"/>
    </row>
    <row r="79" spans="2:23" s="2" customFormat="1" ht="15" x14ac:dyDescent="0.25">
      <c r="B79" s="31"/>
      <c r="E79" s="31"/>
      <c r="F79" s="31"/>
      <c r="G79" s="31"/>
      <c r="H79" s="94"/>
      <c r="I79" s="31"/>
      <c r="J79" s="31"/>
      <c r="L79" s="91"/>
      <c r="M79" s="91"/>
      <c r="N79" s="91"/>
      <c r="O79" s="48"/>
      <c r="P79" s="91"/>
      <c r="Q79" s="91"/>
      <c r="R79" s="91"/>
      <c r="S79" s="49"/>
      <c r="T79" s="49"/>
      <c r="U79" s="49"/>
      <c r="V79" s="49"/>
      <c r="W79" s="50"/>
    </row>
    <row r="80" spans="2:23" s="53" customFormat="1" ht="15" x14ac:dyDescent="0.25">
      <c r="B80" s="27"/>
      <c r="C80" s="114" t="s">
        <v>75</v>
      </c>
      <c r="D80" s="114"/>
      <c r="E80" s="27"/>
      <c r="F80" s="27"/>
      <c r="G80" s="27"/>
      <c r="H80" s="95"/>
      <c r="I80" s="27"/>
      <c r="J80" s="27"/>
      <c r="L80" s="93">
        <f>SUM(L78:L79)</f>
        <v>15620</v>
      </c>
      <c r="M80" s="96"/>
      <c r="N80" s="93">
        <f>SUM(N78:N79)</f>
        <v>2603.3333333333335</v>
      </c>
      <c r="O80" s="56"/>
      <c r="P80" s="93">
        <f>SUM(P78:P79)</f>
        <v>0</v>
      </c>
      <c r="Q80" s="93">
        <f>SUM(Q78:Q79)</f>
        <v>2603.3333333333335</v>
      </c>
      <c r="R80" s="93">
        <f>SUM(R78:R79)</f>
        <v>13016.666666666666</v>
      </c>
      <c r="S80" s="57"/>
      <c r="T80" s="57"/>
      <c r="U80" s="57"/>
      <c r="V80" s="57"/>
      <c r="W80" s="58"/>
    </row>
    <row r="81" spans="2:23" s="53" customFormat="1" ht="15" x14ac:dyDescent="0.25">
      <c r="B81" s="27"/>
      <c r="C81" s="51"/>
      <c r="D81" s="51"/>
      <c r="E81" s="27"/>
      <c r="F81" s="27"/>
      <c r="G81" s="27"/>
      <c r="H81" s="52"/>
      <c r="I81" s="27"/>
      <c r="J81" s="27"/>
      <c r="L81" s="59"/>
      <c r="M81" s="54"/>
      <c r="N81" s="59"/>
      <c r="O81" s="56"/>
      <c r="P81" s="59"/>
      <c r="Q81" s="59"/>
      <c r="R81" s="59"/>
      <c r="S81" s="57"/>
      <c r="T81" s="57"/>
      <c r="U81" s="57"/>
      <c r="V81" s="57"/>
      <c r="W81" s="58"/>
    </row>
    <row r="82" spans="2:23" s="72" customFormat="1" ht="15" x14ac:dyDescent="0.25">
      <c r="B82" s="70"/>
      <c r="C82" s="112" t="s">
        <v>76</v>
      </c>
      <c r="D82" s="112"/>
      <c r="E82" s="70"/>
      <c r="F82" s="70"/>
      <c r="G82" s="70"/>
      <c r="H82" s="71"/>
      <c r="I82" s="70"/>
      <c r="J82" s="70"/>
      <c r="L82" s="73">
        <f>SUM(L18,L30,L39,L47,L68,L74,L80)</f>
        <v>2993461</v>
      </c>
      <c r="M82" s="74"/>
      <c r="N82" s="73">
        <f>SUM(N18,N30,N39,N47,N68,N74,N80)</f>
        <v>105255.8038095238</v>
      </c>
      <c r="O82" s="75"/>
      <c r="P82" s="73">
        <f>SUM(P18,P30,P39,P47,P68,P74,P80)</f>
        <v>680736.01170635095</v>
      </c>
      <c r="Q82" s="73">
        <f>SUM(Q18,Q30,Q39,Q47,Q68,Q74,Q80)</f>
        <v>785991.81551587489</v>
      </c>
      <c r="R82" s="73">
        <f>SUM(R18,R30,R39,R47,R68,R74,R80)</f>
        <v>2207469.1844841251</v>
      </c>
      <c r="S82" s="76"/>
      <c r="T82" s="76"/>
      <c r="U82" s="76"/>
      <c r="V82" s="76"/>
      <c r="W82" s="77"/>
    </row>
    <row r="83" spans="2:23" s="53" customFormat="1" ht="15" x14ac:dyDescent="0.25">
      <c r="B83" s="27"/>
      <c r="C83" s="51"/>
      <c r="D83" s="51"/>
      <c r="E83" s="27"/>
      <c r="F83" s="27"/>
      <c r="G83" s="27"/>
      <c r="H83" s="52"/>
      <c r="I83" s="27"/>
      <c r="J83" s="27"/>
      <c r="L83" s="59"/>
      <c r="M83" s="54"/>
      <c r="N83" s="59"/>
      <c r="O83" s="56"/>
      <c r="P83" s="59"/>
      <c r="Q83" s="59"/>
      <c r="R83" s="59"/>
      <c r="S83" s="57"/>
      <c r="T83" s="57"/>
      <c r="U83" s="57"/>
      <c r="V83" s="57"/>
      <c r="W83" s="58"/>
    </row>
    <row r="84" spans="2:23" s="53" customFormat="1" ht="15" x14ac:dyDescent="0.25">
      <c r="B84" s="27"/>
      <c r="C84" s="51"/>
      <c r="D84" s="51"/>
      <c r="E84" s="27"/>
      <c r="F84" s="27"/>
      <c r="G84" s="27"/>
      <c r="H84" s="52"/>
      <c r="I84" s="27"/>
      <c r="J84" s="27"/>
      <c r="L84" s="59"/>
      <c r="M84" s="54"/>
      <c r="N84" s="59"/>
      <c r="O84" s="56"/>
      <c r="P84" s="59"/>
      <c r="Q84" s="59"/>
      <c r="R84" s="59"/>
      <c r="S84" s="57"/>
      <c r="T84" s="57"/>
      <c r="U84" s="57"/>
      <c r="V84" s="57"/>
      <c r="W84" s="58"/>
    </row>
    <row r="85" spans="2:23" s="72" customFormat="1" ht="15" x14ac:dyDescent="0.25">
      <c r="B85" s="70"/>
      <c r="C85" s="112" t="s">
        <v>77</v>
      </c>
      <c r="D85" s="112"/>
      <c r="E85" s="70"/>
      <c r="F85" s="70"/>
      <c r="G85" s="70"/>
      <c r="H85" s="71"/>
      <c r="I85" s="70"/>
      <c r="J85" s="70"/>
      <c r="L85" s="78"/>
      <c r="M85" s="74"/>
      <c r="N85" s="78"/>
      <c r="O85" s="75"/>
      <c r="P85" s="78"/>
      <c r="Q85" s="78"/>
      <c r="R85" s="78"/>
      <c r="S85" s="76"/>
      <c r="T85" s="76"/>
      <c r="U85" s="76"/>
      <c r="V85" s="76"/>
      <c r="W85" s="77"/>
    </row>
    <row r="86" spans="2:23" s="53" customFormat="1" ht="15" x14ac:dyDescent="0.25">
      <c r="B86" s="27"/>
      <c r="C86" s="51"/>
      <c r="D86" s="51"/>
      <c r="E86" s="27"/>
      <c r="F86" s="27"/>
      <c r="G86" s="27"/>
      <c r="H86" s="52"/>
      <c r="I86" s="27"/>
      <c r="J86" s="27"/>
      <c r="L86" s="59"/>
      <c r="M86" s="54"/>
      <c r="N86" s="59"/>
      <c r="O86" s="56"/>
      <c r="P86" s="59"/>
      <c r="Q86" s="59"/>
      <c r="R86" s="59"/>
      <c r="S86" s="57"/>
      <c r="T86" s="57"/>
      <c r="U86" s="57"/>
      <c r="V86" s="57"/>
      <c r="W86" s="58"/>
    </row>
    <row r="87" spans="2:23" s="2" customFormat="1" ht="15" x14ac:dyDescent="0.25">
      <c r="B87" s="31"/>
      <c r="C87" s="113" t="s">
        <v>48</v>
      </c>
      <c r="D87" s="113"/>
      <c r="E87" s="31"/>
      <c r="F87" s="31"/>
      <c r="G87" s="31"/>
      <c r="H87" s="20"/>
      <c r="I87" s="31"/>
      <c r="J87" s="31"/>
      <c r="L87" s="47"/>
      <c r="M87" s="47"/>
      <c r="N87" s="47"/>
      <c r="O87" s="48"/>
      <c r="P87" s="47"/>
      <c r="Q87" s="47"/>
      <c r="R87" s="47"/>
      <c r="S87" s="49"/>
      <c r="T87" s="49"/>
      <c r="U87" s="49"/>
      <c r="V87" s="49"/>
      <c r="W87" s="50"/>
    </row>
    <row r="88" spans="2:23" s="2" customFormat="1" ht="15" x14ac:dyDescent="0.25">
      <c r="B88" s="31" t="s">
        <v>78</v>
      </c>
      <c r="D88" s="2" t="s">
        <v>51</v>
      </c>
      <c r="E88" s="31">
        <v>2012</v>
      </c>
      <c r="F88" s="31">
        <v>5</v>
      </c>
      <c r="G88" s="31">
        <v>23</v>
      </c>
      <c r="H88" s="20">
        <v>0</v>
      </c>
      <c r="I88" s="31" t="s">
        <v>46</v>
      </c>
      <c r="J88" s="31">
        <v>30</v>
      </c>
      <c r="K88" s="2">
        <f t="shared" ref="K88:K93" si="47">+E88+J88</f>
        <v>2042</v>
      </c>
      <c r="L88" s="60">
        <f>192185+96092</f>
        <v>288277</v>
      </c>
      <c r="M88" s="47">
        <f t="shared" ref="M88:M93" si="48">L88/J88/12</f>
        <v>800.7694444444445</v>
      </c>
      <c r="N88" s="47">
        <f t="shared" ref="N88:N93" si="49">IF(U88&lt;=T88,0,L88/J88)</f>
        <v>9609.2333333333336</v>
      </c>
      <c r="O88" s="48">
        <v>1</v>
      </c>
      <c r="P88" s="47">
        <f t="shared" ref="P88:P93" si="50">IF(S88&gt;T88,0,IF(U88&lt;V88,L88,IF((AND((U88&gt;=V88),(U88&lt;=T88))),(L88-N88),IF((AND((V88&lt;=S88),(T88&gt;=S88))),0,IF(U88&gt;T88,((V88-S88)*12)*M88,0)))))</f>
        <v>102498.48888888962</v>
      </c>
      <c r="Q88" s="47">
        <f t="shared" ref="Q88:Q93" si="51">P88+N88</f>
        <v>112107.72222222296</v>
      </c>
      <c r="R88" s="47">
        <f t="shared" ref="R88:R93" si="52">+L88-Q88</f>
        <v>176169.27777777705</v>
      </c>
      <c r="S88" s="49">
        <f t="shared" ref="S88:S93" si="53">$E88+(($F88-1)/12)</f>
        <v>2012.3333333333333</v>
      </c>
      <c r="T88" s="49">
        <f t="shared" ref="T88:T93" si="54">($M$7+1)-($M$4/12)</f>
        <v>2024</v>
      </c>
      <c r="U88" s="49">
        <f t="shared" ref="U88:U93" si="55">$K88+(($F88-1)/12)</f>
        <v>2042.3333333333333</v>
      </c>
      <c r="V88" s="49">
        <f t="shared" ref="V88:V93" si="56">$M$6+($M$5/12)</f>
        <v>2023</v>
      </c>
      <c r="W88" s="50"/>
    </row>
    <row r="89" spans="2:23" s="2" customFormat="1" ht="15" x14ac:dyDescent="0.25">
      <c r="B89" s="31" t="s">
        <v>78</v>
      </c>
      <c r="D89" s="2" t="s">
        <v>53</v>
      </c>
      <c r="E89" s="31">
        <v>2014</v>
      </c>
      <c r="F89" s="31">
        <v>8</v>
      </c>
      <c r="G89" s="31">
        <v>31</v>
      </c>
      <c r="H89" s="20">
        <v>0</v>
      </c>
      <c r="I89" s="31" t="s">
        <v>46</v>
      </c>
      <c r="J89" s="31">
        <v>30</v>
      </c>
      <c r="K89" s="2">
        <f>+E89+J89</f>
        <v>2044</v>
      </c>
      <c r="L89" s="47">
        <f>78633+39316</f>
        <v>117949</v>
      </c>
      <c r="M89" s="47">
        <f>L89/J89/12</f>
        <v>327.63611111111112</v>
      </c>
      <c r="N89" s="47">
        <f>IF(U89&lt;=T89,0,L89/J89)</f>
        <v>3931.6333333333332</v>
      </c>
      <c r="O89" s="48">
        <v>1</v>
      </c>
      <c r="P89" s="47">
        <f>IF(S89&gt;T89,0,IF(U89&lt;V89,L89,IF((AND((U89&gt;=V89),(U89&lt;=T89))),(L89-N89),IF((AND((V89&lt;=S89),(T89&gt;=S89))),0,IF(U89&gt;T89,((V89-S89)*12)*M89,0)))))</f>
        <v>33091.247222222519</v>
      </c>
      <c r="Q89" s="47">
        <f>P89+N89</f>
        <v>37022.88055555585</v>
      </c>
      <c r="R89" s="47">
        <f>+L89-Q89</f>
        <v>80926.11944444415</v>
      </c>
      <c r="S89" s="49">
        <f>$E89+(($F89-1)/12)</f>
        <v>2014.5833333333333</v>
      </c>
      <c r="T89" s="49">
        <f t="shared" si="54"/>
        <v>2024</v>
      </c>
      <c r="U89" s="49">
        <f>$K89+(($F89-1)/12)</f>
        <v>2044.5833333333333</v>
      </c>
      <c r="V89" s="49">
        <f t="shared" si="56"/>
        <v>2023</v>
      </c>
      <c r="W89" s="50"/>
    </row>
    <row r="90" spans="2:23" s="2" customFormat="1" ht="15" x14ac:dyDescent="0.25">
      <c r="B90" s="31" t="s">
        <v>78</v>
      </c>
      <c r="D90" s="2" t="s">
        <v>52</v>
      </c>
      <c r="E90" s="31">
        <v>2014</v>
      </c>
      <c r="F90" s="31">
        <v>6</v>
      </c>
      <c r="G90" s="31">
        <v>11</v>
      </c>
      <c r="H90" s="20">
        <v>0</v>
      </c>
      <c r="I90" s="31" t="s">
        <v>46</v>
      </c>
      <c r="J90" s="31">
        <v>30</v>
      </c>
      <c r="K90" s="2">
        <f t="shared" si="47"/>
        <v>2044</v>
      </c>
      <c r="L90" s="47">
        <f>58386+29193</f>
        <v>87579</v>
      </c>
      <c r="M90" s="47">
        <f t="shared" si="48"/>
        <v>243.27500000000001</v>
      </c>
      <c r="N90" s="47">
        <f t="shared" si="49"/>
        <v>2919.3</v>
      </c>
      <c r="O90" s="48">
        <v>1</v>
      </c>
      <c r="P90" s="47">
        <f t="shared" si="50"/>
        <v>25057.324999999779</v>
      </c>
      <c r="Q90" s="47">
        <f t="shared" si="51"/>
        <v>27976.624999999778</v>
      </c>
      <c r="R90" s="47">
        <f t="shared" si="52"/>
        <v>59602.375000000218</v>
      </c>
      <c r="S90" s="49">
        <f t="shared" si="53"/>
        <v>2014.4166666666667</v>
      </c>
      <c r="T90" s="49">
        <f t="shared" si="54"/>
        <v>2024</v>
      </c>
      <c r="U90" s="49">
        <f t="shared" si="55"/>
        <v>2044.4166666666667</v>
      </c>
      <c r="V90" s="49">
        <f t="shared" si="56"/>
        <v>2023</v>
      </c>
      <c r="W90" s="50"/>
    </row>
    <row r="91" spans="2:23" s="2" customFormat="1" ht="15" x14ac:dyDescent="0.25">
      <c r="B91" s="31" t="s">
        <v>78</v>
      </c>
      <c r="D91" s="2" t="s">
        <v>54</v>
      </c>
      <c r="E91" s="31">
        <v>2016</v>
      </c>
      <c r="F91" s="31">
        <v>5</v>
      </c>
      <c r="G91" s="31">
        <v>29</v>
      </c>
      <c r="H91" s="20">
        <v>0</v>
      </c>
      <c r="I91" s="31" t="s">
        <v>46</v>
      </c>
      <c r="J91" s="31">
        <v>30</v>
      </c>
      <c r="K91" s="2">
        <f>+E91+J91</f>
        <v>2046</v>
      </c>
      <c r="L91" s="47">
        <f>68783+34392</f>
        <v>103175</v>
      </c>
      <c r="M91" s="47">
        <f>L91/J91/12</f>
        <v>286.59722222222223</v>
      </c>
      <c r="N91" s="47">
        <f>IF(U91&lt;=T91,0,L91/J91)</f>
        <v>3439.1666666666665</v>
      </c>
      <c r="O91" s="48">
        <v>1</v>
      </c>
      <c r="P91" s="47">
        <f>IF(S91&gt;T91,0,IF(U91&lt;V91,L91,IF((AND((U91&gt;=V91),(U91&lt;=T91))),(L91-N91),IF((AND((V91&lt;=S91),(T91&gt;=S91))),0,IF(U91&gt;T91,((V91-S91)*12)*M91,0)))))</f>
        <v>22927.777777778039</v>
      </c>
      <c r="Q91" s="47">
        <f>P91+N91</f>
        <v>26366.944444444707</v>
      </c>
      <c r="R91" s="47">
        <f>+L91-Q91</f>
        <v>76808.0555555553</v>
      </c>
      <c r="S91" s="49">
        <f>$E91+(($F91-1)/12)</f>
        <v>2016.3333333333333</v>
      </c>
      <c r="T91" s="49">
        <f t="shared" si="54"/>
        <v>2024</v>
      </c>
      <c r="U91" s="49">
        <f>$K91+(($F91-1)/12)</f>
        <v>2046.3333333333333</v>
      </c>
      <c r="V91" s="49">
        <f t="shared" si="56"/>
        <v>2023</v>
      </c>
      <c r="W91" s="50"/>
    </row>
    <row r="92" spans="2:23" s="2" customFormat="1" ht="15" x14ac:dyDescent="0.25">
      <c r="B92" s="31" t="s">
        <v>78</v>
      </c>
      <c r="D92" s="2" t="s">
        <v>55</v>
      </c>
      <c r="E92" s="31">
        <v>2019</v>
      </c>
      <c r="F92" s="31">
        <v>1</v>
      </c>
      <c r="G92" s="31">
        <v>1</v>
      </c>
      <c r="H92" s="20">
        <v>0</v>
      </c>
      <c r="I92" s="31" t="s">
        <v>46</v>
      </c>
      <c r="J92" s="31">
        <v>30</v>
      </c>
      <c r="K92" s="2">
        <f>+E92+J92</f>
        <v>2049</v>
      </c>
      <c r="L92" s="47">
        <v>543871</v>
      </c>
      <c r="M92" s="47">
        <f>L92/J92/12</f>
        <v>1510.7527777777777</v>
      </c>
      <c r="N92" s="47">
        <f>IF(U92&lt;=T92,0,L92/J92)</f>
        <v>18129.033333333333</v>
      </c>
      <c r="O92" s="48">
        <v>1</v>
      </c>
      <c r="P92" s="47">
        <f>IF(S92&gt;T92,0,IF(U92&lt;V92,L92,IF((AND((U92&gt;=V92),(U92&lt;=T92))),(L92-N92),IF((AND((V92&lt;=S92),(T92&gt;=S92))),0,IF(U92&gt;T92,((V92-S92)*12)*M92,0)))))</f>
        <v>72516.133333333331</v>
      </c>
      <c r="Q92" s="47">
        <f>P92+N92</f>
        <v>90645.166666666657</v>
      </c>
      <c r="R92" s="47">
        <f>+L92-Q92</f>
        <v>453225.83333333337</v>
      </c>
      <c r="S92" s="49">
        <f>$E92+(($F92-1)/12)</f>
        <v>2019</v>
      </c>
      <c r="T92" s="49">
        <f t="shared" si="54"/>
        <v>2024</v>
      </c>
      <c r="U92" s="49">
        <f>$K92+(($F92-1)/12)</f>
        <v>2049</v>
      </c>
      <c r="V92" s="49">
        <f t="shared" si="56"/>
        <v>2023</v>
      </c>
      <c r="W92" s="50"/>
    </row>
    <row r="93" spans="2:23" s="2" customFormat="1" ht="15" x14ac:dyDescent="0.25">
      <c r="B93" s="31" t="s">
        <v>78</v>
      </c>
      <c r="D93" s="2" t="s">
        <v>56</v>
      </c>
      <c r="E93" s="31">
        <v>2023</v>
      </c>
      <c r="F93" s="31">
        <v>3</v>
      </c>
      <c r="G93" s="31">
        <v>20</v>
      </c>
      <c r="H93" s="94">
        <v>0</v>
      </c>
      <c r="I93" s="31" t="s">
        <v>46</v>
      </c>
      <c r="J93" s="31">
        <v>30</v>
      </c>
      <c r="K93" s="2">
        <f t="shared" si="47"/>
        <v>2053</v>
      </c>
      <c r="L93" s="91">
        <v>317108</v>
      </c>
      <c r="M93" s="91">
        <f t="shared" si="48"/>
        <v>880.8555555555555</v>
      </c>
      <c r="N93" s="91">
        <f t="shared" si="49"/>
        <v>10570.266666666666</v>
      </c>
      <c r="O93" s="48">
        <v>1</v>
      </c>
      <c r="P93" s="91">
        <f t="shared" si="50"/>
        <v>0</v>
      </c>
      <c r="Q93" s="91">
        <f t="shared" si="51"/>
        <v>10570.266666666666</v>
      </c>
      <c r="R93" s="91">
        <f t="shared" si="52"/>
        <v>306537.73333333334</v>
      </c>
      <c r="S93" s="49">
        <f t="shared" si="53"/>
        <v>2023.1666666666667</v>
      </c>
      <c r="T93" s="49">
        <f t="shared" si="54"/>
        <v>2024</v>
      </c>
      <c r="U93" s="49">
        <f t="shared" si="55"/>
        <v>2053.1666666666665</v>
      </c>
      <c r="V93" s="49">
        <f t="shared" si="56"/>
        <v>2023</v>
      </c>
      <c r="W93" s="50"/>
    </row>
    <row r="94" spans="2:23" s="2" customFormat="1" ht="15" x14ac:dyDescent="0.25">
      <c r="B94" s="31"/>
      <c r="E94" s="31"/>
      <c r="F94" s="31"/>
      <c r="G94" s="31"/>
      <c r="H94" s="20"/>
      <c r="I94" s="31"/>
      <c r="J94" s="31"/>
      <c r="L94" s="47"/>
      <c r="M94" s="47"/>
      <c r="N94" s="47"/>
      <c r="O94" s="48"/>
      <c r="P94" s="47"/>
      <c r="Q94" s="47"/>
      <c r="R94" s="47"/>
      <c r="S94" s="49"/>
      <c r="T94" s="49"/>
      <c r="U94" s="49"/>
      <c r="V94" s="49"/>
      <c r="W94" s="50"/>
    </row>
    <row r="95" spans="2:23" s="53" customFormat="1" ht="15" x14ac:dyDescent="0.25">
      <c r="B95" s="27"/>
      <c r="C95" s="114" t="s">
        <v>57</v>
      </c>
      <c r="D95" s="114"/>
      <c r="E95" s="27"/>
      <c r="F95" s="27"/>
      <c r="G95" s="27"/>
      <c r="H95" s="52"/>
      <c r="I95" s="27"/>
      <c r="J95" s="27"/>
      <c r="L95" s="55">
        <f>SUM(L88:L94)</f>
        <v>1457959</v>
      </c>
      <c r="M95" s="54"/>
      <c r="N95" s="55">
        <f>SUM(N88:N94)</f>
        <v>48598.633333333331</v>
      </c>
      <c r="O95" s="56"/>
      <c r="P95" s="55">
        <f>SUM(P88:P94)</f>
        <v>256090.9722222233</v>
      </c>
      <c r="Q95" s="55">
        <f>SUM(Q88:Q94)</f>
        <v>304689.6055555566</v>
      </c>
      <c r="R95" s="55">
        <f>SUM(R88:R94)</f>
        <v>1153269.3944444435</v>
      </c>
      <c r="S95" s="57"/>
      <c r="T95" s="57"/>
      <c r="U95" s="57"/>
      <c r="V95" s="57"/>
      <c r="W95" s="58"/>
    </row>
    <row r="96" spans="2:23" s="2" customFormat="1" ht="15" x14ac:dyDescent="0.25">
      <c r="B96" s="31"/>
      <c r="E96" s="31"/>
      <c r="F96" s="31"/>
      <c r="G96" s="31"/>
      <c r="H96" s="20"/>
      <c r="I96" s="31"/>
      <c r="J96" s="31"/>
      <c r="K96" s="87"/>
      <c r="L96" s="97"/>
      <c r="M96" s="47"/>
      <c r="N96" s="47"/>
      <c r="O96" s="48"/>
      <c r="P96" s="47"/>
      <c r="Q96" s="47"/>
      <c r="R96" s="47"/>
      <c r="S96" s="49"/>
      <c r="T96" s="49"/>
      <c r="U96" s="49"/>
      <c r="V96" s="49"/>
      <c r="W96" s="50"/>
    </row>
    <row r="97" spans="2:23" s="2" customFormat="1" ht="15" x14ac:dyDescent="0.25">
      <c r="B97" s="31"/>
      <c r="E97" s="31"/>
      <c r="F97" s="31"/>
      <c r="G97" s="31"/>
      <c r="H97" s="20"/>
      <c r="I97" s="31"/>
      <c r="J97" s="31"/>
      <c r="K97" s="87"/>
      <c r="L97" s="97"/>
      <c r="M97" s="47"/>
      <c r="N97" s="47"/>
      <c r="O97" s="48"/>
      <c r="P97" s="47"/>
      <c r="Q97" s="47"/>
      <c r="R97" s="47"/>
      <c r="S97" s="49"/>
      <c r="T97" s="49"/>
      <c r="U97" s="49"/>
      <c r="V97" s="49"/>
      <c r="W97" s="50"/>
    </row>
    <row r="98" spans="2:23" s="2" customFormat="1" ht="15" x14ac:dyDescent="0.25">
      <c r="B98" s="31"/>
      <c r="C98" s="113" t="s">
        <v>58</v>
      </c>
      <c r="D98" s="113"/>
      <c r="E98" s="31"/>
      <c r="F98" s="31"/>
      <c r="G98" s="31"/>
      <c r="H98" s="20"/>
      <c r="I98" s="31"/>
      <c r="J98" s="31"/>
      <c r="L98" s="47"/>
      <c r="M98" s="47"/>
      <c r="N98" s="47"/>
      <c r="O98" s="48"/>
      <c r="P98" s="47"/>
      <c r="Q98" s="47"/>
      <c r="R98" s="47"/>
      <c r="S98" s="49"/>
      <c r="T98" s="49"/>
      <c r="U98" s="49"/>
      <c r="V98" s="49"/>
      <c r="W98" s="50"/>
    </row>
    <row r="99" spans="2:23" s="2" customFormat="1" ht="15" x14ac:dyDescent="0.25">
      <c r="B99" s="31" t="s">
        <v>78</v>
      </c>
      <c r="D99" s="2" t="s">
        <v>79</v>
      </c>
      <c r="E99" s="31">
        <v>2015</v>
      </c>
      <c r="F99" s="31">
        <v>11</v>
      </c>
      <c r="G99" s="31">
        <v>13</v>
      </c>
      <c r="H99" s="20">
        <v>0</v>
      </c>
      <c r="I99" s="31" t="s">
        <v>46</v>
      </c>
      <c r="J99" s="31">
        <v>20</v>
      </c>
      <c r="K99" s="2">
        <f t="shared" ref="K99:K100" si="57">+E99+J99</f>
        <v>2035</v>
      </c>
      <c r="L99" s="47">
        <f>33377+19752</f>
        <v>53129</v>
      </c>
      <c r="M99" s="47">
        <f t="shared" ref="M99:M100" si="58">L99/J99/12</f>
        <v>221.37083333333331</v>
      </c>
      <c r="N99" s="47">
        <f t="shared" ref="N99:N100" si="59">IF(U99&lt;=T99,0,L99/J99)</f>
        <v>2656.45</v>
      </c>
      <c r="O99" s="48">
        <v>1</v>
      </c>
      <c r="P99" s="47">
        <f t="shared" ref="P99:P100" si="60">IF(S99&gt;T99,0,IF(U99&lt;V99,L99,IF((AND((U99&gt;=V99),(U99&lt;=T99))),(L99-N99),IF((AND((V99&lt;=S99),(T99&gt;=S99))),0,IF(U99&gt;T99,((V99-S99)*12)*M99,0)))))</f>
        <v>19037.891666666867</v>
      </c>
      <c r="Q99" s="47">
        <f t="shared" ref="Q99:Q100" si="61">P99+N99</f>
        <v>21694.341666666867</v>
      </c>
      <c r="R99" s="47">
        <f t="shared" ref="R99:R100" si="62">+L99-Q99</f>
        <v>31434.658333333133</v>
      </c>
      <c r="S99" s="49">
        <f>$E99+(($F99-1)/12)</f>
        <v>2015.8333333333333</v>
      </c>
      <c r="T99" s="49">
        <f>($M$7+1)-($M$4/12)</f>
        <v>2024</v>
      </c>
      <c r="U99" s="49">
        <f>$K99+(($F99-1)/12)</f>
        <v>2035.8333333333333</v>
      </c>
      <c r="V99" s="49">
        <f>$M$6+($M$5/12)</f>
        <v>2023</v>
      </c>
      <c r="W99" s="50"/>
    </row>
    <row r="100" spans="2:23" s="2" customFormat="1" ht="15" x14ac:dyDescent="0.25">
      <c r="B100" s="31" t="s">
        <v>78</v>
      </c>
      <c r="D100" s="2" t="s">
        <v>80</v>
      </c>
      <c r="E100" s="31">
        <v>2021</v>
      </c>
      <c r="F100" s="31">
        <v>1</v>
      </c>
      <c r="G100" s="31">
        <v>18</v>
      </c>
      <c r="H100" s="20">
        <v>0</v>
      </c>
      <c r="I100" s="31" t="s">
        <v>46</v>
      </c>
      <c r="J100" s="31">
        <v>20</v>
      </c>
      <c r="K100" s="2">
        <f t="shared" si="57"/>
        <v>2041</v>
      </c>
      <c r="L100" s="91">
        <v>30063</v>
      </c>
      <c r="M100" s="47">
        <f t="shared" si="58"/>
        <v>125.2625</v>
      </c>
      <c r="N100" s="47">
        <f t="shared" si="59"/>
        <v>1503.15</v>
      </c>
      <c r="O100" s="48">
        <v>1</v>
      </c>
      <c r="P100" s="47">
        <f t="shared" si="60"/>
        <v>3006.3</v>
      </c>
      <c r="Q100" s="47">
        <f t="shared" si="61"/>
        <v>4509.4500000000007</v>
      </c>
      <c r="R100" s="47">
        <f t="shared" si="62"/>
        <v>25553.55</v>
      </c>
      <c r="S100" s="49">
        <f>$E100+(($F100-1)/12)</f>
        <v>2021</v>
      </c>
      <c r="T100" s="49">
        <f>($M$7+1)-($M$4/12)</f>
        <v>2024</v>
      </c>
      <c r="U100" s="49">
        <f>$K100+(($F100-1)/12)</f>
        <v>2041</v>
      </c>
      <c r="V100" s="49">
        <f>$M$6+($M$5/12)</f>
        <v>2023</v>
      </c>
      <c r="W100" s="50"/>
    </row>
    <row r="101" spans="2:23" s="2" customFormat="1" ht="15" x14ac:dyDescent="0.25">
      <c r="B101" s="31"/>
      <c r="E101" s="31"/>
      <c r="F101" s="31"/>
      <c r="G101" s="31"/>
      <c r="H101" s="20"/>
      <c r="I101" s="31"/>
      <c r="J101" s="31"/>
      <c r="L101" s="47"/>
      <c r="M101" s="47"/>
      <c r="N101" s="47"/>
      <c r="O101" s="48"/>
      <c r="P101" s="47"/>
      <c r="Q101" s="47"/>
      <c r="R101" s="47"/>
      <c r="S101" s="49"/>
      <c r="T101" s="49"/>
      <c r="U101" s="49"/>
      <c r="V101" s="49"/>
      <c r="W101" s="50"/>
    </row>
    <row r="102" spans="2:23" s="53" customFormat="1" ht="15" x14ac:dyDescent="0.25">
      <c r="B102" s="27"/>
      <c r="C102" s="114" t="s">
        <v>61</v>
      </c>
      <c r="D102" s="114"/>
      <c r="E102" s="27"/>
      <c r="F102" s="27"/>
      <c r="G102" s="27"/>
      <c r="H102" s="52"/>
      <c r="I102" s="27"/>
      <c r="J102" s="27"/>
      <c r="L102" s="55">
        <f>SUM(L99:L101)</f>
        <v>83192</v>
      </c>
      <c r="M102" s="54"/>
      <c r="N102" s="55">
        <f>SUM(N99:N101)</f>
        <v>4159.6000000000004</v>
      </c>
      <c r="O102" s="56"/>
      <c r="P102" s="55">
        <f>SUM(P99:P101)</f>
        <v>22044.191666666866</v>
      </c>
      <c r="Q102" s="55">
        <f>SUM(Q99:Q101)</f>
        <v>26203.791666666868</v>
      </c>
      <c r="R102" s="55">
        <f>SUM(R99:R101)</f>
        <v>56988.208333333132</v>
      </c>
      <c r="S102" s="57"/>
      <c r="T102" s="57"/>
      <c r="U102" s="57"/>
      <c r="V102" s="57"/>
      <c r="W102" s="58"/>
    </row>
    <row r="103" spans="2:23" s="2" customFormat="1" ht="15" x14ac:dyDescent="0.25">
      <c r="B103" s="31"/>
      <c r="E103" s="31"/>
      <c r="F103" s="31"/>
      <c r="G103" s="31"/>
      <c r="H103" s="20"/>
      <c r="I103" s="31"/>
      <c r="J103" s="31"/>
      <c r="K103" s="87"/>
      <c r="L103" s="97"/>
      <c r="M103" s="47"/>
      <c r="N103" s="47"/>
      <c r="O103" s="48"/>
      <c r="P103" s="47"/>
      <c r="Q103" s="47"/>
      <c r="R103" s="47"/>
      <c r="S103" s="49"/>
      <c r="T103" s="49"/>
      <c r="U103" s="49"/>
      <c r="V103" s="49"/>
      <c r="W103" s="50"/>
    </row>
    <row r="104" spans="2:23" s="2" customFormat="1" ht="15" x14ac:dyDescent="0.25">
      <c r="B104" s="31"/>
      <c r="E104" s="31"/>
      <c r="F104" s="31"/>
      <c r="G104" s="31"/>
      <c r="H104" s="20"/>
      <c r="I104" s="31"/>
      <c r="J104" s="31"/>
      <c r="K104" s="87"/>
      <c r="L104" s="97"/>
      <c r="M104" s="47"/>
      <c r="N104" s="47"/>
      <c r="O104" s="48"/>
      <c r="P104" s="47"/>
      <c r="Q104" s="47"/>
      <c r="R104" s="47"/>
      <c r="S104" s="49"/>
      <c r="T104" s="49"/>
      <c r="U104" s="49"/>
      <c r="V104" s="49"/>
      <c r="W104" s="50"/>
    </row>
    <row r="105" spans="2:23" s="2" customFormat="1" ht="15" x14ac:dyDescent="0.25">
      <c r="B105" s="31"/>
      <c r="C105" s="113" t="s">
        <v>62</v>
      </c>
      <c r="D105" s="113"/>
      <c r="E105" s="31"/>
      <c r="F105" s="31"/>
      <c r="G105" s="31"/>
      <c r="H105" s="20"/>
      <c r="I105" s="31"/>
      <c r="J105" s="31"/>
      <c r="L105" s="47"/>
      <c r="M105" s="47"/>
      <c r="N105" s="47"/>
      <c r="O105" s="48"/>
      <c r="P105" s="47"/>
      <c r="Q105" s="47"/>
      <c r="R105" s="47"/>
      <c r="S105" s="49"/>
      <c r="T105" s="49"/>
      <c r="U105" s="49"/>
      <c r="V105" s="49"/>
      <c r="W105" s="50"/>
    </row>
    <row r="106" spans="2:23" s="2" customFormat="1" ht="15" x14ac:dyDescent="0.25">
      <c r="B106" s="31" t="s">
        <v>78</v>
      </c>
      <c r="D106" s="2" t="s">
        <v>81</v>
      </c>
      <c r="E106" s="31">
        <v>2015</v>
      </c>
      <c r="F106" s="31">
        <v>12</v>
      </c>
      <c r="G106" s="31">
        <v>31</v>
      </c>
      <c r="H106" s="94">
        <v>0</v>
      </c>
      <c r="I106" s="31" t="s">
        <v>46</v>
      </c>
      <c r="J106" s="31">
        <v>20</v>
      </c>
      <c r="K106" s="2">
        <f t="shared" ref="K106:K108" si="63">+E106+J106</f>
        <v>2035</v>
      </c>
      <c r="L106" s="91">
        <v>16600</v>
      </c>
      <c r="M106" s="91">
        <f t="shared" ref="M106:M108" si="64">L106/J106/12</f>
        <v>69.166666666666671</v>
      </c>
      <c r="N106" s="91">
        <f t="shared" ref="N106:N108" si="65">IF(U106&lt;=T106,0,L106/J106)</f>
        <v>830</v>
      </c>
      <c r="O106" s="48">
        <v>1</v>
      </c>
      <c r="P106" s="91">
        <f t="shared" ref="P106:P108" si="66">IF(S106&gt;T106,0,IF(U106&lt;V106,L106,IF((AND((U106&gt;=V106),(U106&lt;=T106))),(L106-N106),IF((AND((V106&lt;=S106),(T106&gt;=S106))),0,IF(U106&gt;T106,((V106-S106)*12)*M106,0)))))</f>
        <v>5879.1666666666042</v>
      </c>
      <c r="Q106" s="91">
        <f t="shared" ref="Q106:Q108" si="67">P106+N106</f>
        <v>6709.1666666666042</v>
      </c>
      <c r="R106" s="91">
        <f t="shared" ref="R106:R108" si="68">+L106-Q106</f>
        <v>9890.8333333333958</v>
      </c>
      <c r="S106" s="49">
        <f t="shared" ref="S106:S108" si="69">$E106+(($F106-1)/12)</f>
        <v>2015.9166666666667</v>
      </c>
      <c r="T106" s="49">
        <f>($M$7+1)-($M$4/12)</f>
        <v>2024</v>
      </c>
      <c r="U106" s="49">
        <f t="shared" ref="U106:U108" si="70">$K106+(($F106-1)/12)</f>
        <v>2035.9166666666667</v>
      </c>
      <c r="V106" s="49">
        <f>$M$6+($M$5/12)</f>
        <v>2023</v>
      </c>
      <c r="W106" s="50"/>
    </row>
    <row r="107" spans="2:23" s="2" customFormat="1" ht="15" x14ac:dyDescent="0.25">
      <c r="B107" s="31" t="s">
        <v>78</v>
      </c>
      <c r="D107" s="2" t="s">
        <v>82</v>
      </c>
      <c r="E107" s="31">
        <v>2016</v>
      </c>
      <c r="F107" s="31">
        <v>8</v>
      </c>
      <c r="G107" s="31">
        <v>23</v>
      </c>
      <c r="H107" s="20">
        <v>0</v>
      </c>
      <c r="I107" s="31" t="s">
        <v>46</v>
      </c>
      <c r="J107" s="31">
        <v>20</v>
      </c>
      <c r="K107" s="2">
        <f t="shared" si="63"/>
        <v>2036</v>
      </c>
      <c r="L107" s="47">
        <v>20770</v>
      </c>
      <c r="M107" s="47">
        <f t="shared" si="64"/>
        <v>86.541666666666671</v>
      </c>
      <c r="N107" s="47">
        <f t="shared" si="65"/>
        <v>1038.5</v>
      </c>
      <c r="O107" s="48">
        <v>1</v>
      </c>
      <c r="P107" s="47">
        <f t="shared" si="66"/>
        <v>6663.7083333334122</v>
      </c>
      <c r="Q107" s="47">
        <f t="shared" si="67"/>
        <v>7702.2083333334122</v>
      </c>
      <c r="R107" s="47">
        <f t="shared" si="68"/>
        <v>13067.791666666588</v>
      </c>
      <c r="S107" s="49">
        <f t="shared" si="69"/>
        <v>2016.5833333333333</v>
      </c>
      <c r="T107" s="49">
        <f>($M$7+1)-($M$4/12)</f>
        <v>2024</v>
      </c>
      <c r="U107" s="49">
        <f t="shared" si="70"/>
        <v>2036.5833333333333</v>
      </c>
      <c r="V107" s="49">
        <f>$M$6+($M$5/12)</f>
        <v>2023</v>
      </c>
      <c r="W107" s="50"/>
    </row>
    <row r="108" spans="2:23" s="2" customFormat="1" ht="15" x14ac:dyDescent="0.25">
      <c r="B108" s="31" t="s">
        <v>78</v>
      </c>
      <c r="D108" s="2" t="s">
        <v>83</v>
      </c>
      <c r="E108" s="31">
        <v>2021</v>
      </c>
      <c r="F108" s="31">
        <v>6</v>
      </c>
      <c r="G108" s="31">
        <v>7</v>
      </c>
      <c r="H108" s="94">
        <v>0</v>
      </c>
      <c r="I108" s="31" t="s">
        <v>46</v>
      </c>
      <c r="J108" s="31">
        <v>20</v>
      </c>
      <c r="K108" s="2">
        <f t="shared" si="63"/>
        <v>2041</v>
      </c>
      <c r="L108" s="91">
        <v>60000</v>
      </c>
      <c r="M108" s="91">
        <f t="shared" si="64"/>
        <v>250</v>
      </c>
      <c r="N108" s="91">
        <f t="shared" si="65"/>
        <v>3000</v>
      </c>
      <c r="O108" s="48">
        <v>1</v>
      </c>
      <c r="P108" s="91">
        <f t="shared" si="66"/>
        <v>4749.9999999997726</v>
      </c>
      <c r="Q108" s="91">
        <f t="shared" si="67"/>
        <v>7749.9999999997726</v>
      </c>
      <c r="R108" s="91">
        <f t="shared" si="68"/>
        <v>52250.000000000226</v>
      </c>
      <c r="S108" s="49">
        <f t="shared" si="69"/>
        <v>2021.4166666666667</v>
      </c>
      <c r="T108" s="49">
        <f>($M$7+1)-($M$4/12)</f>
        <v>2024</v>
      </c>
      <c r="U108" s="49">
        <f t="shared" si="70"/>
        <v>2041.4166666666667</v>
      </c>
      <c r="V108" s="49">
        <f>$M$6+($M$5/12)</f>
        <v>2023</v>
      </c>
      <c r="W108" s="50"/>
    </row>
    <row r="109" spans="2:23" s="2" customFormat="1" ht="15" x14ac:dyDescent="0.25">
      <c r="B109" s="31"/>
      <c r="E109" s="31"/>
      <c r="F109" s="31"/>
      <c r="G109" s="31"/>
      <c r="H109" s="20"/>
      <c r="I109" s="31"/>
      <c r="J109" s="31"/>
      <c r="L109" s="47"/>
      <c r="M109" s="47"/>
      <c r="N109" s="47"/>
      <c r="O109" s="48"/>
      <c r="P109" s="47"/>
      <c r="Q109" s="47"/>
      <c r="R109" s="47"/>
      <c r="S109" s="49"/>
      <c r="T109" s="49"/>
      <c r="U109" s="49"/>
      <c r="V109" s="49"/>
      <c r="W109" s="50"/>
    </row>
    <row r="110" spans="2:23" s="53" customFormat="1" ht="15" x14ac:dyDescent="0.25">
      <c r="B110" s="27"/>
      <c r="C110" s="114" t="s">
        <v>66</v>
      </c>
      <c r="D110" s="114"/>
      <c r="E110" s="27"/>
      <c r="F110" s="27"/>
      <c r="G110" s="27"/>
      <c r="H110" s="52"/>
      <c r="I110" s="27"/>
      <c r="J110" s="27"/>
      <c r="K110" s="90"/>
      <c r="L110" s="55">
        <f>SUM(L106:L109)</f>
        <v>97370</v>
      </c>
      <c r="M110" s="54"/>
      <c r="N110" s="55">
        <f>SUM(N106:N109)</f>
        <v>4868.5</v>
      </c>
      <c r="O110" s="56"/>
      <c r="P110" s="55">
        <f>SUM(P106:P109)</f>
        <v>17292.874999999789</v>
      </c>
      <c r="Q110" s="55">
        <f>SUM(Q106:Q109)</f>
        <v>22161.374999999789</v>
      </c>
      <c r="R110" s="55">
        <f>SUM(R106:R109)</f>
        <v>75208.625000000204</v>
      </c>
      <c r="S110" s="57"/>
      <c r="T110" s="57"/>
      <c r="U110" s="57"/>
      <c r="V110" s="57"/>
      <c r="W110" s="58"/>
    </row>
    <row r="111" spans="2:23" s="2" customFormat="1" ht="15" x14ac:dyDescent="0.25">
      <c r="B111" s="31"/>
      <c r="E111" s="31"/>
      <c r="F111" s="31"/>
      <c r="G111" s="31"/>
      <c r="H111" s="20"/>
      <c r="I111" s="31"/>
      <c r="J111" s="31"/>
      <c r="K111" s="87"/>
      <c r="L111" s="97"/>
      <c r="M111" s="47"/>
      <c r="N111" s="47"/>
      <c r="O111" s="48"/>
      <c r="P111" s="47"/>
      <c r="Q111" s="47"/>
      <c r="R111" s="47"/>
      <c r="S111" s="49"/>
      <c r="T111" s="49"/>
      <c r="U111" s="49"/>
      <c r="V111" s="49"/>
      <c r="W111" s="50"/>
    </row>
    <row r="112" spans="2:23" s="2" customFormat="1" ht="15" x14ac:dyDescent="0.25">
      <c r="B112" s="31"/>
      <c r="E112" s="31"/>
      <c r="F112" s="31"/>
      <c r="G112" s="31"/>
      <c r="H112" s="20"/>
      <c r="I112" s="31"/>
      <c r="J112" s="31"/>
      <c r="K112" s="87"/>
      <c r="L112" s="97"/>
      <c r="M112" s="47"/>
      <c r="N112" s="47"/>
      <c r="O112" s="48"/>
      <c r="P112" s="47"/>
      <c r="Q112" s="47"/>
      <c r="R112" s="47"/>
      <c r="S112" s="49"/>
      <c r="T112" s="49"/>
      <c r="U112" s="49"/>
      <c r="V112" s="49"/>
      <c r="W112" s="50"/>
    </row>
    <row r="113" spans="2:23" s="2" customFormat="1" ht="15" x14ac:dyDescent="0.25">
      <c r="B113" s="31"/>
      <c r="C113" s="113" t="s">
        <v>67</v>
      </c>
      <c r="D113" s="113"/>
      <c r="E113" s="31"/>
      <c r="F113" s="31"/>
      <c r="G113" s="31"/>
      <c r="H113" s="20"/>
      <c r="I113" s="31"/>
      <c r="J113" s="31"/>
      <c r="L113" s="47"/>
      <c r="M113" s="47"/>
      <c r="N113" s="47"/>
      <c r="O113" s="48"/>
      <c r="P113" s="47"/>
      <c r="Q113" s="47"/>
      <c r="R113" s="47"/>
      <c r="S113" s="49"/>
      <c r="T113" s="49"/>
      <c r="U113" s="49"/>
      <c r="V113" s="49"/>
      <c r="W113" s="50"/>
    </row>
    <row r="114" spans="2:23" s="2" customFormat="1" ht="15" x14ac:dyDescent="0.25">
      <c r="B114" s="31" t="s">
        <v>78</v>
      </c>
      <c r="D114" s="2" t="s">
        <v>84</v>
      </c>
      <c r="E114" s="31">
        <v>2017</v>
      </c>
      <c r="F114" s="31">
        <v>6</v>
      </c>
      <c r="G114" s="31">
        <v>28</v>
      </c>
      <c r="H114" s="94">
        <v>0</v>
      </c>
      <c r="I114" s="31" t="s">
        <v>46</v>
      </c>
      <c r="J114" s="31">
        <v>20</v>
      </c>
      <c r="K114" s="2">
        <f t="shared" ref="K114" si="71">+E114+J114</f>
        <v>2037</v>
      </c>
      <c r="L114" s="91">
        <v>1494.77</v>
      </c>
      <c r="M114" s="91">
        <f t="shared" ref="M114" si="72">L114/J114/12</f>
        <v>6.2282083333333338</v>
      </c>
      <c r="N114" s="91">
        <f t="shared" ref="N114" si="73">IF(U114&lt;=T114,0,L114/J114)</f>
        <v>74.738500000000002</v>
      </c>
      <c r="O114" s="48">
        <v>1</v>
      </c>
      <c r="P114" s="91">
        <f t="shared" ref="P114" si="74">IF(S114&gt;T114,0,IF(U114&lt;V114,L114,IF((AND((U114&gt;=V114),(U114&lt;=T114))),(L114-N114),IF((AND((V114&lt;=S114),(T114&gt;=S114))),0,IF(U114&gt;T114,((V114-S114)*12)*M114,0)))))</f>
        <v>417.28995833332772</v>
      </c>
      <c r="Q114" s="91">
        <f t="shared" ref="Q114" si="75">P114+N114</f>
        <v>492.02845833332771</v>
      </c>
      <c r="R114" s="91">
        <f t="shared" ref="R114" si="76">+L114-Q114</f>
        <v>1002.7415416666722</v>
      </c>
      <c r="S114" s="49">
        <f t="shared" ref="S114" si="77">$E114+(($F114-1)/12)</f>
        <v>2017.4166666666667</v>
      </c>
      <c r="T114" s="49">
        <f>($M$7+1)-($M$4/12)</f>
        <v>2024</v>
      </c>
      <c r="U114" s="49">
        <f t="shared" ref="U114" si="78">$K114+(($F114-1)/12)</f>
        <v>2037.4166666666667</v>
      </c>
      <c r="V114" s="49">
        <f>$M$6+($M$5/12)</f>
        <v>2023</v>
      </c>
      <c r="W114" s="50"/>
    </row>
    <row r="115" spans="2:23" s="2" customFormat="1" ht="15" x14ac:dyDescent="0.25">
      <c r="B115" s="31"/>
      <c r="E115" s="31"/>
      <c r="F115" s="31"/>
      <c r="G115" s="31"/>
      <c r="H115" s="20"/>
      <c r="I115" s="31"/>
      <c r="J115" s="31"/>
      <c r="L115" s="47"/>
      <c r="M115" s="47"/>
      <c r="N115" s="47"/>
      <c r="O115" s="48"/>
      <c r="P115" s="47"/>
      <c r="Q115" s="47"/>
      <c r="R115" s="47"/>
      <c r="S115" s="49"/>
      <c r="T115" s="49"/>
      <c r="U115" s="49"/>
      <c r="V115" s="49"/>
      <c r="W115" s="50"/>
    </row>
    <row r="116" spans="2:23" s="53" customFormat="1" ht="15" x14ac:dyDescent="0.25">
      <c r="B116" s="27"/>
      <c r="C116" s="114" t="s">
        <v>69</v>
      </c>
      <c r="D116" s="114"/>
      <c r="E116" s="27"/>
      <c r="F116" s="27"/>
      <c r="G116" s="27"/>
      <c r="H116" s="52"/>
      <c r="I116" s="27"/>
      <c r="J116" s="27"/>
      <c r="L116" s="55">
        <f>SUM(L114:L115)</f>
        <v>1494.77</v>
      </c>
      <c r="M116" s="54"/>
      <c r="N116" s="55">
        <f>SUM(N114:N115)</f>
        <v>74.738500000000002</v>
      </c>
      <c r="O116" s="56"/>
      <c r="P116" s="55">
        <f>SUM(P114:P115)</f>
        <v>417.28995833332772</v>
      </c>
      <c r="Q116" s="55">
        <f>SUM(Q114:Q115)</f>
        <v>492.02845833332771</v>
      </c>
      <c r="R116" s="55">
        <f>SUM(R114:R115)</f>
        <v>1002.7415416666722</v>
      </c>
      <c r="S116" s="57"/>
      <c r="T116" s="57"/>
      <c r="U116" s="57"/>
      <c r="V116" s="57"/>
      <c r="W116" s="58"/>
    </row>
    <row r="117" spans="2:23" s="53" customFormat="1" ht="15" x14ac:dyDescent="0.25">
      <c r="B117" s="27"/>
      <c r="C117" s="51"/>
      <c r="D117" s="51"/>
      <c r="E117" s="27"/>
      <c r="F117" s="27"/>
      <c r="G117" s="27"/>
      <c r="H117" s="52"/>
      <c r="I117" s="27"/>
      <c r="J117" s="27"/>
      <c r="L117" s="59"/>
      <c r="M117" s="54"/>
      <c r="N117" s="59"/>
      <c r="O117" s="56"/>
      <c r="P117" s="59"/>
      <c r="Q117" s="59"/>
      <c r="R117" s="59"/>
      <c r="S117" s="57"/>
      <c r="T117" s="57"/>
      <c r="U117" s="57"/>
      <c r="V117" s="57"/>
      <c r="W117" s="58"/>
    </row>
    <row r="118" spans="2:23" s="72" customFormat="1" ht="15" x14ac:dyDescent="0.25">
      <c r="B118" s="70"/>
      <c r="C118" s="112" t="s">
        <v>85</v>
      </c>
      <c r="D118" s="112"/>
      <c r="E118" s="70"/>
      <c r="F118" s="70"/>
      <c r="G118" s="70"/>
      <c r="H118" s="71"/>
      <c r="I118" s="70"/>
      <c r="J118" s="70"/>
      <c r="L118" s="73">
        <f>SUM(L95,L102,L110,L116)</f>
        <v>1640015.77</v>
      </c>
      <c r="M118" s="74"/>
      <c r="N118" s="73">
        <f>SUM(N95,N102,N110,N116)</f>
        <v>57701.471833333329</v>
      </c>
      <c r="O118" s="75"/>
      <c r="P118" s="73">
        <f>SUM(P95,P102,P110,P116)</f>
        <v>295845.32884722325</v>
      </c>
      <c r="Q118" s="73">
        <f>SUM(Q95,Q102,Q110,Q116)</f>
        <v>353546.80068055657</v>
      </c>
      <c r="R118" s="73">
        <f>SUM(R95,R102,R110,R116)</f>
        <v>1286468.9693194435</v>
      </c>
      <c r="S118" s="76"/>
      <c r="T118" s="76"/>
      <c r="U118" s="76"/>
      <c r="V118" s="76"/>
      <c r="W118" s="77"/>
    </row>
    <row r="119" spans="2:23" s="53" customFormat="1" ht="15" x14ac:dyDescent="0.25">
      <c r="B119" s="27"/>
      <c r="C119" s="51"/>
      <c r="D119" s="51"/>
      <c r="E119" s="27"/>
      <c r="F119" s="27"/>
      <c r="G119" s="27"/>
      <c r="H119" s="52"/>
      <c r="I119" s="27"/>
      <c r="J119" s="27"/>
      <c r="L119" s="59"/>
      <c r="M119" s="54"/>
      <c r="N119" s="59"/>
      <c r="O119" s="56"/>
      <c r="P119" s="59"/>
      <c r="Q119" s="59"/>
      <c r="R119" s="59"/>
      <c r="S119" s="57"/>
      <c r="T119" s="57"/>
      <c r="U119" s="57"/>
      <c r="V119" s="57"/>
      <c r="W119" s="58"/>
    </row>
    <row r="120" spans="2:23" s="2" customFormat="1" ht="15" x14ac:dyDescent="0.25">
      <c r="B120" s="31"/>
      <c r="E120" s="31"/>
      <c r="F120" s="31"/>
      <c r="G120" s="31"/>
      <c r="H120" s="20"/>
      <c r="I120" s="31"/>
      <c r="J120" s="31"/>
      <c r="K120" s="68"/>
      <c r="L120" s="47"/>
      <c r="M120" s="47"/>
      <c r="N120" s="47"/>
      <c r="O120" s="48"/>
      <c r="P120" s="47"/>
      <c r="Q120" s="47"/>
      <c r="R120" s="47"/>
      <c r="S120" s="49"/>
      <c r="T120" s="49"/>
      <c r="U120" s="49"/>
      <c r="V120" s="49"/>
      <c r="W120" s="50"/>
    </row>
    <row r="121" spans="2:23" s="72" customFormat="1" ht="15" x14ac:dyDescent="0.25">
      <c r="B121" s="70"/>
      <c r="C121" s="112" t="s">
        <v>86</v>
      </c>
      <c r="D121" s="112"/>
      <c r="E121" s="70"/>
      <c r="F121" s="70"/>
      <c r="G121" s="70"/>
      <c r="H121" s="71"/>
      <c r="I121" s="70"/>
      <c r="J121" s="70"/>
      <c r="L121" s="78"/>
      <c r="M121" s="74"/>
      <c r="N121" s="78"/>
      <c r="O121" s="75"/>
      <c r="P121" s="78"/>
      <c r="Q121" s="78"/>
      <c r="R121" s="78"/>
      <c r="S121" s="76"/>
      <c r="T121" s="76"/>
      <c r="U121" s="76"/>
      <c r="V121" s="76"/>
      <c r="W121" s="77"/>
    </row>
    <row r="122" spans="2:23" s="2" customFormat="1" ht="15" x14ac:dyDescent="0.25">
      <c r="B122" s="31"/>
      <c r="E122" s="31"/>
      <c r="F122" s="31"/>
      <c r="G122" s="31"/>
      <c r="H122" s="20"/>
      <c r="I122" s="31"/>
      <c r="J122" s="31"/>
      <c r="K122" s="68"/>
      <c r="L122" s="47"/>
      <c r="M122" s="47"/>
      <c r="N122" s="47"/>
      <c r="O122" s="48"/>
      <c r="P122" s="47"/>
      <c r="Q122" s="47"/>
      <c r="R122" s="47"/>
      <c r="S122" s="49"/>
      <c r="T122" s="49"/>
      <c r="U122" s="49"/>
      <c r="V122" s="49"/>
      <c r="W122" s="50"/>
    </row>
    <row r="123" spans="2:23" s="2" customFormat="1" ht="15" x14ac:dyDescent="0.25">
      <c r="B123" s="31"/>
      <c r="C123" s="113" t="s">
        <v>58</v>
      </c>
      <c r="D123" s="113"/>
      <c r="E123" s="31"/>
      <c r="F123" s="31"/>
      <c r="G123" s="31"/>
      <c r="H123" s="20"/>
      <c r="I123" s="31"/>
      <c r="J123" s="31"/>
      <c r="L123" s="47"/>
      <c r="M123" s="47"/>
      <c r="N123" s="47"/>
      <c r="O123" s="48"/>
      <c r="P123" s="47"/>
      <c r="Q123" s="47"/>
      <c r="R123" s="47"/>
      <c r="S123" s="49"/>
      <c r="T123" s="49"/>
      <c r="U123" s="49"/>
      <c r="V123" s="49"/>
      <c r="W123" s="50"/>
    </row>
    <row r="124" spans="2:23" s="2" customFormat="1" ht="15" x14ac:dyDescent="0.25">
      <c r="B124" s="31" t="s">
        <v>87</v>
      </c>
      <c r="D124" s="2" t="s">
        <v>88</v>
      </c>
      <c r="E124" s="31">
        <v>2019</v>
      </c>
      <c r="F124" s="31">
        <v>8</v>
      </c>
      <c r="G124" s="31">
        <v>24</v>
      </c>
      <c r="H124" s="20">
        <v>0</v>
      </c>
      <c r="I124" s="31" t="s">
        <v>46</v>
      </c>
      <c r="J124" s="31">
        <v>30</v>
      </c>
      <c r="K124" s="2">
        <f>+E124+J124</f>
        <v>2049</v>
      </c>
      <c r="L124" s="91">
        <v>9093</v>
      </c>
      <c r="M124" s="47">
        <f>L124/J124/12</f>
        <v>25.258333333333336</v>
      </c>
      <c r="N124" s="47">
        <f>IF(U124&lt;=T124,0,L124/J124)</f>
        <v>303.10000000000002</v>
      </c>
      <c r="O124" s="48">
        <v>1</v>
      </c>
      <c r="P124" s="47">
        <f>IF(S124&gt;T124,0,IF(U124&lt;V124,L124,IF((AND((U124&gt;=V124),(U124&lt;=T124))),(L124-N124),IF((AND((V124&lt;=S124),(T124&gt;=S124))),0,IF(U124&gt;T124,((V124-S124)*12)*M124,0)))))</f>
        <v>1035.5916666666897</v>
      </c>
      <c r="Q124" s="47">
        <f>P124+N124</f>
        <v>1338.6916666666898</v>
      </c>
      <c r="R124" s="47">
        <f>+L124-Q124</f>
        <v>7754.3083333333107</v>
      </c>
      <c r="S124" s="49">
        <f>$E124+(($F124-1)/12)</f>
        <v>2019.5833333333333</v>
      </c>
      <c r="T124" s="49">
        <f>($M$7+1)-($M$4/12)</f>
        <v>2024</v>
      </c>
      <c r="U124" s="49">
        <f>$K124+(($F124-1)/12)</f>
        <v>2049.5833333333335</v>
      </c>
      <c r="V124" s="49">
        <f>$M$6+($M$5/12)</f>
        <v>2023</v>
      </c>
      <c r="W124" s="50"/>
    </row>
    <row r="125" spans="2:23" s="2" customFormat="1" ht="15" x14ac:dyDescent="0.25">
      <c r="B125" s="31" t="s">
        <v>87</v>
      </c>
      <c r="D125" s="2" t="s">
        <v>89</v>
      </c>
      <c r="E125" s="31">
        <v>2023</v>
      </c>
      <c r="F125" s="31">
        <v>3</v>
      </c>
      <c r="G125" s="31">
        <v>20</v>
      </c>
      <c r="H125" s="94">
        <v>0</v>
      </c>
      <c r="I125" s="31" t="s">
        <v>46</v>
      </c>
      <c r="J125" s="31">
        <v>30</v>
      </c>
      <c r="K125" s="2">
        <f>+E125+J125</f>
        <v>2053</v>
      </c>
      <c r="L125" s="91">
        <v>425375</v>
      </c>
      <c r="M125" s="91">
        <f>L125/J125/12</f>
        <v>1181.5972222222222</v>
      </c>
      <c r="N125" s="91">
        <f>IF(U125&lt;=T125,0,L125/J125)</f>
        <v>14179.166666666666</v>
      </c>
      <c r="O125" s="48">
        <v>1</v>
      </c>
      <c r="P125" s="91">
        <f>IF(S125&gt;T125,0,IF(U125&lt;V125,L125,IF((AND((U125&gt;=V125),(U125&lt;=T125))),(L125-N125),IF((AND((V125&lt;=S125),(T125&gt;=S125))),0,IF(U125&gt;T125,((V125-S125)*12)*M125,0)))))</f>
        <v>0</v>
      </c>
      <c r="Q125" s="91">
        <f>P125+N125</f>
        <v>14179.166666666666</v>
      </c>
      <c r="R125" s="91">
        <f>+L125-Q125</f>
        <v>411195.83333333331</v>
      </c>
      <c r="S125" s="49">
        <f>$E125+(($F125-1)/12)</f>
        <v>2023.1666666666667</v>
      </c>
      <c r="T125" s="49">
        <f>($M$7+1)-($M$4/12)</f>
        <v>2024</v>
      </c>
      <c r="U125" s="49">
        <f>$K125+(($F125-1)/12)</f>
        <v>2053.1666666666665</v>
      </c>
      <c r="V125" s="49">
        <f>$M$6+($M$5/12)</f>
        <v>2023</v>
      </c>
      <c r="W125" s="50"/>
    </row>
    <row r="126" spans="2:23" s="2" customFormat="1" ht="15" x14ac:dyDescent="0.25">
      <c r="B126" s="31"/>
      <c r="E126" s="31"/>
      <c r="F126" s="31"/>
      <c r="G126" s="31"/>
      <c r="H126" s="20"/>
      <c r="I126" s="31"/>
      <c r="J126" s="31"/>
      <c r="L126" s="47"/>
      <c r="M126" s="47"/>
      <c r="N126" s="47"/>
      <c r="O126" s="48"/>
      <c r="P126" s="47"/>
      <c r="Q126" s="47"/>
      <c r="R126" s="47"/>
      <c r="S126" s="49"/>
      <c r="T126" s="49"/>
      <c r="U126" s="49"/>
      <c r="V126" s="49"/>
      <c r="W126" s="50"/>
    </row>
    <row r="127" spans="2:23" s="53" customFormat="1" ht="15" x14ac:dyDescent="0.25">
      <c r="B127" s="27"/>
      <c r="C127" s="114" t="s">
        <v>61</v>
      </c>
      <c r="D127" s="114"/>
      <c r="E127" s="27"/>
      <c r="F127" s="27"/>
      <c r="G127" s="27"/>
      <c r="H127" s="52"/>
      <c r="I127" s="27"/>
      <c r="J127" s="27"/>
      <c r="L127" s="55">
        <f>SUM(L124:L126)</f>
        <v>434468</v>
      </c>
      <c r="M127" s="54"/>
      <c r="N127" s="55">
        <f>SUM(N124:N126)</f>
        <v>14482.266666666666</v>
      </c>
      <c r="O127" s="56"/>
      <c r="P127" s="55">
        <f>SUM(P124:P126)</f>
        <v>1035.5916666666897</v>
      </c>
      <c r="Q127" s="55">
        <f>SUM(Q124:Q126)</f>
        <v>15517.858333333355</v>
      </c>
      <c r="R127" s="55">
        <f>SUM(R124:R126)</f>
        <v>418950.1416666666</v>
      </c>
      <c r="S127" s="57"/>
      <c r="T127" s="57"/>
      <c r="U127" s="57"/>
      <c r="V127" s="57"/>
      <c r="W127" s="58"/>
    </row>
    <row r="128" spans="2:23" s="2" customFormat="1" ht="15" x14ac:dyDescent="0.25">
      <c r="B128" s="31"/>
      <c r="E128" s="31"/>
      <c r="F128" s="31"/>
      <c r="G128" s="31"/>
      <c r="H128" s="20"/>
      <c r="I128" s="31"/>
      <c r="J128" s="31"/>
      <c r="K128" s="87"/>
      <c r="L128" s="97"/>
      <c r="M128" s="47"/>
      <c r="N128" s="47"/>
      <c r="O128" s="48"/>
      <c r="P128" s="47"/>
      <c r="Q128" s="47"/>
      <c r="R128" s="47"/>
      <c r="S128" s="49"/>
      <c r="T128" s="49"/>
      <c r="U128" s="49"/>
      <c r="V128" s="49"/>
      <c r="W128" s="50"/>
    </row>
    <row r="129" spans="2:23" s="2" customFormat="1" ht="15" x14ac:dyDescent="0.25">
      <c r="B129" s="31"/>
      <c r="E129" s="31"/>
      <c r="F129" s="31"/>
      <c r="G129" s="31"/>
      <c r="H129" s="20"/>
      <c r="I129" s="31"/>
      <c r="J129" s="31"/>
      <c r="K129" s="87"/>
      <c r="L129" s="97"/>
      <c r="M129" s="47"/>
      <c r="N129" s="47"/>
      <c r="O129" s="48"/>
      <c r="P129" s="47"/>
      <c r="Q129" s="47"/>
      <c r="R129" s="47"/>
      <c r="S129" s="49"/>
      <c r="T129" s="49"/>
      <c r="U129" s="49"/>
      <c r="V129" s="49"/>
      <c r="W129" s="50"/>
    </row>
    <row r="130" spans="2:23" s="2" customFormat="1" ht="15" x14ac:dyDescent="0.25">
      <c r="B130" s="31"/>
      <c r="C130" s="113" t="s">
        <v>62</v>
      </c>
      <c r="D130" s="113"/>
      <c r="E130" s="31"/>
      <c r="F130" s="31"/>
      <c r="G130" s="31"/>
      <c r="H130" s="20"/>
      <c r="I130" s="31"/>
      <c r="J130" s="31"/>
      <c r="L130" s="47"/>
      <c r="M130" s="47"/>
      <c r="N130" s="47"/>
      <c r="O130" s="48"/>
      <c r="P130" s="47"/>
      <c r="Q130" s="47"/>
      <c r="R130" s="47"/>
      <c r="S130" s="49"/>
      <c r="T130" s="49"/>
      <c r="U130" s="49"/>
      <c r="V130" s="49"/>
      <c r="W130" s="50"/>
    </row>
    <row r="131" spans="2:23" s="2" customFormat="1" ht="15" x14ac:dyDescent="0.25">
      <c r="B131" s="31" t="s">
        <v>87</v>
      </c>
      <c r="D131" s="2" t="s">
        <v>90</v>
      </c>
      <c r="E131" s="31">
        <v>2016</v>
      </c>
      <c r="F131" s="31">
        <v>1</v>
      </c>
      <c r="G131" s="31">
        <v>5</v>
      </c>
      <c r="H131" s="20">
        <v>0</v>
      </c>
      <c r="I131" s="31" t="s">
        <v>46</v>
      </c>
      <c r="J131" s="31">
        <v>20</v>
      </c>
      <c r="K131" s="2">
        <f t="shared" ref="K131:K132" si="79">+E131+J131</f>
        <v>2036</v>
      </c>
      <c r="L131" s="47">
        <v>34107</v>
      </c>
      <c r="M131" s="47">
        <f t="shared" ref="M131:M132" si="80">L131/J131/12</f>
        <v>142.11249999999998</v>
      </c>
      <c r="N131" s="47">
        <f t="shared" ref="N131:N132" si="81">IF(U131&lt;=T131,0,L131/J131)</f>
        <v>1705.35</v>
      </c>
      <c r="O131" s="48">
        <v>1</v>
      </c>
      <c r="P131" s="47">
        <f t="shared" ref="P131:P132" si="82">IF(S131&gt;T131,0,IF(U131&lt;V131,L131,IF((AND((U131&gt;=V131),(U131&lt;=T131))),(L131-N131),IF((AND((V131&lt;=S131),(T131&gt;=S131))),0,IF(U131&gt;T131,((V131-S131)*12)*M131,0)))))</f>
        <v>11937.449999999999</v>
      </c>
      <c r="Q131" s="47">
        <f t="shared" ref="Q131:Q132" si="83">P131+N131</f>
        <v>13642.8</v>
      </c>
      <c r="R131" s="47">
        <f t="shared" ref="R131:R132" si="84">+L131-Q131</f>
        <v>20464.2</v>
      </c>
      <c r="S131" s="49">
        <f t="shared" ref="S131:S132" si="85">$E131+(($F131-1)/12)</f>
        <v>2016</v>
      </c>
      <c r="T131" s="49">
        <f>($M$7+1)-($M$4/12)</f>
        <v>2024</v>
      </c>
      <c r="U131" s="49">
        <f t="shared" ref="U131:U132" si="86">$K131+(($F131-1)/12)</f>
        <v>2036</v>
      </c>
      <c r="V131" s="49">
        <f>$M$6+($M$5/12)</f>
        <v>2023</v>
      </c>
      <c r="W131" s="50"/>
    </row>
    <row r="132" spans="2:23" s="2" customFormat="1" ht="15" x14ac:dyDescent="0.25">
      <c r="B132" s="31" t="s">
        <v>87</v>
      </c>
      <c r="D132" s="2" t="s">
        <v>90</v>
      </c>
      <c r="E132" s="31">
        <v>2019</v>
      </c>
      <c r="F132" s="31">
        <v>3</v>
      </c>
      <c r="G132" s="31">
        <v>7</v>
      </c>
      <c r="H132" s="94">
        <v>0</v>
      </c>
      <c r="I132" s="31" t="s">
        <v>46</v>
      </c>
      <c r="J132" s="31">
        <v>20</v>
      </c>
      <c r="K132" s="2">
        <f t="shared" si="79"/>
        <v>2039</v>
      </c>
      <c r="L132" s="91">
        <v>22950</v>
      </c>
      <c r="M132" s="91">
        <f t="shared" si="80"/>
        <v>95.625</v>
      </c>
      <c r="N132" s="91">
        <f t="shared" si="81"/>
        <v>1147.5</v>
      </c>
      <c r="O132" s="48">
        <v>1</v>
      </c>
      <c r="P132" s="91">
        <f t="shared" si="82"/>
        <v>4398.7499999999127</v>
      </c>
      <c r="Q132" s="91">
        <f t="shared" si="83"/>
        <v>5546.2499999999127</v>
      </c>
      <c r="R132" s="91">
        <f t="shared" si="84"/>
        <v>17403.750000000087</v>
      </c>
      <c r="S132" s="49">
        <f t="shared" si="85"/>
        <v>2019.1666666666667</v>
      </c>
      <c r="T132" s="49">
        <f>($M$7+1)-($M$4/12)</f>
        <v>2024</v>
      </c>
      <c r="U132" s="49">
        <f t="shared" si="86"/>
        <v>2039.1666666666667</v>
      </c>
      <c r="V132" s="49">
        <f>$M$6+($M$5/12)</f>
        <v>2023</v>
      </c>
      <c r="W132" s="50"/>
    </row>
    <row r="133" spans="2:23" s="2" customFormat="1" ht="15" x14ac:dyDescent="0.25">
      <c r="B133" s="31"/>
      <c r="E133" s="31"/>
      <c r="F133" s="31"/>
      <c r="G133" s="31"/>
      <c r="H133" s="20"/>
      <c r="I133" s="31"/>
      <c r="J133" s="31"/>
      <c r="L133" s="47"/>
      <c r="M133" s="47"/>
      <c r="N133" s="47"/>
      <c r="O133" s="48"/>
      <c r="P133" s="47"/>
      <c r="Q133" s="47"/>
      <c r="R133" s="47"/>
      <c r="S133" s="49"/>
      <c r="T133" s="49"/>
      <c r="U133" s="49"/>
      <c r="V133" s="49"/>
      <c r="W133" s="50"/>
    </row>
    <row r="134" spans="2:23" s="53" customFormat="1" ht="15" x14ac:dyDescent="0.25">
      <c r="B134" s="27"/>
      <c r="C134" s="114" t="s">
        <v>66</v>
      </c>
      <c r="D134" s="114"/>
      <c r="E134" s="27"/>
      <c r="F134" s="27"/>
      <c r="G134" s="27"/>
      <c r="H134" s="52"/>
      <c r="I134" s="27"/>
      <c r="J134" s="27"/>
      <c r="L134" s="55">
        <f>SUM(L131:L133)</f>
        <v>57057</v>
      </c>
      <c r="M134" s="54"/>
      <c r="N134" s="55">
        <f>SUM(N131:N133)</f>
        <v>2852.85</v>
      </c>
      <c r="O134" s="56"/>
      <c r="P134" s="55">
        <f>SUM(P131:P133)</f>
        <v>16336.199999999912</v>
      </c>
      <c r="Q134" s="55">
        <f>SUM(Q131:Q133)</f>
        <v>19189.049999999912</v>
      </c>
      <c r="R134" s="55">
        <f>SUM(R131:R133)</f>
        <v>37867.950000000084</v>
      </c>
      <c r="S134" s="57"/>
      <c r="T134" s="57"/>
      <c r="U134" s="57"/>
      <c r="V134" s="57"/>
      <c r="W134" s="58"/>
    </row>
    <row r="135" spans="2:23" s="2" customFormat="1" ht="15" x14ac:dyDescent="0.25">
      <c r="B135" s="31"/>
      <c r="E135" s="31"/>
      <c r="F135" s="31"/>
      <c r="G135" s="31"/>
      <c r="H135" s="20"/>
      <c r="I135" s="31"/>
      <c r="J135" s="31"/>
      <c r="K135" s="87"/>
      <c r="L135" s="97"/>
      <c r="M135" s="47"/>
      <c r="N135" s="47"/>
      <c r="O135" s="48"/>
      <c r="P135" s="47"/>
      <c r="Q135" s="47"/>
      <c r="R135" s="47"/>
      <c r="S135" s="49"/>
      <c r="T135" s="49"/>
      <c r="U135" s="49"/>
      <c r="V135" s="49"/>
      <c r="W135" s="50"/>
    </row>
    <row r="136" spans="2:23" s="2" customFormat="1" ht="15" x14ac:dyDescent="0.25">
      <c r="B136" s="31"/>
      <c r="E136" s="31"/>
      <c r="F136" s="31"/>
      <c r="G136" s="31"/>
      <c r="H136" s="20"/>
      <c r="I136" s="31"/>
      <c r="J136" s="31"/>
      <c r="K136" s="87"/>
      <c r="L136" s="97"/>
      <c r="M136" s="47"/>
      <c r="N136" s="47"/>
      <c r="O136" s="48"/>
      <c r="P136" s="47"/>
      <c r="Q136" s="47"/>
      <c r="R136" s="47"/>
      <c r="S136" s="49"/>
      <c r="T136" s="49"/>
      <c r="U136" s="49"/>
      <c r="V136" s="49"/>
      <c r="W136" s="50"/>
    </row>
    <row r="137" spans="2:23" s="2" customFormat="1" ht="15" x14ac:dyDescent="0.25">
      <c r="B137" s="31"/>
      <c r="C137" s="113" t="s">
        <v>91</v>
      </c>
      <c r="D137" s="113"/>
      <c r="E137" s="31"/>
      <c r="F137" s="31"/>
      <c r="G137" s="31"/>
      <c r="H137" s="20"/>
      <c r="I137" s="31"/>
      <c r="J137" s="31"/>
      <c r="L137" s="47"/>
      <c r="M137" s="47"/>
      <c r="N137" s="47"/>
      <c r="O137" s="48"/>
      <c r="P137" s="47"/>
      <c r="Q137" s="47"/>
      <c r="R137" s="47"/>
      <c r="S137" s="49"/>
      <c r="T137" s="49"/>
      <c r="U137" s="49"/>
      <c r="V137" s="49"/>
      <c r="W137" s="50"/>
    </row>
    <row r="138" spans="2:23" s="2" customFormat="1" ht="15" x14ac:dyDescent="0.25">
      <c r="B138" s="31" t="s">
        <v>87</v>
      </c>
      <c r="D138" s="2" t="s">
        <v>92</v>
      </c>
      <c r="E138" s="31">
        <v>2017</v>
      </c>
      <c r="F138" s="31">
        <v>12</v>
      </c>
      <c r="G138" s="31">
        <v>21</v>
      </c>
      <c r="H138" s="94">
        <v>0</v>
      </c>
      <c r="I138" s="31" t="s">
        <v>46</v>
      </c>
      <c r="J138" s="31">
        <v>15</v>
      </c>
      <c r="K138" s="2">
        <f t="shared" ref="K138:K141" si="87">+E138+J138</f>
        <v>2032</v>
      </c>
      <c r="L138" s="91">
        <v>33449</v>
      </c>
      <c r="M138" s="91">
        <f t="shared" ref="M138:M141" si="88">L138/J138/12</f>
        <v>185.82777777777778</v>
      </c>
      <c r="N138" s="91">
        <f t="shared" ref="N138:N141" si="89">IF(U138&lt;=T138,0,L138/J138)</f>
        <v>2229.9333333333334</v>
      </c>
      <c r="O138" s="48">
        <v>1</v>
      </c>
      <c r="P138" s="91">
        <f t="shared" ref="P138:P141" si="90">IF(S138&gt;T138,0,IF(U138&lt;V138,L138,IF((AND((U138&gt;=V138),(U138&lt;=T138))),(L138-N138),IF((AND((V138&lt;=S138),(T138&gt;=S138))),0,IF(U138&gt;T138,((V138-S138)*12)*M138,0)))))</f>
        <v>11335.494444444275</v>
      </c>
      <c r="Q138" s="91">
        <f t="shared" ref="Q138:Q141" si="91">P138+N138</f>
        <v>13565.427777777608</v>
      </c>
      <c r="R138" s="91">
        <f t="shared" ref="R138:R141" si="92">+L138-Q138</f>
        <v>19883.572222222392</v>
      </c>
      <c r="S138" s="49">
        <f t="shared" ref="S138:S141" si="93">$E138+(($F138-1)/12)</f>
        <v>2017.9166666666667</v>
      </c>
      <c r="T138" s="49">
        <f>($M$7+1)-($M$4/12)</f>
        <v>2024</v>
      </c>
      <c r="U138" s="49">
        <f t="shared" ref="U138:U141" si="94">$K138+(($F138-1)/12)</f>
        <v>2032.9166666666667</v>
      </c>
      <c r="V138" s="49">
        <f>$M$6+($M$5/12)</f>
        <v>2023</v>
      </c>
      <c r="W138" s="50"/>
    </row>
    <row r="139" spans="2:23" s="2" customFormat="1" ht="15" x14ac:dyDescent="0.25">
      <c r="B139" s="31" t="s">
        <v>87</v>
      </c>
      <c r="D139" s="2" t="s">
        <v>93</v>
      </c>
      <c r="E139" s="31">
        <v>2018</v>
      </c>
      <c r="F139" s="31">
        <v>7</v>
      </c>
      <c r="G139" s="31">
        <v>5</v>
      </c>
      <c r="H139" s="94">
        <v>0</v>
      </c>
      <c r="I139" s="31" t="s">
        <v>46</v>
      </c>
      <c r="J139" s="31">
        <v>15</v>
      </c>
      <c r="K139" s="2">
        <f t="shared" si="87"/>
        <v>2033</v>
      </c>
      <c r="L139" s="91">
        <v>3150</v>
      </c>
      <c r="M139" s="91">
        <f t="shared" si="88"/>
        <v>17.5</v>
      </c>
      <c r="N139" s="91">
        <f t="shared" si="89"/>
        <v>210</v>
      </c>
      <c r="O139" s="48">
        <v>1</v>
      </c>
      <c r="P139" s="91">
        <f t="shared" si="90"/>
        <v>945</v>
      </c>
      <c r="Q139" s="91">
        <f t="shared" si="91"/>
        <v>1155</v>
      </c>
      <c r="R139" s="91">
        <f t="shared" si="92"/>
        <v>1995</v>
      </c>
      <c r="S139" s="49">
        <f t="shared" si="93"/>
        <v>2018.5</v>
      </c>
      <c r="T139" s="49">
        <f>($M$7+1)-($M$4/12)</f>
        <v>2024</v>
      </c>
      <c r="U139" s="49">
        <f t="shared" si="94"/>
        <v>2033.5</v>
      </c>
      <c r="V139" s="49">
        <f>$M$6+($M$5/12)</f>
        <v>2023</v>
      </c>
      <c r="W139" s="50"/>
    </row>
    <row r="140" spans="2:23" s="2" customFormat="1" ht="15" x14ac:dyDescent="0.25">
      <c r="B140" s="31" t="s">
        <v>87</v>
      </c>
      <c r="D140" s="2" t="s">
        <v>94</v>
      </c>
      <c r="E140" s="31">
        <v>2020</v>
      </c>
      <c r="F140" s="31">
        <v>10</v>
      </c>
      <c r="G140" s="31">
        <v>1</v>
      </c>
      <c r="H140" s="94">
        <v>0</v>
      </c>
      <c r="I140" s="31" t="s">
        <v>46</v>
      </c>
      <c r="J140" s="31">
        <v>15</v>
      </c>
      <c r="K140" s="2">
        <f t="shared" si="87"/>
        <v>2035</v>
      </c>
      <c r="L140" s="91">
        <v>57890</v>
      </c>
      <c r="M140" s="91">
        <f t="shared" si="88"/>
        <v>321.61111111111114</v>
      </c>
      <c r="N140" s="91">
        <f t="shared" si="89"/>
        <v>3859.3333333333335</v>
      </c>
      <c r="O140" s="48">
        <v>1</v>
      </c>
      <c r="P140" s="91">
        <f t="shared" si="90"/>
        <v>8683.5</v>
      </c>
      <c r="Q140" s="91">
        <f t="shared" si="91"/>
        <v>12542.833333333334</v>
      </c>
      <c r="R140" s="91">
        <f t="shared" si="92"/>
        <v>45347.166666666664</v>
      </c>
      <c r="S140" s="49">
        <f t="shared" si="93"/>
        <v>2020.75</v>
      </c>
      <c r="T140" s="49">
        <f>($M$7+1)-($M$4/12)</f>
        <v>2024</v>
      </c>
      <c r="U140" s="49">
        <f t="shared" si="94"/>
        <v>2035.75</v>
      </c>
      <c r="V140" s="49">
        <f>$M$6+($M$5/12)</f>
        <v>2023</v>
      </c>
      <c r="W140" s="50"/>
    </row>
    <row r="141" spans="2:23" s="2" customFormat="1" ht="15" x14ac:dyDescent="0.25">
      <c r="B141" s="31" t="s">
        <v>87</v>
      </c>
      <c r="D141" s="2" t="s">
        <v>95</v>
      </c>
      <c r="E141" s="31">
        <v>2023</v>
      </c>
      <c r="F141" s="31">
        <v>1</v>
      </c>
      <c r="G141" s="31">
        <v>26</v>
      </c>
      <c r="H141" s="94">
        <v>0</v>
      </c>
      <c r="I141" s="31" t="s">
        <v>46</v>
      </c>
      <c r="J141" s="31">
        <v>15</v>
      </c>
      <c r="K141" s="2">
        <f t="shared" si="87"/>
        <v>2038</v>
      </c>
      <c r="L141" s="91">
        <v>25572</v>
      </c>
      <c r="M141" s="91">
        <f t="shared" si="88"/>
        <v>142.06666666666666</v>
      </c>
      <c r="N141" s="91">
        <f t="shared" si="89"/>
        <v>1704.8</v>
      </c>
      <c r="O141" s="48">
        <v>1</v>
      </c>
      <c r="P141" s="91">
        <f t="shared" si="90"/>
        <v>0</v>
      </c>
      <c r="Q141" s="91">
        <f t="shared" si="91"/>
        <v>1704.8</v>
      </c>
      <c r="R141" s="91">
        <f t="shared" si="92"/>
        <v>23867.200000000001</v>
      </c>
      <c r="S141" s="49">
        <f t="shared" si="93"/>
        <v>2023</v>
      </c>
      <c r="T141" s="49">
        <f>($M$7+1)-($M$4/12)</f>
        <v>2024</v>
      </c>
      <c r="U141" s="49">
        <f t="shared" si="94"/>
        <v>2038</v>
      </c>
      <c r="V141" s="49">
        <f>$M$6+($M$5/12)</f>
        <v>2023</v>
      </c>
      <c r="W141" s="50"/>
    </row>
    <row r="142" spans="2:23" s="2" customFormat="1" ht="15" x14ac:dyDescent="0.25">
      <c r="B142" s="31"/>
      <c r="E142" s="31"/>
      <c r="F142" s="31"/>
      <c r="G142" s="31"/>
      <c r="H142" s="20"/>
      <c r="I142" s="31"/>
      <c r="J142" s="31"/>
      <c r="L142" s="47"/>
      <c r="M142" s="47"/>
      <c r="N142" s="47"/>
      <c r="O142" s="48"/>
      <c r="P142" s="47"/>
      <c r="Q142" s="47"/>
      <c r="R142" s="47"/>
      <c r="S142" s="49"/>
      <c r="T142" s="49"/>
      <c r="U142" s="49"/>
      <c r="V142" s="49"/>
      <c r="W142" s="50"/>
    </row>
    <row r="143" spans="2:23" s="53" customFormat="1" ht="15" x14ac:dyDescent="0.25">
      <c r="B143" s="27"/>
      <c r="C143" s="114" t="s">
        <v>96</v>
      </c>
      <c r="D143" s="114"/>
      <c r="E143" s="27"/>
      <c r="F143" s="27"/>
      <c r="G143" s="27"/>
      <c r="H143" s="52"/>
      <c r="I143" s="27"/>
      <c r="J143" s="27"/>
      <c r="L143" s="55">
        <f>SUM(L138:L142)</f>
        <v>120061</v>
      </c>
      <c r="M143" s="54"/>
      <c r="N143" s="55">
        <f>SUM(N138:N142)</f>
        <v>8004.0666666666666</v>
      </c>
      <c r="O143" s="56"/>
      <c r="P143" s="55">
        <f>SUM(P138:P142)</f>
        <v>20963.994444444274</v>
      </c>
      <c r="Q143" s="55">
        <f>SUM(Q138:Q142)</f>
        <v>28968.061111110943</v>
      </c>
      <c r="R143" s="55">
        <f>SUM(R138:R142)</f>
        <v>91092.938888889053</v>
      </c>
      <c r="S143" s="57"/>
      <c r="T143" s="57"/>
      <c r="U143" s="57"/>
      <c r="V143" s="57"/>
      <c r="W143" s="58"/>
    </row>
    <row r="144" spans="2:23" s="2" customFormat="1" ht="15" x14ac:dyDescent="0.25">
      <c r="B144" s="31"/>
      <c r="E144" s="31"/>
      <c r="F144" s="31"/>
      <c r="G144" s="31"/>
      <c r="H144" s="20"/>
      <c r="I144" s="31"/>
      <c r="J144" s="31"/>
      <c r="K144" s="87"/>
      <c r="L144" s="97"/>
      <c r="M144" s="47"/>
      <c r="N144" s="47"/>
      <c r="O144" s="48"/>
      <c r="P144" s="47"/>
      <c r="Q144" s="47"/>
      <c r="R144" s="47"/>
      <c r="S144" s="49"/>
      <c r="T144" s="49"/>
      <c r="U144" s="49"/>
      <c r="V144" s="49"/>
      <c r="W144" s="50"/>
    </row>
    <row r="145" spans="2:23" s="2" customFormat="1" ht="15" x14ac:dyDescent="0.25">
      <c r="B145" s="31"/>
      <c r="E145" s="31"/>
      <c r="F145" s="31"/>
      <c r="G145" s="31"/>
      <c r="H145" s="20"/>
      <c r="I145" s="31"/>
      <c r="J145" s="31"/>
      <c r="K145" s="87"/>
      <c r="L145" s="97"/>
      <c r="M145" s="47"/>
      <c r="N145" s="47"/>
      <c r="O145" s="48"/>
      <c r="P145" s="47"/>
      <c r="Q145" s="47"/>
      <c r="R145" s="47"/>
      <c r="S145" s="49"/>
      <c r="T145" s="49"/>
      <c r="U145" s="49"/>
      <c r="V145" s="49"/>
      <c r="W145" s="50"/>
    </row>
    <row r="146" spans="2:23" s="2" customFormat="1" ht="15" x14ac:dyDescent="0.25">
      <c r="B146" s="31"/>
      <c r="C146" s="113" t="s">
        <v>67</v>
      </c>
      <c r="D146" s="113"/>
      <c r="E146" s="31"/>
      <c r="F146" s="31"/>
      <c r="G146" s="31"/>
      <c r="H146" s="20"/>
      <c r="I146" s="31"/>
      <c r="J146" s="31"/>
      <c r="K146" s="87"/>
      <c r="L146" s="97"/>
      <c r="M146" s="47"/>
      <c r="N146" s="47"/>
      <c r="O146" s="48"/>
      <c r="P146" s="47"/>
      <c r="Q146" s="47"/>
      <c r="R146" s="47"/>
      <c r="S146" s="49"/>
      <c r="T146" s="49"/>
      <c r="U146" s="49"/>
      <c r="V146" s="49"/>
      <c r="W146" s="50"/>
    </row>
    <row r="147" spans="2:23" s="2" customFormat="1" ht="15" x14ac:dyDescent="0.25">
      <c r="B147" s="31" t="s">
        <v>87</v>
      </c>
      <c r="D147" s="2" t="s">
        <v>97</v>
      </c>
      <c r="E147" s="31">
        <v>2021</v>
      </c>
      <c r="F147" s="31">
        <v>6</v>
      </c>
      <c r="G147" s="31">
        <v>11</v>
      </c>
      <c r="H147" s="20">
        <v>0</v>
      </c>
      <c r="I147" s="31" t="s">
        <v>46</v>
      </c>
      <c r="J147" s="31">
        <v>20</v>
      </c>
      <c r="K147" s="2">
        <f>+E147+J147</f>
        <v>2041</v>
      </c>
      <c r="L147" s="47">
        <v>1042</v>
      </c>
      <c r="M147" s="47">
        <f>L147/J147/12</f>
        <v>4.3416666666666668</v>
      </c>
      <c r="N147" s="47">
        <f>IF(U147&lt;=T147,0,L147/J147)</f>
        <v>52.1</v>
      </c>
      <c r="O147" s="48">
        <v>1</v>
      </c>
      <c r="P147" s="47">
        <f>IF(S147&gt;T147,0,IF(U147&lt;V147,L147,IF((AND((U147&gt;=V147),(U147&lt;=T147))),(L147-N147),IF((AND((V147&lt;=S147),(T147&gt;=S147))),0,IF(U147&gt;T147,((V147-S147)*12)*M147,0)))))</f>
        <v>82.491666666662724</v>
      </c>
      <c r="Q147" s="47">
        <f>P147+N147</f>
        <v>134.59166666666272</v>
      </c>
      <c r="R147" s="47">
        <f>+L147-Q147</f>
        <v>907.40833333333728</v>
      </c>
      <c r="S147" s="49">
        <f>$E147+(($F147-1)/12)</f>
        <v>2021.4166666666667</v>
      </c>
      <c r="T147" s="49">
        <f t="shared" si="38"/>
        <v>2024</v>
      </c>
      <c r="U147" s="49">
        <f>$K147+(($F147-1)/12)</f>
        <v>2041.4166666666667</v>
      </c>
      <c r="V147" s="49">
        <f t="shared" si="40"/>
        <v>2023</v>
      </c>
      <c r="W147" s="50"/>
    </row>
    <row r="148" spans="2:23" s="2" customFormat="1" ht="15" x14ac:dyDescent="0.25">
      <c r="B148" s="31"/>
      <c r="E148" s="31"/>
      <c r="F148" s="31"/>
      <c r="G148" s="31"/>
      <c r="H148" s="20"/>
      <c r="I148" s="31"/>
      <c r="J148" s="31"/>
      <c r="L148" s="47"/>
      <c r="M148" s="47"/>
      <c r="N148" s="47"/>
      <c r="O148" s="48"/>
      <c r="P148" s="47"/>
      <c r="Q148" s="47"/>
      <c r="R148" s="47"/>
      <c r="S148" s="49"/>
      <c r="T148" s="49"/>
      <c r="U148" s="49"/>
      <c r="V148" s="49"/>
      <c r="W148" s="50"/>
    </row>
    <row r="149" spans="2:23" s="53" customFormat="1" ht="15" x14ac:dyDescent="0.25">
      <c r="B149" s="27"/>
      <c r="C149" s="114" t="s">
        <v>69</v>
      </c>
      <c r="D149" s="114"/>
      <c r="E149" s="27"/>
      <c r="F149" s="27"/>
      <c r="G149" s="27"/>
      <c r="H149" s="52"/>
      <c r="I149" s="27"/>
      <c r="J149" s="27"/>
      <c r="L149" s="55">
        <f>SUM(L147:L148)</f>
        <v>1042</v>
      </c>
      <c r="M149" s="54"/>
      <c r="N149" s="55">
        <f>SUM(N147:N148)</f>
        <v>52.1</v>
      </c>
      <c r="O149" s="56"/>
      <c r="P149" s="55">
        <f>SUM(P147:P148)</f>
        <v>82.491666666662724</v>
      </c>
      <c r="Q149" s="55">
        <f>SUM(Q147:Q148)</f>
        <v>134.59166666666272</v>
      </c>
      <c r="R149" s="55">
        <f>SUM(R147:R148)</f>
        <v>907.40833333333728</v>
      </c>
      <c r="S149" s="57"/>
      <c r="T149" s="57"/>
      <c r="U149" s="57"/>
      <c r="V149" s="57"/>
      <c r="W149" s="58"/>
    </row>
    <row r="150" spans="2:23" s="53" customFormat="1" ht="15" x14ac:dyDescent="0.25">
      <c r="B150" s="27"/>
      <c r="C150" s="51"/>
      <c r="D150" s="51"/>
      <c r="E150" s="27"/>
      <c r="F150" s="27"/>
      <c r="G150" s="27"/>
      <c r="H150" s="52"/>
      <c r="I150" s="27"/>
      <c r="J150" s="27"/>
      <c r="K150" s="87"/>
      <c r="L150" s="97"/>
      <c r="M150" s="54"/>
      <c r="N150" s="59"/>
      <c r="O150" s="56"/>
      <c r="P150" s="59"/>
      <c r="Q150" s="59"/>
      <c r="R150" s="59"/>
      <c r="S150" s="57"/>
      <c r="T150" s="57"/>
      <c r="U150" s="57"/>
      <c r="V150" s="57"/>
      <c r="W150" s="58"/>
    </row>
    <row r="151" spans="2:23" s="53" customFormat="1" ht="15" x14ac:dyDescent="0.25">
      <c r="B151" s="27"/>
      <c r="C151" s="51"/>
      <c r="D151" s="51"/>
      <c r="E151" s="27"/>
      <c r="F151" s="27"/>
      <c r="G151" s="27"/>
      <c r="H151" s="52"/>
      <c r="I151" s="27"/>
      <c r="J151" s="27"/>
      <c r="K151" s="87"/>
      <c r="L151" s="97"/>
      <c r="M151" s="54"/>
      <c r="N151" s="59"/>
      <c r="O151" s="56"/>
      <c r="P151" s="59"/>
      <c r="Q151" s="59"/>
      <c r="R151" s="59"/>
      <c r="S151" s="57"/>
      <c r="T151" s="57"/>
      <c r="U151" s="57"/>
      <c r="V151" s="57"/>
      <c r="W151" s="58"/>
    </row>
    <row r="152" spans="2:23" s="2" customFormat="1" ht="15" x14ac:dyDescent="0.25">
      <c r="B152" s="31"/>
      <c r="C152" s="113" t="s">
        <v>98</v>
      </c>
      <c r="D152" s="113"/>
      <c r="E152" s="31"/>
      <c r="F152" s="31"/>
      <c r="G152" s="31"/>
      <c r="H152" s="20"/>
      <c r="I152" s="31"/>
      <c r="J152" s="31"/>
      <c r="L152" s="47"/>
      <c r="M152" s="47"/>
      <c r="N152" s="47"/>
      <c r="O152" s="48"/>
      <c r="P152" s="47"/>
      <c r="Q152" s="47"/>
      <c r="R152" s="47"/>
      <c r="S152" s="49"/>
      <c r="T152" s="49"/>
      <c r="U152" s="49"/>
      <c r="V152" s="49"/>
      <c r="W152" s="50"/>
    </row>
    <row r="153" spans="2:23" s="2" customFormat="1" ht="15" x14ac:dyDescent="0.25">
      <c r="B153" s="31" t="s">
        <v>87</v>
      </c>
      <c r="D153" s="2" t="s">
        <v>99</v>
      </c>
      <c r="E153" s="31">
        <v>2011</v>
      </c>
      <c r="F153" s="31">
        <v>12</v>
      </c>
      <c r="G153" s="31">
        <v>31</v>
      </c>
      <c r="H153" s="94">
        <v>0</v>
      </c>
      <c r="I153" s="31" t="s">
        <v>46</v>
      </c>
      <c r="J153" s="31">
        <v>5</v>
      </c>
      <c r="K153" s="2">
        <f>+E153+J153</f>
        <v>2016</v>
      </c>
      <c r="L153" s="91">
        <v>1354</v>
      </c>
      <c r="M153" s="91">
        <f>L153/J153/12</f>
        <v>22.566666666666666</v>
      </c>
      <c r="N153" s="91">
        <f>IF(U153&lt;=T153,0,L153/J153)</f>
        <v>0</v>
      </c>
      <c r="O153" s="48">
        <v>1</v>
      </c>
      <c r="P153" s="91">
        <f>IF(S153&gt;T153,0,IF(U153&lt;V153,L153,IF((AND((U153&gt;=V153),(U153&lt;=T153))),(L153-N153),IF((AND((V153&lt;=S153),(T153&gt;=S153))),0,IF(U153&gt;T153,((V153-S153)*12)*M153,0)))))</f>
        <v>1354</v>
      </c>
      <c r="Q153" s="91">
        <f>P153+N153</f>
        <v>1354</v>
      </c>
      <c r="R153" s="91">
        <f>+L153-Q153</f>
        <v>0</v>
      </c>
      <c r="S153" s="49">
        <f t="shared" ref="S153:S158" si="95">$E153+(($F153-1)/12)</f>
        <v>2011.9166666666667</v>
      </c>
      <c r="T153" s="49">
        <f>($M$7+1)-($M$4/12)</f>
        <v>2024</v>
      </c>
      <c r="U153" s="49">
        <f t="shared" ref="U153:U158" si="96">$K153+(($F153-1)/12)</f>
        <v>2016.9166666666667</v>
      </c>
      <c r="V153" s="49">
        <f>$M$6+($M$5/12)</f>
        <v>2023</v>
      </c>
      <c r="W153" s="50"/>
    </row>
    <row r="154" spans="2:23" s="2" customFormat="1" ht="15" x14ac:dyDescent="0.25">
      <c r="B154" s="31" t="s">
        <v>87</v>
      </c>
      <c r="D154" s="2" t="s">
        <v>99</v>
      </c>
      <c r="E154" s="31">
        <v>2012</v>
      </c>
      <c r="F154" s="31">
        <v>8</v>
      </c>
      <c r="G154" s="31">
        <v>6</v>
      </c>
      <c r="H154" s="94">
        <v>0</v>
      </c>
      <c r="I154" s="31" t="s">
        <v>46</v>
      </c>
      <c r="J154" s="31">
        <v>5</v>
      </c>
      <c r="K154" s="2">
        <f>+E154+J154</f>
        <v>2017</v>
      </c>
      <c r="L154" s="91">
        <v>1083</v>
      </c>
      <c r="M154" s="91">
        <f>L154/J154/12</f>
        <v>18.05</v>
      </c>
      <c r="N154" s="91">
        <f>IF(U154&lt;=T154,0,L154/J154)</f>
        <v>0</v>
      </c>
      <c r="O154" s="48">
        <v>1</v>
      </c>
      <c r="P154" s="91">
        <f>IF(S154&gt;T154,0,IF(U154&lt;V154,L154,IF((AND((U154&gt;=V154),(U154&lt;=T154))),(L154-N154),IF((AND((V154&lt;=S154),(T154&gt;=S154))),0,IF(U154&gt;T154,((V154-S154)*12)*M154,0)))))</f>
        <v>1083</v>
      </c>
      <c r="Q154" s="91">
        <f>P154+N154</f>
        <v>1083</v>
      </c>
      <c r="R154" s="91">
        <f>+L154-Q154</f>
        <v>0</v>
      </c>
      <c r="S154" s="49">
        <f t="shared" si="95"/>
        <v>2012.5833333333333</v>
      </c>
      <c r="T154" s="49">
        <f>($M$7+1)-($M$4/12)</f>
        <v>2024</v>
      </c>
      <c r="U154" s="49">
        <f t="shared" si="96"/>
        <v>2017.5833333333333</v>
      </c>
      <c r="V154" s="49">
        <f>$M$6+($M$5/12)</f>
        <v>2023</v>
      </c>
      <c r="W154" s="50"/>
    </row>
    <row r="155" spans="2:23" s="2" customFormat="1" ht="15" x14ac:dyDescent="0.25">
      <c r="B155" s="31" t="s">
        <v>87</v>
      </c>
      <c r="D155" s="2" t="s">
        <v>100</v>
      </c>
      <c r="E155" s="31">
        <v>2014</v>
      </c>
      <c r="F155" s="31">
        <v>12</v>
      </c>
      <c r="G155" s="31">
        <v>31</v>
      </c>
      <c r="H155" s="94">
        <v>0</v>
      </c>
      <c r="I155" s="31" t="s">
        <v>46</v>
      </c>
      <c r="J155" s="31">
        <v>5</v>
      </c>
      <c r="K155" s="2">
        <f>+E155+J155</f>
        <v>2019</v>
      </c>
      <c r="L155" s="91">
        <v>2500</v>
      </c>
      <c r="M155" s="91">
        <f>L155/J155/12</f>
        <v>41.666666666666664</v>
      </c>
      <c r="N155" s="91">
        <f>IF(U155&lt;=T155,0,L155/J155)</f>
        <v>0</v>
      </c>
      <c r="O155" s="48">
        <v>1</v>
      </c>
      <c r="P155" s="91">
        <f>IF(S155&gt;T155,0,IF(U155&lt;V155,L155,IF((AND((U155&gt;=V155),(U155&lt;=T155))),(L155-N155),IF((AND((V155&lt;=S155),(T155&gt;=S155))),0,IF(U155&gt;T155,((V155-S155)*12)*M155,0)))))</f>
        <v>2500</v>
      </c>
      <c r="Q155" s="91">
        <f>P155+N155</f>
        <v>2500</v>
      </c>
      <c r="R155" s="91">
        <f>+L155-Q155</f>
        <v>0</v>
      </c>
      <c r="S155" s="49">
        <f t="shared" si="95"/>
        <v>2014.9166666666667</v>
      </c>
      <c r="T155" s="49">
        <f>($M$7+1)-($M$4/12)</f>
        <v>2024</v>
      </c>
      <c r="U155" s="49">
        <f t="shared" si="96"/>
        <v>2019.9166666666667</v>
      </c>
      <c r="V155" s="49">
        <f>$M$6+($M$5/12)</f>
        <v>2023</v>
      </c>
      <c r="W155" s="50"/>
    </row>
    <row r="156" spans="2:23" s="2" customFormat="1" ht="15" x14ac:dyDescent="0.25">
      <c r="B156" s="31" t="s">
        <v>87</v>
      </c>
      <c r="D156" s="2" t="s">
        <v>101</v>
      </c>
      <c r="E156" s="31">
        <v>2020</v>
      </c>
      <c r="F156" s="31">
        <v>3</v>
      </c>
      <c r="G156" s="31">
        <v>4</v>
      </c>
      <c r="H156" s="94">
        <v>0</v>
      </c>
      <c r="I156" s="31" t="s">
        <v>46</v>
      </c>
      <c r="J156" s="31">
        <v>20</v>
      </c>
      <c r="K156" s="2">
        <f>+E156+J156</f>
        <v>2040</v>
      </c>
      <c r="L156" s="91">
        <v>769</v>
      </c>
      <c r="M156" s="91">
        <f>L156/J156/12</f>
        <v>3.2041666666666671</v>
      </c>
      <c r="N156" s="91">
        <f>IF(U156&lt;=T156,0,L156/J156)</f>
        <v>38.450000000000003</v>
      </c>
      <c r="O156" s="48">
        <v>1</v>
      </c>
      <c r="P156" s="91">
        <f>IF(S156&gt;T156,0,IF(U156&lt;V156,L156,IF((AND((U156&gt;=V156),(U156&lt;=T156))),(L156-N156),IF((AND((V156&lt;=S156),(T156&gt;=S156))),0,IF(U156&gt;T156,((V156-S156)*12)*M156,0)))))</f>
        <v>108.94166666666376</v>
      </c>
      <c r="Q156" s="91">
        <f>P156+N156</f>
        <v>147.39166666666375</v>
      </c>
      <c r="R156" s="91">
        <f>+L156-Q156</f>
        <v>621.6083333333363</v>
      </c>
      <c r="S156" s="49">
        <f t="shared" si="95"/>
        <v>2020.1666666666667</v>
      </c>
      <c r="T156" s="49">
        <f t="shared" si="38"/>
        <v>2024</v>
      </c>
      <c r="U156" s="49">
        <f t="shared" si="96"/>
        <v>2040.1666666666667</v>
      </c>
      <c r="V156" s="49">
        <f t="shared" si="40"/>
        <v>2023</v>
      </c>
      <c r="W156" s="50"/>
    </row>
    <row r="157" spans="2:23" s="2" customFormat="1" ht="15" x14ac:dyDescent="0.25">
      <c r="B157" s="31" t="s">
        <v>87</v>
      </c>
      <c r="D157" s="2" t="s">
        <v>102</v>
      </c>
      <c r="E157" s="31">
        <v>2023</v>
      </c>
      <c r="F157" s="31">
        <v>3</v>
      </c>
      <c r="G157" s="31">
        <v>16</v>
      </c>
      <c r="H157" s="94">
        <v>0</v>
      </c>
      <c r="I157" s="31" t="s">
        <v>46</v>
      </c>
      <c r="J157" s="31">
        <v>5</v>
      </c>
      <c r="K157" s="2">
        <f>+E157+J157</f>
        <v>2028</v>
      </c>
      <c r="L157" s="91">
        <v>606</v>
      </c>
      <c r="M157" s="91">
        <f>L157/J157/12</f>
        <v>10.1</v>
      </c>
      <c r="N157" s="91">
        <f>IF(U157&lt;=T157,0,L157/J157)</f>
        <v>121.2</v>
      </c>
      <c r="O157" s="48">
        <v>1</v>
      </c>
      <c r="P157" s="91">
        <f>IF(S157&gt;T157,0,IF(U157&lt;V157,L157,IF((AND((U157&gt;=V157),(U157&lt;=T157))),(L157-N157),IF((AND((V157&lt;=S157),(T157&gt;=S157))),0,IF(U157&gt;T157,((V157-S157)*12)*M157,0)))))</f>
        <v>0</v>
      </c>
      <c r="Q157" s="91">
        <f>P157+N157</f>
        <v>121.2</v>
      </c>
      <c r="R157" s="91">
        <f>+L157-Q157</f>
        <v>484.8</v>
      </c>
      <c r="S157" s="49">
        <f t="shared" si="95"/>
        <v>2023.1666666666667</v>
      </c>
      <c r="T157" s="49">
        <f>($M$7+1)-($M$4/12)</f>
        <v>2024</v>
      </c>
      <c r="U157" s="49">
        <f t="shared" si="96"/>
        <v>2028.1666666666667</v>
      </c>
      <c r="V157" s="49">
        <f>$M$6+($M$5/12)</f>
        <v>2023</v>
      </c>
      <c r="W157" s="50"/>
    </row>
    <row r="158" spans="2:23" s="2" customFormat="1" ht="15" x14ac:dyDescent="0.25">
      <c r="B158" s="31" t="s">
        <v>87</v>
      </c>
      <c r="D158" s="2" t="s">
        <v>103</v>
      </c>
      <c r="E158" s="31">
        <v>2023</v>
      </c>
      <c r="F158" s="31">
        <v>3</v>
      </c>
      <c r="G158" s="31">
        <v>28</v>
      </c>
      <c r="H158" s="94">
        <v>0</v>
      </c>
      <c r="I158" s="31" t="s">
        <v>46</v>
      </c>
      <c r="J158" s="31">
        <v>5</v>
      </c>
      <c r="K158" s="2">
        <f t="shared" ref="K158" si="97">+E158+J158</f>
        <v>2028</v>
      </c>
      <c r="L158" s="91">
        <v>4569</v>
      </c>
      <c r="M158" s="91">
        <f t="shared" ref="M158" si="98">L158/J158/12</f>
        <v>76.149999999999991</v>
      </c>
      <c r="N158" s="91">
        <f t="shared" ref="N158" si="99">IF(U158&lt;=T158,0,L158/J158)</f>
        <v>913.8</v>
      </c>
      <c r="O158" s="48">
        <v>1</v>
      </c>
      <c r="P158" s="91">
        <f t="shared" ref="P158" si="100">IF(S158&gt;T158,0,IF(U158&lt;V158,L158,IF((AND((U158&gt;=V158),(U158&lt;=T158))),(L158-N158),IF((AND((V158&lt;=S158),(T158&gt;=S158))),0,IF(U158&gt;T158,((V158-S158)*12)*M158,0)))))</f>
        <v>0</v>
      </c>
      <c r="Q158" s="91">
        <f t="shared" ref="Q158" si="101">P158+N158</f>
        <v>913.8</v>
      </c>
      <c r="R158" s="91">
        <f t="shared" ref="R158" si="102">+L158-Q158</f>
        <v>3655.2</v>
      </c>
      <c r="S158" s="49">
        <f t="shared" si="95"/>
        <v>2023.1666666666667</v>
      </c>
      <c r="T158" s="49">
        <f>($M$7+1)-($M$4/12)</f>
        <v>2024</v>
      </c>
      <c r="U158" s="49">
        <f t="shared" si="96"/>
        <v>2028.1666666666667</v>
      </c>
      <c r="V158" s="49">
        <f>$M$6+($M$5/12)</f>
        <v>2023</v>
      </c>
      <c r="W158" s="50"/>
    </row>
    <row r="159" spans="2:23" s="2" customFormat="1" ht="15" x14ac:dyDescent="0.25">
      <c r="B159" s="31"/>
      <c r="E159" s="31"/>
      <c r="F159" s="31"/>
      <c r="G159" s="31"/>
      <c r="H159" s="20"/>
      <c r="I159" s="31"/>
      <c r="J159" s="31"/>
      <c r="L159" s="47"/>
      <c r="M159" s="47"/>
      <c r="N159" s="47"/>
      <c r="O159" s="48"/>
      <c r="P159" s="47"/>
      <c r="Q159" s="47"/>
      <c r="R159" s="47"/>
      <c r="S159" s="49"/>
      <c r="T159" s="49"/>
      <c r="U159" s="49"/>
      <c r="V159" s="49"/>
      <c r="W159" s="50"/>
    </row>
    <row r="160" spans="2:23" s="53" customFormat="1" ht="15" x14ac:dyDescent="0.25">
      <c r="B160" s="27"/>
      <c r="C160" s="114" t="s">
        <v>104</v>
      </c>
      <c r="D160" s="114"/>
      <c r="E160" s="27"/>
      <c r="F160" s="27"/>
      <c r="G160" s="27"/>
      <c r="H160" s="52"/>
      <c r="I160" s="27"/>
      <c r="J160" s="27"/>
      <c r="L160" s="55">
        <f>SUM(L153:L159)</f>
        <v>10881</v>
      </c>
      <c r="M160" s="54"/>
      <c r="N160" s="55">
        <f>SUM(N153:N159)</f>
        <v>1073.45</v>
      </c>
      <c r="O160" s="56"/>
      <c r="P160" s="55">
        <f>SUM(P153:P159)</f>
        <v>5045.9416666666639</v>
      </c>
      <c r="Q160" s="55">
        <f>SUM(Q153:Q159)</f>
        <v>6119.3916666666637</v>
      </c>
      <c r="R160" s="55">
        <f>SUM(R153:R159)</f>
        <v>4761.6083333333363</v>
      </c>
      <c r="S160" s="57"/>
      <c r="T160" s="57"/>
      <c r="U160" s="57"/>
      <c r="V160" s="57"/>
      <c r="W160" s="58"/>
    </row>
    <row r="161" spans="2:23" s="2" customFormat="1" ht="15" x14ac:dyDescent="0.25">
      <c r="B161" s="31"/>
      <c r="E161" s="31"/>
      <c r="F161" s="31"/>
      <c r="G161" s="31"/>
      <c r="H161" s="20"/>
      <c r="I161" s="31"/>
      <c r="J161" s="31"/>
      <c r="K161" s="87"/>
      <c r="L161" s="97"/>
      <c r="M161" s="47"/>
      <c r="N161" s="47"/>
      <c r="O161" s="48"/>
      <c r="P161" s="47"/>
      <c r="Q161" s="47"/>
      <c r="R161" s="47"/>
      <c r="S161" s="49"/>
      <c r="T161" s="49"/>
      <c r="U161" s="49"/>
      <c r="V161" s="49"/>
      <c r="W161" s="50"/>
    </row>
    <row r="162" spans="2:23" s="2" customFormat="1" ht="15" x14ac:dyDescent="0.25">
      <c r="B162" s="31"/>
      <c r="E162" s="31"/>
      <c r="F162" s="31"/>
      <c r="G162" s="31"/>
      <c r="H162" s="20"/>
      <c r="I162" s="31"/>
      <c r="J162" s="31"/>
      <c r="K162" s="87"/>
      <c r="L162" s="97"/>
      <c r="M162" s="47"/>
      <c r="N162" s="47"/>
      <c r="O162" s="48"/>
      <c r="P162" s="47"/>
      <c r="Q162" s="47"/>
      <c r="R162" s="47"/>
      <c r="S162" s="49"/>
      <c r="T162" s="49"/>
      <c r="U162" s="49"/>
      <c r="V162" s="49"/>
      <c r="W162" s="50"/>
    </row>
    <row r="163" spans="2:23" s="2" customFormat="1" ht="15" x14ac:dyDescent="0.25">
      <c r="B163" s="31"/>
      <c r="C163" s="113" t="s">
        <v>70</v>
      </c>
      <c r="D163" s="113"/>
      <c r="E163" s="31"/>
      <c r="F163" s="31"/>
      <c r="G163" s="31"/>
      <c r="H163" s="20"/>
      <c r="I163" s="31"/>
      <c r="J163" s="31"/>
      <c r="L163" s="47"/>
      <c r="M163" s="47"/>
      <c r="N163" s="47"/>
      <c r="O163" s="48"/>
      <c r="P163" s="47"/>
      <c r="Q163" s="47"/>
      <c r="R163" s="47"/>
      <c r="S163" s="49"/>
      <c r="T163" s="49"/>
      <c r="U163" s="49"/>
      <c r="V163" s="49"/>
      <c r="W163" s="50"/>
    </row>
    <row r="164" spans="2:23" s="79" customFormat="1" ht="15" x14ac:dyDescent="0.25">
      <c r="B164" s="80" t="s">
        <v>87</v>
      </c>
      <c r="D164" s="79" t="s">
        <v>105</v>
      </c>
      <c r="E164" s="80">
        <v>2017</v>
      </c>
      <c r="F164" s="80">
        <v>4</v>
      </c>
      <c r="G164" s="80">
        <v>7</v>
      </c>
      <c r="H164" s="81">
        <v>0</v>
      </c>
      <c r="I164" s="80" t="s">
        <v>46</v>
      </c>
      <c r="J164" s="80">
        <v>7</v>
      </c>
      <c r="K164" s="79">
        <f>+E164+J164</f>
        <v>2024</v>
      </c>
      <c r="L164" s="60">
        <v>11076</v>
      </c>
      <c r="M164" s="60">
        <f>L164/J164/12</f>
        <v>131.85714285714286</v>
      </c>
      <c r="N164" s="60">
        <f>IF(U164&lt;=T164,0,L164/J164)</f>
        <v>1582.2857142857142</v>
      </c>
      <c r="O164" s="82">
        <v>1</v>
      </c>
      <c r="P164" s="60">
        <f>IF(S164&gt;T164,0,IF(U164&lt;V164,L164,IF((AND((U164&gt;=V164),(U164&lt;=T164))),(L164-N164),IF((AND((V164&lt;=S164),(T164&gt;=S164))),0,IF(U164&gt;T164,((V164-S164)*12)*M164,0)))))</f>
        <v>9098.1428571428569</v>
      </c>
      <c r="Q164" s="60">
        <f>P164+N164</f>
        <v>10680.428571428571</v>
      </c>
      <c r="R164" s="60">
        <f>+L164-Q164</f>
        <v>395.57142857142935</v>
      </c>
      <c r="S164" s="83">
        <f>$E164+(($F164-1)/12)</f>
        <v>2017.25</v>
      </c>
      <c r="T164" s="83">
        <f t="shared" ref="T164:T167" si="103">($M$7+1)-($M$4/12)</f>
        <v>2024</v>
      </c>
      <c r="U164" s="83">
        <f>$K164+(($F164-1)/12)</f>
        <v>2024.25</v>
      </c>
      <c r="V164" s="83">
        <f t="shared" ref="V164:V167" si="104">$M$6+($M$5/12)</f>
        <v>2023</v>
      </c>
      <c r="W164" s="84"/>
    </row>
    <row r="165" spans="2:23" s="2" customFormat="1" ht="15" x14ac:dyDescent="0.25">
      <c r="B165" s="31" t="s">
        <v>87</v>
      </c>
      <c r="D165" s="2" t="s">
        <v>106</v>
      </c>
      <c r="E165" s="31">
        <v>2018</v>
      </c>
      <c r="F165" s="31">
        <v>1</v>
      </c>
      <c r="G165" s="31">
        <v>10</v>
      </c>
      <c r="H165" s="94">
        <v>0</v>
      </c>
      <c r="I165" s="31" t="s">
        <v>46</v>
      </c>
      <c r="J165" s="31">
        <v>7</v>
      </c>
      <c r="K165" s="2">
        <f>+E165+J165</f>
        <v>2025</v>
      </c>
      <c r="L165" s="91">
        <v>40946.93</v>
      </c>
      <c r="M165" s="91">
        <f>L165/J165/12</f>
        <v>487.46345238095233</v>
      </c>
      <c r="N165" s="91">
        <f>IF(U165&lt;=T165,0,L165/J165)</f>
        <v>5849.5614285714282</v>
      </c>
      <c r="O165" s="48">
        <v>1</v>
      </c>
      <c r="P165" s="91">
        <f>IF(S165&gt;T165,0,IF(U165&lt;V165,L165,IF((AND((U165&gt;=V165),(U165&lt;=T165))),(L165-N165),IF((AND((V165&lt;=S165),(T165&gt;=S165))),0,IF(U165&gt;T165,((V165-S165)*12)*M165,0)))))</f>
        <v>29247.807142857138</v>
      </c>
      <c r="Q165" s="91">
        <f>P165+N165</f>
        <v>35097.368571428568</v>
      </c>
      <c r="R165" s="91">
        <f>+L165-Q165</f>
        <v>5849.5614285714328</v>
      </c>
      <c r="S165" s="49">
        <f>$E165+(($F165-1)/12)</f>
        <v>2018</v>
      </c>
      <c r="T165" s="49">
        <f t="shared" si="103"/>
        <v>2024</v>
      </c>
      <c r="U165" s="49">
        <f>$K165+(($F165-1)/12)</f>
        <v>2025</v>
      </c>
      <c r="V165" s="49">
        <f t="shared" si="104"/>
        <v>2023</v>
      </c>
      <c r="W165" s="50"/>
    </row>
    <row r="166" spans="2:23" s="2" customFormat="1" ht="15" x14ac:dyDescent="0.25">
      <c r="B166" s="31" t="s">
        <v>87</v>
      </c>
      <c r="D166" s="2" t="s">
        <v>107</v>
      </c>
      <c r="E166" s="31">
        <v>2019</v>
      </c>
      <c r="F166" s="31">
        <v>12</v>
      </c>
      <c r="G166" s="31">
        <v>31</v>
      </c>
      <c r="H166" s="94">
        <v>0</v>
      </c>
      <c r="I166" s="31" t="s">
        <v>46</v>
      </c>
      <c r="J166" s="31">
        <v>7</v>
      </c>
      <c r="K166" s="2">
        <f>+E166+J166</f>
        <v>2026</v>
      </c>
      <c r="L166" s="91">
        <v>36991</v>
      </c>
      <c r="M166" s="91">
        <f>L166/J166/12</f>
        <v>440.36904761904765</v>
      </c>
      <c r="N166" s="91">
        <f>IF(U166&lt;=T166,0,L166/J166)</f>
        <v>5284.4285714285716</v>
      </c>
      <c r="O166" s="48">
        <v>1</v>
      </c>
      <c r="P166" s="91">
        <f>IF(S166&gt;T166,0,IF(U166&lt;V166,L166,IF((AND((U166&gt;=V166),(U166&lt;=T166))),(L166-N166),IF((AND((V166&lt;=S166),(T166&gt;=S166))),0,IF(U166&gt;T166,((V166-S166)*12)*M166,0)))))</f>
        <v>16293.654761904363</v>
      </c>
      <c r="Q166" s="91">
        <f>P166+N166</f>
        <v>21578.083333332936</v>
      </c>
      <c r="R166" s="91">
        <f>+L166-Q166</f>
        <v>15412.916666667064</v>
      </c>
      <c r="S166" s="49">
        <f>$E166+(($F166-1)/12)</f>
        <v>2019.9166666666667</v>
      </c>
      <c r="T166" s="49">
        <f t="shared" si="103"/>
        <v>2024</v>
      </c>
      <c r="U166" s="49">
        <f>$K166+(($F166-1)/12)</f>
        <v>2026.9166666666667</v>
      </c>
      <c r="V166" s="49">
        <f t="shared" si="104"/>
        <v>2023</v>
      </c>
      <c r="W166" s="50"/>
    </row>
    <row r="167" spans="2:23" s="2" customFormat="1" ht="15" x14ac:dyDescent="0.25">
      <c r="B167" s="31" t="s">
        <v>87</v>
      </c>
      <c r="D167" s="2" t="s">
        <v>108</v>
      </c>
      <c r="E167" s="31">
        <v>2020</v>
      </c>
      <c r="F167" s="31">
        <v>6</v>
      </c>
      <c r="G167" s="31">
        <v>6</v>
      </c>
      <c r="H167" s="94">
        <v>0</v>
      </c>
      <c r="I167" s="31" t="s">
        <v>46</v>
      </c>
      <c r="J167" s="31">
        <v>7</v>
      </c>
      <c r="K167" s="2">
        <f>+E167+J167</f>
        <v>2027</v>
      </c>
      <c r="L167" s="91">
        <v>72839</v>
      </c>
      <c r="M167" s="91">
        <f>L167/J167/12</f>
        <v>867.13095238095241</v>
      </c>
      <c r="N167" s="91">
        <f>IF(U167&lt;=T167,0,L167/J167)</f>
        <v>10405.571428571429</v>
      </c>
      <c r="O167" s="48">
        <v>1</v>
      </c>
      <c r="P167" s="91">
        <f>IF(S167&gt;T167,0,IF(U167&lt;V167,L167,IF((AND((U167&gt;=V167),(U167&lt;=T167))),(L167-N167),IF((AND((V167&lt;=S167),(T167&gt;=S167))),0,IF(U167&gt;T167,((V167-S167)*12)*M167,0)))))</f>
        <v>26881.059523808737</v>
      </c>
      <c r="Q167" s="91">
        <f>P167+N167</f>
        <v>37286.630952380168</v>
      </c>
      <c r="R167" s="91">
        <f>+L167-Q167</f>
        <v>35552.369047619832</v>
      </c>
      <c r="S167" s="49">
        <f>$E167+(($F167-1)/12)</f>
        <v>2020.4166666666667</v>
      </c>
      <c r="T167" s="49">
        <f t="shared" si="103"/>
        <v>2024</v>
      </c>
      <c r="U167" s="49">
        <f>$K167+(($F167-1)/12)</f>
        <v>2027.4166666666667</v>
      </c>
      <c r="V167" s="49">
        <f t="shared" si="104"/>
        <v>2023</v>
      </c>
      <c r="W167" s="50"/>
    </row>
    <row r="168" spans="2:23" s="2" customFormat="1" ht="15" x14ac:dyDescent="0.25">
      <c r="B168" s="31"/>
      <c r="E168" s="31"/>
      <c r="F168" s="31"/>
      <c r="G168" s="31"/>
      <c r="H168" s="20"/>
      <c r="I168" s="31"/>
      <c r="J168" s="31"/>
      <c r="L168" s="47"/>
      <c r="M168" s="47"/>
      <c r="N168" s="47"/>
      <c r="O168" s="48"/>
      <c r="P168" s="47"/>
      <c r="Q168" s="47"/>
      <c r="R168" s="47"/>
      <c r="S168" s="49"/>
      <c r="T168" s="49"/>
      <c r="U168" s="49"/>
      <c r="V168" s="49"/>
      <c r="W168" s="50"/>
    </row>
    <row r="169" spans="2:23" s="53" customFormat="1" ht="15" x14ac:dyDescent="0.25">
      <c r="B169" s="27"/>
      <c r="C169" s="114" t="s">
        <v>72</v>
      </c>
      <c r="D169" s="114"/>
      <c r="E169" s="27"/>
      <c r="F169" s="27"/>
      <c r="G169" s="27"/>
      <c r="H169" s="52"/>
      <c r="I169" s="27"/>
      <c r="J169" s="27"/>
      <c r="L169" s="55">
        <f>SUM(L164:L168)</f>
        <v>161852.93</v>
      </c>
      <c r="M169" s="54"/>
      <c r="N169" s="55">
        <f>SUM(N164:N168)</f>
        <v>23121.847142857143</v>
      </c>
      <c r="O169" s="56"/>
      <c r="P169" s="55">
        <f>SUM(P164:P168)</f>
        <v>81520.664285713094</v>
      </c>
      <c r="Q169" s="55">
        <f>SUM(Q164:Q168)</f>
        <v>104642.51142857023</v>
      </c>
      <c r="R169" s="55">
        <f>SUM(R164:R168)</f>
        <v>57210.418571429756</v>
      </c>
      <c r="S169" s="57"/>
      <c r="T169" s="57"/>
      <c r="U169" s="57"/>
      <c r="V169" s="57"/>
      <c r="W169" s="58"/>
    </row>
    <row r="170" spans="2:23" s="53" customFormat="1" ht="15" x14ac:dyDescent="0.25">
      <c r="B170" s="27"/>
      <c r="C170" s="51"/>
      <c r="D170" s="51"/>
      <c r="E170" s="27"/>
      <c r="F170" s="27"/>
      <c r="G170" s="27"/>
      <c r="H170" s="52"/>
      <c r="I170" s="27"/>
      <c r="J170" s="27"/>
      <c r="L170" s="59"/>
      <c r="M170" s="54"/>
      <c r="N170" s="59"/>
      <c r="O170" s="56"/>
      <c r="P170" s="59"/>
      <c r="Q170" s="59"/>
      <c r="R170" s="59"/>
      <c r="S170" s="57"/>
      <c r="T170" s="57"/>
      <c r="U170" s="57"/>
      <c r="V170" s="57"/>
      <c r="W170" s="58"/>
    </row>
    <row r="171" spans="2:23" s="72" customFormat="1" ht="15" x14ac:dyDescent="0.25">
      <c r="B171" s="70"/>
      <c r="C171" s="112" t="s">
        <v>109</v>
      </c>
      <c r="D171" s="112"/>
      <c r="E171" s="70"/>
      <c r="F171" s="70"/>
      <c r="G171" s="70"/>
      <c r="H171" s="71"/>
      <c r="I171" s="70"/>
      <c r="J171" s="70"/>
      <c r="L171" s="73">
        <f>SUM(L127,L134,L143,L149,L160,L169)</f>
        <v>785361.92999999993</v>
      </c>
      <c r="M171" s="74"/>
      <c r="N171" s="73">
        <f>SUM(N127,N134,N143,N149,N160,N169)</f>
        <v>49586.580476190473</v>
      </c>
      <c r="O171" s="75"/>
      <c r="P171" s="73">
        <f>SUM(P127,P134,P143,P149,P160,P169)</f>
        <v>124984.88373015731</v>
      </c>
      <c r="Q171" s="73">
        <f>SUM(Q127,Q134,Q143,Q149,Q160,Q169)</f>
        <v>174571.46420634777</v>
      </c>
      <c r="R171" s="73">
        <f>SUM(R127,R134,R143,R149,R160,R169)</f>
        <v>610790.46579365211</v>
      </c>
      <c r="S171" s="76"/>
      <c r="T171" s="76"/>
      <c r="U171" s="76"/>
      <c r="V171" s="76"/>
      <c r="W171" s="77"/>
    </row>
    <row r="172" spans="2:23" s="2" customFormat="1" ht="15" x14ac:dyDescent="0.25">
      <c r="B172" s="31"/>
      <c r="E172" s="31"/>
      <c r="F172" s="31"/>
      <c r="G172" s="31"/>
      <c r="H172" s="20"/>
      <c r="I172" s="31"/>
      <c r="J172" s="31"/>
      <c r="L172" s="47"/>
      <c r="M172" s="47"/>
      <c r="N172" s="47"/>
      <c r="O172" s="48"/>
      <c r="P172" s="47"/>
      <c r="Q172" s="47"/>
      <c r="R172" s="47"/>
      <c r="S172" s="49"/>
      <c r="T172" s="49"/>
      <c r="U172" s="49"/>
      <c r="V172" s="49"/>
      <c r="W172" s="50"/>
    </row>
    <row r="173" spans="2:23" s="53" customFormat="1" ht="15" x14ac:dyDescent="0.25">
      <c r="B173" s="27"/>
      <c r="C173" s="113" t="s">
        <v>110</v>
      </c>
      <c r="D173" s="113"/>
      <c r="E173" s="27"/>
      <c r="F173" s="27"/>
      <c r="G173" s="27"/>
      <c r="H173" s="52"/>
      <c r="I173" s="27"/>
      <c r="J173" s="27"/>
      <c r="L173" s="55">
        <f>SUM(L82,L118,L171)</f>
        <v>5418838.6999999993</v>
      </c>
      <c r="M173" s="54"/>
      <c r="N173" s="55">
        <f>SUM(N82,N118,N171)</f>
        <v>212543.85611904762</v>
      </c>
      <c r="O173" s="56"/>
      <c r="P173" s="55">
        <f>SUM(P82,P118,P171)</f>
        <v>1101566.2242837315</v>
      </c>
      <c r="Q173" s="55">
        <f>SUM(Q82,Q118,Q171)</f>
        <v>1314110.0804027792</v>
      </c>
      <c r="R173" s="55">
        <f>SUM(R82,R118,R171)</f>
        <v>4104728.6195972203</v>
      </c>
      <c r="S173" s="85"/>
      <c r="T173" s="57"/>
      <c r="U173" s="57"/>
      <c r="V173" s="57"/>
      <c r="W173" s="58"/>
    </row>
    <row r="174" spans="2:23" s="2" customFormat="1" ht="15" x14ac:dyDescent="0.25">
      <c r="B174" s="31"/>
      <c r="E174" s="31"/>
      <c r="F174" s="31"/>
      <c r="G174" s="31"/>
      <c r="H174" s="20"/>
      <c r="I174" s="31"/>
      <c r="J174" s="31"/>
      <c r="K174" s="68"/>
      <c r="L174" s="47"/>
      <c r="M174" s="47"/>
      <c r="N174" s="86">
        <f>+N18+N30+N39+N47+N143+N160+N68+N74+N80+N95+N102+N110+N116+N127+N134+N169+N149</f>
        <v>212543.85611904762</v>
      </c>
      <c r="O174" s="87" t="s">
        <v>111</v>
      </c>
      <c r="P174" s="47"/>
      <c r="Q174" s="47"/>
      <c r="R174" s="47"/>
      <c r="S174" s="49"/>
      <c r="T174" s="49"/>
      <c r="U174" s="49"/>
      <c r="V174" s="49"/>
      <c r="W174" s="50"/>
    </row>
    <row r="175" spans="2:23" s="2" customFormat="1" ht="15" x14ac:dyDescent="0.25">
      <c r="B175" s="31"/>
      <c r="E175" s="31"/>
      <c r="F175" s="31"/>
      <c r="G175" s="31"/>
      <c r="H175" s="20"/>
      <c r="I175" s="31"/>
      <c r="J175" s="31"/>
      <c r="K175" s="68"/>
      <c r="L175" s="47"/>
      <c r="M175" s="47"/>
      <c r="N175" s="47"/>
      <c r="O175" s="48"/>
      <c r="P175" s="47"/>
      <c r="Q175" s="47"/>
      <c r="R175" s="47"/>
      <c r="S175" s="49"/>
      <c r="T175" s="49"/>
      <c r="U175" s="49"/>
      <c r="V175" s="49"/>
      <c r="W175" s="50"/>
    </row>
    <row r="176" spans="2:23" s="2" customFormat="1" ht="15" x14ac:dyDescent="0.25">
      <c r="B176" s="31"/>
      <c r="E176" s="31"/>
      <c r="F176" s="31"/>
      <c r="G176" s="31"/>
      <c r="H176" s="20"/>
      <c r="I176" s="31"/>
      <c r="J176" s="31"/>
      <c r="K176" s="68"/>
      <c r="L176" s="47"/>
      <c r="N176" s="47">
        <v>153665</v>
      </c>
      <c r="O176" s="101" t="s">
        <v>112</v>
      </c>
      <c r="P176" s="47"/>
      <c r="Q176" s="47"/>
      <c r="R176" s="47"/>
      <c r="S176" s="49"/>
      <c r="T176" s="49"/>
      <c r="U176" s="49"/>
      <c r="V176" s="49"/>
      <c r="W176" s="50"/>
    </row>
    <row r="177" spans="2:22" s="2" customFormat="1" ht="15" x14ac:dyDescent="0.25">
      <c r="B177" s="31"/>
      <c r="H177" s="20"/>
      <c r="L177" s="88"/>
      <c r="N177" s="99">
        <f>N173-N176</f>
        <v>58878.856119047618</v>
      </c>
      <c r="O177" s="100" t="s">
        <v>113</v>
      </c>
      <c r="S177" s="11"/>
      <c r="T177" s="11"/>
      <c r="U177" s="11"/>
      <c r="V177" s="11"/>
    </row>
    <row r="178" spans="2:22" s="2" customFormat="1" ht="15" x14ac:dyDescent="0.25">
      <c r="B178" s="31"/>
      <c r="H178" s="20"/>
      <c r="L178" s="88"/>
      <c r="S178" s="11"/>
      <c r="T178" s="11"/>
      <c r="U178" s="11"/>
      <c r="V178" s="11"/>
    </row>
    <row r="179" spans="2:22" s="2" customFormat="1" ht="15" x14ac:dyDescent="0.25">
      <c r="B179" s="31"/>
      <c r="H179" s="20"/>
      <c r="L179" s="68"/>
      <c r="S179" s="11"/>
      <c r="T179" s="11"/>
      <c r="U179" s="11"/>
      <c r="V179" s="11"/>
    </row>
    <row r="180" spans="2:22" s="2" customFormat="1" ht="14.45" customHeight="1" x14ac:dyDescent="0.25">
      <c r="B180" s="115" t="s">
        <v>114</v>
      </c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02"/>
      <c r="T180" s="102"/>
      <c r="U180" s="102"/>
      <c r="V180" s="102"/>
    </row>
    <row r="181" spans="2:22" s="2" customFormat="1" ht="15" x14ac:dyDescent="0.25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</row>
    <row r="182" spans="2:22" s="2" customFormat="1" ht="15" x14ac:dyDescent="0.25">
      <c r="B182" s="103" t="s">
        <v>44</v>
      </c>
      <c r="C182" s="103"/>
      <c r="D182" s="103" t="s">
        <v>68</v>
      </c>
      <c r="E182" s="103">
        <v>2024</v>
      </c>
      <c r="F182" s="103">
        <v>8</v>
      </c>
      <c r="G182" s="103">
        <v>1</v>
      </c>
      <c r="H182" s="104">
        <v>0</v>
      </c>
      <c r="I182" s="103" t="s">
        <v>46</v>
      </c>
      <c r="J182" s="103">
        <v>15</v>
      </c>
      <c r="K182" s="103">
        <v>2039</v>
      </c>
      <c r="L182" s="105">
        <v>25103</v>
      </c>
      <c r="M182" s="103">
        <v>139</v>
      </c>
      <c r="N182" s="105">
        <v>1674</v>
      </c>
      <c r="O182" s="104">
        <v>1</v>
      </c>
      <c r="P182" s="103" t="s">
        <v>115</v>
      </c>
      <c r="Q182" s="105">
        <v>1674</v>
      </c>
      <c r="R182" s="105">
        <v>23429</v>
      </c>
      <c r="S182" s="106">
        <v>2024.58</v>
      </c>
      <c r="T182" s="106">
        <v>2024</v>
      </c>
      <c r="U182" s="106">
        <v>2039.58</v>
      </c>
      <c r="V182" s="106">
        <v>2023</v>
      </c>
    </row>
    <row r="183" spans="2:22" s="2" customFormat="1" ht="15" x14ac:dyDescent="0.25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6"/>
      <c r="T183" s="106"/>
      <c r="U183" s="106"/>
      <c r="V183" s="106"/>
    </row>
    <row r="184" spans="2:22" s="2" customFormat="1" ht="15" x14ac:dyDescent="0.25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8">
        <f>'Sch 2.0 - RY Reg Depr'!N67</f>
        <v>1673.5146666666667</v>
      </c>
      <c r="O184" s="107" t="s">
        <v>116</v>
      </c>
      <c r="P184" s="103"/>
      <c r="Q184" s="103"/>
      <c r="R184" s="103"/>
      <c r="S184" s="106"/>
      <c r="T184" s="106"/>
      <c r="U184" s="106"/>
      <c r="V184" s="106"/>
    </row>
    <row r="185" spans="2:22" s="2" customFormat="1" ht="15" x14ac:dyDescent="0.25">
      <c r="B185" s="31"/>
      <c r="H185" s="20"/>
      <c r="S185" s="11"/>
      <c r="T185" s="11"/>
      <c r="U185" s="11"/>
      <c r="V185" s="11"/>
    </row>
    <row r="186" spans="2:22" s="2" customFormat="1" ht="15" x14ac:dyDescent="0.25">
      <c r="B186" s="31"/>
      <c r="H186" s="20"/>
      <c r="S186" s="11"/>
      <c r="T186" s="11"/>
      <c r="U186" s="11"/>
      <c r="V186" s="11"/>
    </row>
  </sheetData>
  <mergeCells count="48">
    <mergeCell ref="C39:D39"/>
    <mergeCell ref="B1:R1"/>
    <mergeCell ref="U4:V4"/>
    <mergeCell ref="U5:V5"/>
    <mergeCell ref="U6:V6"/>
    <mergeCell ref="U7:V7"/>
    <mergeCell ref="C13:D13"/>
    <mergeCell ref="C15:D15"/>
    <mergeCell ref="C18:D18"/>
    <mergeCell ref="C20:D20"/>
    <mergeCell ref="C30:D30"/>
    <mergeCell ref="C33:D33"/>
    <mergeCell ref="B2:R2"/>
    <mergeCell ref="C95:D95"/>
    <mergeCell ref="C42:D42"/>
    <mergeCell ref="C47:D47"/>
    <mergeCell ref="C50:D50"/>
    <mergeCell ref="C68:D68"/>
    <mergeCell ref="C71:D71"/>
    <mergeCell ref="C74:D74"/>
    <mergeCell ref="C76:D76"/>
    <mergeCell ref="C80:D80"/>
    <mergeCell ref="C82:D82"/>
    <mergeCell ref="C85:D85"/>
    <mergeCell ref="C87:D87"/>
    <mergeCell ref="C98:D98"/>
    <mergeCell ref="C102:D102"/>
    <mergeCell ref="C105:D105"/>
    <mergeCell ref="C110:D110"/>
    <mergeCell ref="C113:D113"/>
    <mergeCell ref="C116:D116"/>
    <mergeCell ref="C118:D118"/>
    <mergeCell ref="C121:D121"/>
    <mergeCell ref="C123:D123"/>
    <mergeCell ref="C127:D127"/>
    <mergeCell ref="C171:D171"/>
    <mergeCell ref="C173:D173"/>
    <mergeCell ref="C160:D160"/>
    <mergeCell ref="B180:R180"/>
    <mergeCell ref="C130:D130"/>
    <mergeCell ref="C149:D149"/>
    <mergeCell ref="C152:D152"/>
    <mergeCell ref="C163:D163"/>
    <mergeCell ref="C169:D169"/>
    <mergeCell ref="C137:D137"/>
    <mergeCell ref="C143:D143"/>
    <mergeCell ref="C146:D146"/>
    <mergeCell ref="C134:D134"/>
  </mergeCells>
  <pageMargins left="0.7" right="0.7" top="1" bottom="0.75" header="0.25" footer="0.3"/>
  <pageSetup scale="65" fitToHeight="0" orientation="landscape" r:id="rId1"/>
  <headerFooter scaleWithDoc="0">
    <oddHeader>&amp;L&amp;"-,Bold"Summit View Water Works LLC
TYE 12/31/23&amp;R&amp;"-,Bold"Exhibit AML-02
Schedule 1.0
Pg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3BA8-6F55-44A6-866A-41947EFE6A74}">
  <sheetPr>
    <pageSetUpPr fitToPage="1"/>
  </sheetPr>
  <dimension ref="B1:Y186"/>
  <sheetViews>
    <sheetView tabSelected="1" workbookViewId="0">
      <pane xSplit="4" ySplit="12" topLeftCell="E159" activePane="bottomRight" state="frozen"/>
      <selection pane="topRight" activeCell="E1" sqref="E1"/>
      <selection pane="bottomLeft" activeCell="A12" sqref="A12"/>
      <selection pane="bottomRight" activeCell="I177" sqref="I177"/>
    </sheetView>
  </sheetViews>
  <sheetFormatPr defaultColWidth="9.140625" defaultRowHeight="12" x14ac:dyDescent="0.2"/>
  <cols>
    <col min="1" max="1" width="2.7109375" style="22" customWidth="1"/>
    <col min="2" max="2" width="10.28515625" style="17" bestFit="1" customWidth="1"/>
    <col min="3" max="3" width="9.140625" style="22" bestFit="1" customWidth="1"/>
    <col min="4" max="4" width="30" style="22" bestFit="1" customWidth="1"/>
    <col min="5" max="5" width="9.85546875" style="22" bestFit="1" customWidth="1"/>
    <col min="6" max="6" width="4.42578125" style="22" bestFit="1" customWidth="1"/>
    <col min="7" max="7" width="4.5703125" style="22" bestFit="1" customWidth="1"/>
    <col min="8" max="8" width="8" style="89" bestFit="1" customWidth="1"/>
    <col min="9" max="9" width="7.85546875" style="22" bestFit="1" customWidth="1"/>
    <col min="10" max="10" width="4.42578125" style="22" bestFit="1" customWidth="1"/>
    <col min="11" max="11" width="12.140625" style="22" bestFit="1" customWidth="1"/>
    <col min="12" max="12" width="10.7109375" style="22" bestFit="1" customWidth="1"/>
    <col min="13" max="13" width="12.7109375" style="22" bestFit="1" customWidth="1"/>
    <col min="14" max="14" width="16.7109375" style="22" bestFit="1" customWidth="1"/>
    <col min="15" max="15" width="6" style="22" bestFit="1" customWidth="1"/>
    <col min="16" max="17" width="13" style="22" bestFit="1" customWidth="1"/>
    <col min="18" max="18" width="11.140625" style="22" bestFit="1" customWidth="1"/>
    <col min="19" max="22" width="6.85546875" style="11" bestFit="1" customWidth="1"/>
    <col min="23" max="23" width="2.7109375" style="22" customWidth="1"/>
    <col min="24" max="24" width="25" style="22" bestFit="1" customWidth="1"/>
    <col min="25" max="25" width="7.140625" style="22" bestFit="1" customWidth="1"/>
    <col min="26" max="16384" width="9.140625" style="22"/>
  </cols>
  <sheetData>
    <row r="1" spans="2:23" s="2" customFormat="1" ht="15.75" x14ac:dyDescent="0.2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"/>
      <c r="T1" s="1"/>
      <c r="U1" s="1"/>
      <c r="V1" s="1"/>
      <c r="W1" s="1"/>
    </row>
    <row r="2" spans="2:23" s="2" customFormat="1" ht="15.75" x14ac:dyDescent="0.25">
      <c r="B2" s="116" t="s">
        <v>148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"/>
      <c r="T2" s="1"/>
      <c r="U2" s="1"/>
      <c r="V2" s="1"/>
      <c r="W2" s="1"/>
    </row>
    <row r="3" spans="2:23" s="2" customFormat="1" ht="1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</row>
    <row r="4" spans="2:23" s="11" customFormat="1" x14ac:dyDescent="0.2">
      <c r="B4" s="4"/>
      <c r="C4" s="4"/>
      <c r="D4" s="4"/>
      <c r="E4" s="5"/>
      <c r="F4" s="5"/>
      <c r="G4" s="5"/>
      <c r="H4" s="6"/>
      <c r="I4" s="5"/>
      <c r="J4" s="5"/>
      <c r="K4" s="5"/>
      <c r="L4" s="5"/>
      <c r="M4" s="7">
        <v>12</v>
      </c>
      <c r="N4" s="8" t="s">
        <v>1</v>
      </c>
      <c r="O4" s="9"/>
      <c r="P4" s="9"/>
      <c r="Q4" s="9"/>
      <c r="R4" s="9"/>
      <c r="S4" s="9"/>
      <c r="T4" s="10" t="s">
        <v>2</v>
      </c>
      <c r="U4" s="117" t="s">
        <v>3</v>
      </c>
      <c r="V4" s="117"/>
      <c r="W4" s="10"/>
    </row>
    <row r="5" spans="2:23" s="11" customFormat="1" x14ac:dyDescent="0.2">
      <c r="B5" s="12"/>
      <c r="D5" s="9"/>
      <c r="E5" s="13"/>
      <c r="F5" s="13"/>
      <c r="G5" s="13"/>
      <c r="H5" s="14"/>
      <c r="I5" s="13"/>
      <c r="J5" s="9"/>
      <c r="K5" s="9"/>
      <c r="L5" s="9"/>
      <c r="M5" s="7">
        <v>0</v>
      </c>
      <c r="N5" s="8" t="s">
        <v>4</v>
      </c>
      <c r="O5" s="9"/>
      <c r="P5" s="9"/>
      <c r="Q5" s="9"/>
      <c r="R5" s="9"/>
      <c r="S5" s="9"/>
      <c r="T5" s="10" t="s">
        <v>5</v>
      </c>
      <c r="U5" s="117" t="s">
        <v>6</v>
      </c>
      <c r="V5" s="117"/>
      <c r="W5" s="10"/>
    </row>
    <row r="6" spans="2:23" s="11" customFormat="1" x14ac:dyDescent="0.2">
      <c r="D6" s="15"/>
      <c r="E6" s="13"/>
      <c r="F6" s="13"/>
      <c r="G6" s="13"/>
      <c r="H6" s="14"/>
      <c r="I6" s="13"/>
      <c r="J6" s="9"/>
      <c r="K6" s="9"/>
      <c r="L6" s="9"/>
      <c r="M6" s="16">
        <v>2023</v>
      </c>
      <c r="N6" s="8" t="s">
        <v>7</v>
      </c>
      <c r="O6" s="9"/>
      <c r="P6" s="9"/>
      <c r="Q6" s="9"/>
      <c r="R6" s="9"/>
      <c r="S6" s="9"/>
      <c r="T6" s="10" t="s">
        <v>8</v>
      </c>
      <c r="U6" s="117" t="s">
        <v>9</v>
      </c>
      <c r="V6" s="117"/>
      <c r="W6" s="10"/>
    </row>
    <row r="7" spans="2:23" s="11" customFormat="1" x14ac:dyDescent="0.2">
      <c r="B7" s="12"/>
      <c r="D7" s="9"/>
      <c r="E7" s="13"/>
      <c r="F7" s="13"/>
      <c r="G7" s="13"/>
      <c r="H7" s="14"/>
      <c r="I7" s="13"/>
      <c r="J7" s="9"/>
      <c r="K7" s="9"/>
      <c r="L7" s="9"/>
      <c r="M7" s="16">
        <v>2024</v>
      </c>
      <c r="N7" s="8" t="s">
        <v>10</v>
      </c>
      <c r="O7" s="9"/>
      <c r="P7" s="9"/>
      <c r="Q7" s="9"/>
      <c r="R7" s="9"/>
      <c r="S7" s="9"/>
      <c r="T7" s="10" t="s">
        <v>11</v>
      </c>
      <c r="U7" s="117" t="s">
        <v>12</v>
      </c>
      <c r="V7" s="117"/>
      <c r="W7" s="10"/>
    </row>
    <row r="8" spans="2:23" ht="15" x14ac:dyDescent="0.25">
      <c r="C8" s="2"/>
      <c r="D8" s="1"/>
      <c r="E8" s="19"/>
      <c r="F8" s="19"/>
      <c r="G8" s="19"/>
      <c r="H8" s="20"/>
      <c r="I8" s="19"/>
      <c r="J8" s="1"/>
      <c r="K8" s="1"/>
      <c r="L8" s="1"/>
      <c r="M8" s="1"/>
      <c r="N8" s="1"/>
      <c r="O8" s="1"/>
      <c r="P8" s="18" t="s">
        <v>13</v>
      </c>
      <c r="Q8" s="18" t="s">
        <v>14</v>
      </c>
      <c r="R8" s="1"/>
      <c r="S8" s="9"/>
      <c r="T8" s="9"/>
      <c r="U8" s="10"/>
      <c r="V8" s="10"/>
      <c r="W8" s="21"/>
    </row>
    <row r="9" spans="2:23" ht="15" x14ac:dyDescent="0.25">
      <c r="C9" s="2"/>
      <c r="D9" s="23"/>
      <c r="E9" s="24" t="s">
        <v>15</v>
      </c>
      <c r="F9" s="24"/>
      <c r="G9" s="24"/>
      <c r="H9" s="25" t="s">
        <v>16</v>
      </c>
      <c r="I9" s="18"/>
      <c r="J9" s="23"/>
      <c r="K9" s="18" t="s">
        <v>17</v>
      </c>
      <c r="L9" s="23"/>
      <c r="M9" s="23"/>
      <c r="N9" s="23"/>
      <c r="O9" s="23"/>
      <c r="P9" s="18" t="s">
        <v>18</v>
      </c>
      <c r="Q9" s="18" t="s">
        <v>18</v>
      </c>
      <c r="R9" s="23"/>
      <c r="S9" s="9"/>
      <c r="T9" s="9"/>
      <c r="U9" s="9"/>
      <c r="V9" s="9"/>
      <c r="W9" s="1"/>
    </row>
    <row r="10" spans="2:23" ht="15" x14ac:dyDescent="0.25">
      <c r="B10" s="26" t="s">
        <v>19</v>
      </c>
      <c r="C10" s="27" t="s">
        <v>20</v>
      </c>
      <c r="D10" s="23"/>
      <c r="E10" s="28" t="s">
        <v>21</v>
      </c>
      <c r="F10" s="18"/>
      <c r="G10" s="18"/>
      <c r="H10" s="25" t="s">
        <v>22</v>
      </c>
      <c r="I10" s="18" t="s">
        <v>23</v>
      </c>
      <c r="J10" s="18" t="s">
        <v>24</v>
      </c>
      <c r="K10" s="18" t="s">
        <v>25</v>
      </c>
      <c r="L10" s="18" t="s">
        <v>20</v>
      </c>
      <c r="M10" s="18" t="s">
        <v>26</v>
      </c>
      <c r="N10" s="18" t="s">
        <v>27</v>
      </c>
      <c r="O10" s="18" t="s">
        <v>28</v>
      </c>
      <c r="P10" s="18" t="s">
        <v>29</v>
      </c>
      <c r="Q10" s="18" t="s">
        <v>29</v>
      </c>
      <c r="R10" s="18" t="s">
        <v>30</v>
      </c>
      <c r="S10" s="13"/>
      <c r="T10" s="13"/>
      <c r="U10" s="13"/>
      <c r="V10" s="9"/>
      <c r="W10" s="1"/>
    </row>
    <row r="11" spans="2:23" ht="15" x14ac:dyDescent="0.25">
      <c r="B11" s="26" t="s">
        <v>31</v>
      </c>
      <c r="C11" s="27" t="s">
        <v>32</v>
      </c>
      <c r="D11" s="18" t="s">
        <v>33</v>
      </c>
      <c r="E11" s="18" t="s">
        <v>17</v>
      </c>
      <c r="F11" s="18" t="s">
        <v>34</v>
      </c>
      <c r="G11" s="18" t="s">
        <v>35</v>
      </c>
      <c r="H11" s="25" t="s">
        <v>28</v>
      </c>
      <c r="I11" s="18"/>
      <c r="J11" s="18"/>
      <c r="K11" s="18" t="s">
        <v>36</v>
      </c>
      <c r="L11" s="18" t="s">
        <v>37</v>
      </c>
      <c r="M11" s="18" t="s">
        <v>29</v>
      </c>
      <c r="N11" s="18" t="s">
        <v>29</v>
      </c>
      <c r="O11" s="18" t="s">
        <v>38</v>
      </c>
      <c r="P11" s="29">
        <v>44927</v>
      </c>
      <c r="Q11" s="30">
        <v>45291</v>
      </c>
      <c r="R11" s="18" t="s">
        <v>39</v>
      </c>
      <c r="S11" s="13" t="s">
        <v>2</v>
      </c>
      <c r="T11" s="13" t="s">
        <v>40</v>
      </c>
      <c r="U11" s="13" t="s">
        <v>41</v>
      </c>
      <c r="V11" s="13" t="s">
        <v>11</v>
      </c>
      <c r="W11" s="19"/>
    </row>
    <row r="12" spans="2:23" s="2" customFormat="1" ht="15" x14ac:dyDescent="0.25">
      <c r="B12" s="31"/>
      <c r="D12" s="32"/>
      <c r="E12" s="33"/>
      <c r="F12" s="19"/>
      <c r="G12" s="19"/>
      <c r="H12" s="20"/>
      <c r="I12" s="19"/>
      <c r="J12" s="1"/>
      <c r="K12" s="34"/>
      <c r="L12" s="1"/>
      <c r="M12" s="1"/>
      <c r="N12" s="1"/>
      <c r="O12" s="1"/>
      <c r="P12" s="1"/>
      <c r="Q12" s="1"/>
      <c r="R12" s="1"/>
      <c r="S12" s="9"/>
      <c r="T12" s="9"/>
      <c r="U12" s="9"/>
      <c r="V12" s="35"/>
      <c r="W12" s="36"/>
    </row>
    <row r="13" spans="2:23" s="46" customFormat="1" ht="15" x14ac:dyDescent="0.25">
      <c r="B13" s="37"/>
      <c r="C13" s="118" t="s">
        <v>42</v>
      </c>
      <c r="D13" s="118"/>
      <c r="E13" s="38"/>
      <c r="F13" s="39"/>
      <c r="G13" s="39"/>
      <c r="H13" s="40"/>
      <c r="I13" s="39"/>
      <c r="J13" s="41"/>
      <c r="K13" s="42"/>
      <c r="L13" s="41"/>
      <c r="M13" s="41"/>
      <c r="N13" s="41"/>
      <c r="O13" s="41"/>
      <c r="P13" s="41"/>
      <c r="Q13" s="41"/>
      <c r="R13" s="41"/>
      <c r="S13" s="43"/>
      <c r="T13" s="43"/>
      <c r="U13" s="43"/>
      <c r="V13" s="44"/>
      <c r="W13" s="45"/>
    </row>
    <row r="14" spans="2:23" s="2" customFormat="1" ht="15" x14ac:dyDescent="0.25">
      <c r="B14" s="31"/>
      <c r="E14" s="31"/>
      <c r="F14" s="31"/>
      <c r="G14" s="31"/>
      <c r="H14" s="20"/>
      <c r="I14" s="31"/>
      <c r="J14" s="31"/>
      <c r="L14" s="47"/>
      <c r="M14" s="47"/>
      <c r="N14" s="47"/>
      <c r="O14" s="48"/>
      <c r="P14" s="47"/>
      <c r="Q14" s="47"/>
      <c r="R14" s="47"/>
      <c r="S14" s="49"/>
      <c r="T14" s="49"/>
      <c r="U14" s="49"/>
      <c r="V14" s="49"/>
      <c r="W14" s="50"/>
    </row>
    <row r="15" spans="2:23" s="2" customFormat="1" ht="15" x14ac:dyDescent="0.25">
      <c r="B15" s="31"/>
      <c r="C15" s="113" t="s">
        <v>43</v>
      </c>
      <c r="D15" s="113"/>
      <c r="E15" s="33"/>
      <c r="F15" s="19"/>
      <c r="G15" s="19"/>
      <c r="H15" s="20"/>
      <c r="I15" s="19"/>
      <c r="J15" s="1"/>
      <c r="K15" s="34"/>
      <c r="L15" s="1"/>
      <c r="M15" s="1"/>
      <c r="N15" s="1"/>
      <c r="O15" s="1"/>
      <c r="P15" s="1"/>
      <c r="Q15" s="1"/>
      <c r="R15" s="1"/>
      <c r="S15" s="9"/>
      <c r="T15" s="9"/>
      <c r="U15" s="9"/>
      <c r="V15" s="35"/>
      <c r="W15" s="36"/>
    </row>
    <row r="16" spans="2:23" s="2" customFormat="1" ht="15" x14ac:dyDescent="0.25">
      <c r="B16" s="31" t="s">
        <v>44</v>
      </c>
      <c r="D16" s="2" t="s">
        <v>45</v>
      </c>
      <c r="E16" s="31">
        <v>2008</v>
      </c>
      <c r="F16" s="31">
        <v>12</v>
      </c>
      <c r="G16" s="31">
        <v>31</v>
      </c>
      <c r="H16" s="20">
        <v>0</v>
      </c>
      <c r="I16" s="31" t="s">
        <v>46</v>
      </c>
      <c r="J16" s="31">
        <v>35</v>
      </c>
      <c r="K16" s="2">
        <f>+E16+J16</f>
        <v>2043</v>
      </c>
      <c r="L16" s="91">
        <v>64024</v>
      </c>
      <c r="M16" s="47">
        <f>L16/J16/12</f>
        <v>152.43809523809523</v>
      </c>
      <c r="N16" s="47">
        <f>IF(U16&lt;=T16,0,L16/J16)</f>
        <v>1829.2571428571428</v>
      </c>
      <c r="O16" s="92">
        <v>1</v>
      </c>
      <c r="P16" s="47">
        <f t="shared" ref="P16" si="0">IF(S16&gt;T16,0,IF(U16&lt;V16,L16,IF((AND((U16&gt;=V16),(U16&lt;=T16))),(L16-N16),IF((AND((V16&lt;=S16),(T16&gt;=S16))),0,IF(U16&gt;T16,((V16-S16)*12)*M16,0)))))</f>
        <v>25762.038095237956</v>
      </c>
      <c r="Q16" s="47">
        <f t="shared" ref="Q16" si="1">P16+N16</f>
        <v>27591.295238095099</v>
      </c>
      <c r="R16" s="47">
        <f t="shared" ref="R16" si="2">+L16-Q16</f>
        <v>36432.704761904897</v>
      </c>
      <c r="S16" s="49">
        <f>$E16+(($F16-1)/12)</f>
        <v>2008.9166666666667</v>
      </c>
      <c r="T16" s="49">
        <f>($M$7+1)-($M$4/12)</f>
        <v>2024</v>
      </c>
      <c r="U16" s="49">
        <f>$K16+(($F16-1)/12)</f>
        <v>2043.9166666666667</v>
      </c>
      <c r="V16" s="49">
        <f>$M$6+($M$5/12)</f>
        <v>2023</v>
      </c>
      <c r="W16" s="50"/>
    </row>
    <row r="17" spans="2:23" s="2" customFormat="1" ht="15" x14ac:dyDescent="0.25">
      <c r="B17" s="31"/>
      <c r="E17" s="31"/>
      <c r="F17" s="31"/>
      <c r="G17" s="31"/>
      <c r="H17" s="20"/>
      <c r="I17" s="31"/>
      <c r="J17" s="31"/>
      <c r="L17" s="91"/>
      <c r="M17" s="47"/>
      <c r="N17" s="47"/>
      <c r="O17" s="92"/>
      <c r="P17" s="47"/>
      <c r="Q17" s="47"/>
      <c r="R17" s="47"/>
      <c r="S17" s="49"/>
      <c r="T17" s="49"/>
      <c r="U17" s="49"/>
      <c r="V17" s="49"/>
      <c r="W17" s="50"/>
    </row>
    <row r="18" spans="2:23" s="53" customFormat="1" ht="15" x14ac:dyDescent="0.25">
      <c r="B18" s="27"/>
      <c r="C18" s="114" t="s">
        <v>47</v>
      </c>
      <c r="D18" s="114"/>
      <c r="E18" s="27"/>
      <c r="F18" s="27"/>
      <c r="G18" s="27"/>
      <c r="H18" s="52"/>
      <c r="I18" s="27"/>
      <c r="J18" s="27"/>
      <c r="L18" s="93">
        <f>SUM(L16:L17)</f>
        <v>64024</v>
      </c>
      <c r="M18" s="54"/>
      <c r="N18" s="55">
        <f>SUM(N16:N17)</f>
        <v>1829.2571428571428</v>
      </c>
      <c r="O18" s="56"/>
      <c r="P18" s="55">
        <f>SUM(P16:P17)</f>
        <v>25762.038095237956</v>
      </c>
      <c r="Q18" s="55">
        <f>SUM(Q16:Q17)</f>
        <v>27591.295238095099</v>
      </c>
      <c r="R18" s="55">
        <f>SUM(R16:R17)</f>
        <v>36432.704761904897</v>
      </c>
      <c r="S18" s="57"/>
      <c r="T18" s="57"/>
      <c r="U18" s="57"/>
      <c r="V18" s="57"/>
      <c r="W18" s="58"/>
    </row>
    <row r="19" spans="2:23" s="53" customFormat="1" ht="15" x14ac:dyDescent="0.25">
      <c r="B19" s="27"/>
      <c r="C19" s="51"/>
      <c r="D19" s="51"/>
      <c r="E19" s="27"/>
      <c r="F19" s="27"/>
      <c r="G19" s="27"/>
      <c r="H19" s="52"/>
      <c r="I19" s="27"/>
      <c r="J19" s="27"/>
      <c r="L19" s="59"/>
      <c r="M19" s="54"/>
      <c r="N19" s="59"/>
      <c r="O19" s="56"/>
      <c r="P19" s="59"/>
      <c r="Q19" s="59"/>
      <c r="R19" s="59"/>
      <c r="S19" s="57"/>
      <c r="T19" s="57"/>
      <c r="U19" s="57"/>
      <c r="V19" s="57"/>
      <c r="W19" s="58"/>
    </row>
    <row r="20" spans="2:23" s="2" customFormat="1" ht="15" x14ac:dyDescent="0.25">
      <c r="B20" s="31"/>
      <c r="C20" s="113" t="s">
        <v>48</v>
      </c>
      <c r="D20" s="113"/>
      <c r="E20" s="31"/>
      <c r="F20" s="31"/>
      <c r="G20" s="31"/>
      <c r="H20" s="20"/>
      <c r="I20" s="31"/>
      <c r="J20" s="31"/>
      <c r="L20" s="47"/>
      <c r="M20" s="47"/>
      <c r="N20" s="47"/>
      <c r="O20" s="48"/>
      <c r="P20" s="47"/>
      <c r="Q20" s="47"/>
      <c r="R20" s="47"/>
      <c r="S20" s="49"/>
      <c r="T20" s="49"/>
      <c r="U20" s="49"/>
      <c r="V20" s="49"/>
      <c r="W20" s="50"/>
    </row>
    <row r="21" spans="2:23" s="2" customFormat="1" ht="15" x14ac:dyDescent="0.25">
      <c r="B21" s="31" t="s">
        <v>44</v>
      </c>
      <c r="D21" s="2" t="s">
        <v>49</v>
      </c>
      <c r="E21" s="31">
        <v>2011</v>
      </c>
      <c r="F21" s="31">
        <v>11</v>
      </c>
      <c r="G21" s="31">
        <v>22</v>
      </c>
      <c r="H21" s="20">
        <v>0</v>
      </c>
      <c r="I21" s="31" t="s">
        <v>46</v>
      </c>
      <c r="J21" s="31">
        <v>30</v>
      </c>
      <c r="K21" s="2">
        <f t="shared" ref="K21:K28" si="3">+E21+J21</f>
        <v>2041</v>
      </c>
      <c r="L21" s="91">
        <v>66020</v>
      </c>
      <c r="M21" s="47">
        <f t="shared" ref="M21:M28" si="4">L21/J21/12</f>
        <v>183.38888888888889</v>
      </c>
      <c r="N21" s="47">
        <f t="shared" ref="N21:N28" si="5">IF(U21&lt;=T21,0,L21/J21)</f>
        <v>2200.6666666666665</v>
      </c>
      <c r="O21" s="48">
        <v>1</v>
      </c>
      <c r="P21" s="47">
        <f t="shared" ref="P21:P28" si="6">IF(S21&gt;T21,0,IF(U21&lt;V21,L21,IF((AND((U21&gt;=V21),(U21&lt;=T21))),(L21-N21),IF((AND((V21&lt;=S21),(T21&gt;=S21))),0,IF(U21&gt;T21,((V21-S21)*12)*M21,0)))))</f>
        <v>24574.111111111277</v>
      </c>
      <c r="Q21" s="47">
        <f t="shared" ref="Q21:Q28" si="7">P21+N21</f>
        <v>26774.777777777945</v>
      </c>
      <c r="R21" s="47">
        <f t="shared" ref="R21:R28" si="8">+L21-Q21</f>
        <v>39245.222222222059</v>
      </c>
      <c r="S21" s="49">
        <f t="shared" ref="S21:S28" si="9">$E21+(($F21-1)/12)</f>
        <v>2011.8333333333333</v>
      </c>
      <c r="T21" s="49">
        <f t="shared" ref="T21:T28" si="10">($M$7+1)-($M$4/12)</f>
        <v>2024</v>
      </c>
      <c r="U21" s="49">
        <f t="shared" ref="U21:U28" si="11">$K21+(($F21-1)/12)</f>
        <v>2041.8333333333333</v>
      </c>
      <c r="V21" s="49">
        <f t="shared" ref="V21:V28" si="12">$M$6+($M$5/12)</f>
        <v>2023</v>
      </c>
      <c r="W21" s="50"/>
    </row>
    <row r="22" spans="2:23" s="2" customFormat="1" ht="15" x14ac:dyDescent="0.25">
      <c r="B22" s="31" t="s">
        <v>44</v>
      </c>
      <c r="D22" s="2" t="s">
        <v>50</v>
      </c>
      <c r="E22" s="31">
        <v>2011</v>
      </c>
      <c r="F22" s="31">
        <v>11</v>
      </c>
      <c r="G22" s="31">
        <v>22</v>
      </c>
      <c r="H22" s="20">
        <v>0</v>
      </c>
      <c r="I22" s="31" t="s">
        <v>46</v>
      </c>
      <c r="J22" s="31">
        <v>30</v>
      </c>
      <c r="K22" s="2">
        <f t="shared" si="3"/>
        <v>2041</v>
      </c>
      <c r="L22" s="91">
        <v>66020</v>
      </c>
      <c r="M22" s="47">
        <f t="shared" si="4"/>
        <v>183.38888888888889</v>
      </c>
      <c r="N22" s="47">
        <f t="shared" si="5"/>
        <v>2200.6666666666665</v>
      </c>
      <c r="O22" s="48">
        <v>1</v>
      </c>
      <c r="P22" s="47">
        <f t="shared" si="6"/>
        <v>24574.111111111277</v>
      </c>
      <c r="Q22" s="47">
        <f t="shared" si="7"/>
        <v>26774.777777777945</v>
      </c>
      <c r="R22" s="47">
        <f t="shared" si="8"/>
        <v>39245.222222222059</v>
      </c>
      <c r="S22" s="49">
        <f t="shared" si="9"/>
        <v>2011.8333333333333</v>
      </c>
      <c r="T22" s="49">
        <f t="shared" si="10"/>
        <v>2024</v>
      </c>
      <c r="U22" s="49">
        <f t="shared" si="11"/>
        <v>2041.8333333333333</v>
      </c>
      <c r="V22" s="49">
        <f t="shared" si="12"/>
        <v>2023</v>
      </c>
      <c r="W22" s="50"/>
    </row>
    <row r="23" spans="2:23" s="2" customFormat="1" ht="15" x14ac:dyDescent="0.25">
      <c r="B23" s="31" t="s">
        <v>44</v>
      </c>
      <c r="D23" s="2" t="s">
        <v>51</v>
      </c>
      <c r="E23" s="31">
        <v>2012</v>
      </c>
      <c r="F23" s="31">
        <v>5</v>
      </c>
      <c r="G23" s="31">
        <v>23</v>
      </c>
      <c r="H23" s="20">
        <v>0</v>
      </c>
      <c r="I23" s="31" t="s">
        <v>46</v>
      </c>
      <c r="J23" s="31">
        <v>30</v>
      </c>
      <c r="K23" s="2">
        <f t="shared" si="3"/>
        <v>2042</v>
      </c>
      <c r="L23" s="60">
        <f>236950+118475</f>
        <v>355425</v>
      </c>
      <c r="M23" s="47">
        <f t="shared" si="4"/>
        <v>987.29166666666663</v>
      </c>
      <c r="N23" s="47">
        <f t="shared" si="5"/>
        <v>11847.5</v>
      </c>
      <c r="O23" s="48">
        <v>1</v>
      </c>
      <c r="P23" s="47">
        <f t="shared" si="6"/>
        <v>126373.33333333423</v>
      </c>
      <c r="Q23" s="47">
        <f t="shared" si="7"/>
        <v>138220.83333333425</v>
      </c>
      <c r="R23" s="47">
        <f t="shared" si="8"/>
        <v>217204.16666666575</v>
      </c>
      <c r="S23" s="49">
        <f t="shared" si="9"/>
        <v>2012.3333333333333</v>
      </c>
      <c r="T23" s="49">
        <f t="shared" si="10"/>
        <v>2024</v>
      </c>
      <c r="U23" s="49">
        <f t="shared" si="11"/>
        <v>2042.3333333333333</v>
      </c>
      <c r="V23" s="49">
        <f t="shared" si="12"/>
        <v>2023</v>
      </c>
      <c r="W23" s="50"/>
    </row>
    <row r="24" spans="2:23" s="2" customFormat="1" ht="15" x14ac:dyDescent="0.25">
      <c r="B24" s="31" t="s">
        <v>44</v>
      </c>
      <c r="D24" s="2" t="s">
        <v>52</v>
      </c>
      <c r="E24" s="31">
        <v>2014</v>
      </c>
      <c r="F24" s="31">
        <v>6</v>
      </c>
      <c r="G24" s="31">
        <v>11</v>
      </c>
      <c r="H24" s="20">
        <v>0</v>
      </c>
      <c r="I24" s="31" t="s">
        <v>46</v>
      </c>
      <c r="J24" s="31">
        <v>30</v>
      </c>
      <c r="K24" s="2">
        <f t="shared" si="3"/>
        <v>2044</v>
      </c>
      <c r="L24" s="47">
        <f>102622+51311</f>
        <v>153933</v>
      </c>
      <c r="M24" s="47">
        <f t="shared" si="4"/>
        <v>427.5916666666667</v>
      </c>
      <c r="N24" s="47">
        <f t="shared" si="5"/>
        <v>5131.1000000000004</v>
      </c>
      <c r="O24" s="48">
        <v>1</v>
      </c>
      <c r="P24" s="47">
        <f t="shared" si="6"/>
        <v>44041.94166666628</v>
      </c>
      <c r="Q24" s="47">
        <f t="shared" si="7"/>
        <v>49173.041666666279</v>
      </c>
      <c r="R24" s="47">
        <f t="shared" si="8"/>
        <v>104759.95833333372</v>
      </c>
      <c r="S24" s="49">
        <f t="shared" si="9"/>
        <v>2014.4166666666667</v>
      </c>
      <c r="T24" s="49">
        <f t="shared" si="10"/>
        <v>2024</v>
      </c>
      <c r="U24" s="49">
        <f t="shared" si="11"/>
        <v>2044.4166666666667</v>
      </c>
      <c r="V24" s="49">
        <f t="shared" si="12"/>
        <v>2023</v>
      </c>
      <c r="W24" s="50"/>
    </row>
    <row r="25" spans="2:23" s="2" customFormat="1" ht="15" x14ac:dyDescent="0.25">
      <c r="B25" s="31" t="s">
        <v>44</v>
      </c>
      <c r="D25" s="2" t="s">
        <v>53</v>
      </c>
      <c r="E25" s="31">
        <v>2014</v>
      </c>
      <c r="F25" s="31">
        <v>8</v>
      </c>
      <c r="G25" s="31">
        <v>31</v>
      </c>
      <c r="H25" s="20">
        <v>0</v>
      </c>
      <c r="I25" s="31" t="s">
        <v>46</v>
      </c>
      <c r="J25" s="31">
        <v>30</v>
      </c>
      <c r="K25" s="2">
        <f t="shared" si="3"/>
        <v>2044</v>
      </c>
      <c r="L25" s="47">
        <f>166269+83134</f>
        <v>249403</v>
      </c>
      <c r="M25" s="47">
        <f t="shared" si="4"/>
        <v>692.78611111111104</v>
      </c>
      <c r="N25" s="47">
        <f t="shared" si="5"/>
        <v>8313.4333333333325</v>
      </c>
      <c r="O25" s="48">
        <v>1</v>
      </c>
      <c r="P25" s="47">
        <f t="shared" si="6"/>
        <v>69971.397222222848</v>
      </c>
      <c r="Q25" s="47">
        <f t="shared" si="7"/>
        <v>78284.830555556182</v>
      </c>
      <c r="R25" s="47">
        <f t="shared" si="8"/>
        <v>171118.16944444383</v>
      </c>
      <c r="S25" s="49">
        <f t="shared" si="9"/>
        <v>2014.5833333333333</v>
      </c>
      <c r="T25" s="49">
        <f t="shared" si="10"/>
        <v>2024</v>
      </c>
      <c r="U25" s="49">
        <f t="shared" si="11"/>
        <v>2044.5833333333333</v>
      </c>
      <c r="V25" s="49">
        <f t="shared" si="12"/>
        <v>2023</v>
      </c>
      <c r="W25" s="50"/>
    </row>
    <row r="26" spans="2:23" s="2" customFormat="1" ht="15" x14ac:dyDescent="0.25">
      <c r="B26" s="31" t="s">
        <v>44</v>
      </c>
      <c r="D26" s="2" t="s">
        <v>54</v>
      </c>
      <c r="E26" s="31">
        <v>2015</v>
      </c>
      <c r="F26" s="31">
        <v>5</v>
      </c>
      <c r="G26" s="31">
        <v>29</v>
      </c>
      <c r="H26" s="20">
        <v>0</v>
      </c>
      <c r="I26" s="31" t="s">
        <v>46</v>
      </c>
      <c r="J26" s="31">
        <v>30</v>
      </c>
      <c r="K26" s="2">
        <f t="shared" si="3"/>
        <v>2045</v>
      </c>
      <c r="L26" s="47">
        <f>175462+87731</f>
        <v>263193</v>
      </c>
      <c r="M26" s="47">
        <f t="shared" si="4"/>
        <v>731.0916666666667</v>
      </c>
      <c r="N26" s="47">
        <f t="shared" si="5"/>
        <v>8773.1</v>
      </c>
      <c r="O26" s="48">
        <v>1</v>
      </c>
      <c r="P26" s="47">
        <f t="shared" si="6"/>
        <v>67260.433333334004</v>
      </c>
      <c r="Q26" s="47">
        <f t="shared" si="7"/>
        <v>76033.53333333401</v>
      </c>
      <c r="R26" s="47">
        <f t="shared" si="8"/>
        <v>187159.46666666598</v>
      </c>
      <c r="S26" s="49">
        <f t="shared" si="9"/>
        <v>2015.3333333333333</v>
      </c>
      <c r="T26" s="49">
        <f t="shared" si="10"/>
        <v>2024</v>
      </c>
      <c r="U26" s="49">
        <f t="shared" si="11"/>
        <v>2045.3333333333333</v>
      </c>
      <c r="V26" s="49">
        <f t="shared" si="12"/>
        <v>2023</v>
      </c>
      <c r="W26" s="50"/>
    </row>
    <row r="27" spans="2:23" s="2" customFormat="1" ht="15" x14ac:dyDescent="0.25">
      <c r="B27" s="31" t="s">
        <v>44</v>
      </c>
      <c r="D27" s="2" t="s">
        <v>55</v>
      </c>
      <c r="E27" s="31">
        <v>2019</v>
      </c>
      <c r="F27" s="31">
        <v>1</v>
      </c>
      <c r="G27" s="31">
        <v>1</v>
      </c>
      <c r="H27" s="20">
        <v>0</v>
      </c>
      <c r="I27" s="31" t="s">
        <v>46</v>
      </c>
      <c r="J27" s="31">
        <v>30</v>
      </c>
      <c r="K27" s="2">
        <f>+E27+J27</f>
        <v>2049</v>
      </c>
      <c r="L27" s="47">
        <v>844986</v>
      </c>
      <c r="M27" s="47">
        <f>L27/J27/12</f>
        <v>2347.1833333333334</v>
      </c>
      <c r="N27" s="47">
        <f>IF(U27&lt;=T27,0,L27/J27)</f>
        <v>28166.2</v>
      </c>
      <c r="O27" s="48">
        <v>1</v>
      </c>
      <c r="P27" s="47">
        <f>IF(S27&gt;T27,0,IF(U27&lt;V27,L27,IF((AND((U27&gt;=V27),(U27&lt;=T27))),(L27-N27),IF((AND((V27&lt;=S27),(T27&gt;=S27))),0,IF(U27&gt;T27,((V27-S27)*12)*M27,0)))))</f>
        <v>112664.8</v>
      </c>
      <c r="Q27" s="47">
        <f>P27+N27</f>
        <v>140831</v>
      </c>
      <c r="R27" s="47">
        <f>+L27-Q27</f>
        <v>704155</v>
      </c>
      <c r="S27" s="49">
        <f>$E27+(($F27-1)/12)</f>
        <v>2019</v>
      </c>
      <c r="T27" s="49">
        <f t="shared" si="10"/>
        <v>2024</v>
      </c>
      <c r="U27" s="49">
        <f>$K27+(($F27-1)/12)</f>
        <v>2049</v>
      </c>
      <c r="V27" s="49">
        <f t="shared" si="12"/>
        <v>2023</v>
      </c>
      <c r="W27" s="50"/>
    </row>
    <row r="28" spans="2:23" s="2" customFormat="1" ht="15" x14ac:dyDescent="0.25">
      <c r="B28" s="31" t="s">
        <v>44</v>
      </c>
      <c r="D28" s="2" t="s">
        <v>56</v>
      </c>
      <c r="E28" s="31">
        <v>2023</v>
      </c>
      <c r="F28" s="31">
        <v>3</v>
      </c>
      <c r="G28" s="31">
        <v>20</v>
      </c>
      <c r="H28" s="94">
        <v>0</v>
      </c>
      <c r="I28" s="31" t="s">
        <v>46</v>
      </c>
      <c r="J28" s="31">
        <v>30</v>
      </c>
      <c r="K28" s="2">
        <f t="shared" si="3"/>
        <v>2053</v>
      </c>
      <c r="L28" s="91">
        <v>379067</v>
      </c>
      <c r="M28" s="91">
        <f t="shared" si="4"/>
        <v>1052.963888888889</v>
      </c>
      <c r="N28" s="91">
        <f t="shared" si="5"/>
        <v>12635.566666666668</v>
      </c>
      <c r="O28" s="48">
        <v>1</v>
      </c>
      <c r="P28" s="91">
        <f t="shared" si="6"/>
        <v>0</v>
      </c>
      <c r="Q28" s="91">
        <f t="shared" si="7"/>
        <v>12635.566666666668</v>
      </c>
      <c r="R28" s="91">
        <f t="shared" si="8"/>
        <v>366431.43333333335</v>
      </c>
      <c r="S28" s="49">
        <f t="shared" si="9"/>
        <v>2023.1666666666667</v>
      </c>
      <c r="T28" s="49">
        <f t="shared" si="10"/>
        <v>2024</v>
      </c>
      <c r="U28" s="49">
        <f t="shared" si="11"/>
        <v>2053.1666666666665</v>
      </c>
      <c r="V28" s="49">
        <f t="shared" si="12"/>
        <v>2023</v>
      </c>
      <c r="W28" s="50"/>
    </row>
    <row r="29" spans="2:23" s="2" customFormat="1" ht="15" x14ac:dyDescent="0.25">
      <c r="B29" s="31"/>
      <c r="E29" s="31"/>
      <c r="F29" s="31"/>
      <c r="G29" s="31"/>
      <c r="H29" s="94"/>
      <c r="I29" s="31"/>
      <c r="J29" s="31"/>
      <c r="L29" s="91"/>
      <c r="M29" s="91"/>
      <c r="N29" s="91"/>
      <c r="O29" s="48"/>
      <c r="P29" s="91"/>
      <c r="Q29" s="91"/>
      <c r="R29" s="91"/>
      <c r="S29" s="49"/>
      <c r="T29" s="49"/>
      <c r="U29" s="49"/>
      <c r="V29" s="49"/>
      <c r="W29" s="50"/>
    </row>
    <row r="30" spans="2:23" s="53" customFormat="1" ht="15" x14ac:dyDescent="0.25">
      <c r="B30" s="27"/>
      <c r="C30" s="114" t="s">
        <v>57</v>
      </c>
      <c r="D30" s="114"/>
      <c r="E30" s="27"/>
      <c r="F30" s="27"/>
      <c r="G30" s="27"/>
      <c r="H30" s="52"/>
      <c r="I30" s="27"/>
      <c r="J30" s="27"/>
      <c r="L30" s="55">
        <f>SUM(L21:L28)</f>
        <v>2378047</v>
      </c>
      <c r="M30" s="54"/>
      <c r="N30" s="55">
        <f>SUM(N21:N28)</f>
        <v>79268.233333333337</v>
      </c>
      <c r="O30" s="56"/>
      <c r="P30" s="55">
        <f>SUM(P21:P28)</f>
        <v>469460.12777777988</v>
      </c>
      <c r="Q30" s="55">
        <f>SUM(Q21:Q28)</f>
        <v>548728.36111111334</v>
      </c>
      <c r="R30" s="55">
        <f>SUM(R21:R28)</f>
        <v>1829318.6388888869</v>
      </c>
      <c r="S30" s="57"/>
      <c r="T30" s="57"/>
      <c r="U30" s="57"/>
      <c r="V30" s="57"/>
      <c r="W30" s="58"/>
    </row>
    <row r="31" spans="2:23" s="2" customFormat="1" ht="15" x14ac:dyDescent="0.25">
      <c r="B31" s="31"/>
      <c r="E31" s="31"/>
      <c r="F31" s="31"/>
      <c r="G31" s="31"/>
      <c r="H31" s="20"/>
      <c r="I31" s="31"/>
      <c r="J31" s="31"/>
      <c r="K31" s="87"/>
      <c r="L31" s="97"/>
      <c r="M31" s="47"/>
      <c r="N31" s="47"/>
      <c r="O31" s="48"/>
      <c r="P31" s="47"/>
      <c r="Q31" s="47"/>
      <c r="R31" s="47"/>
      <c r="S31" s="49"/>
      <c r="T31" s="49"/>
      <c r="U31" s="49"/>
      <c r="V31" s="49"/>
      <c r="W31" s="50"/>
    </row>
    <row r="32" spans="2:23" s="2" customFormat="1" ht="15" x14ac:dyDescent="0.25">
      <c r="B32" s="31"/>
      <c r="E32" s="31"/>
      <c r="F32" s="31"/>
      <c r="G32" s="31"/>
      <c r="H32" s="20"/>
      <c r="I32" s="31"/>
      <c r="J32" s="31"/>
      <c r="K32" s="87"/>
      <c r="L32" s="97"/>
      <c r="M32" s="47"/>
      <c r="N32" s="47"/>
      <c r="O32" s="48"/>
      <c r="P32" s="47"/>
      <c r="Q32" s="47"/>
      <c r="R32" s="47"/>
      <c r="S32" s="49"/>
      <c r="T32" s="49"/>
      <c r="U32" s="49"/>
      <c r="V32" s="49"/>
      <c r="W32" s="50"/>
    </row>
    <row r="33" spans="2:23" s="2" customFormat="1" ht="15" x14ac:dyDescent="0.25">
      <c r="B33" s="31"/>
      <c r="C33" s="113" t="s">
        <v>58</v>
      </c>
      <c r="D33" s="113"/>
      <c r="E33" s="31"/>
      <c r="F33" s="31"/>
      <c r="G33" s="31"/>
      <c r="H33" s="20"/>
      <c r="I33" s="31"/>
      <c r="J33" s="31"/>
      <c r="L33" s="47"/>
      <c r="M33" s="47"/>
      <c r="N33" s="47"/>
      <c r="O33" s="48"/>
      <c r="P33" s="47"/>
      <c r="Q33" s="47"/>
      <c r="R33" s="47"/>
      <c r="S33" s="49"/>
      <c r="T33" s="49"/>
      <c r="U33" s="49"/>
      <c r="V33" s="49"/>
      <c r="W33" s="50"/>
    </row>
    <row r="34" spans="2:23" s="2" customFormat="1" ht="15" x14ac:dyDescent="0.25">
      <c r="B34" s="31" t="s">
        <v>44</v>
      </c>
      <c r="D34" s="2" t="s">
        <v>49</v>
      </c>
      <c r="E34" s="31">
        <v>2011</v>
      </c>
      <c r="F34" s="31">
        <v>11</v>
      </c>
      <c r="G34" s="31">
        <v>22</v>
      </c>
      <c r="H34" s="94">
        <v>0</v>
      </c>
      <c r="I34" s="31" t="s">
        <v>46</v>
      </c>
      <c r="J34" s="31">
        <v>50</v>
      </c>
      <c r="K34" s="2">
        <f t="shared" ref="K34:K37" si="13">+E34+J34</f>
        <v>2061</v>
      </c>
      <c r="L34" s="91">
        <v>66020</v>
      </c>
      <c r="M34" s="91">
        <f t="shared" ref="M34:M37" si="14">L34/J34/12</f>
        <v>110.03333333333335</v>
      </c>
      <c r="N34" s="91">
        <f t="shared" ref="N34:N37" si="15">IF(U34&lt;=T34,0,L34/J34)</f>
        <v>1320.4</v>
      </c>
      <c r="O34" s="48">
        <v>1</v>
      </c>
      <c r="P34" s="91">
        <f t="shared" ref="P34:P37" si="16">IF(S34&gt;T34,0,IF(U34&lt;V34,L34,IF((AND((U34&gt;=V34),(U34&lt;=T34))),(L34-N34),IF((AND((V34&lt;=S34),(T34&gt;=S34))),0,IF(U34&gt;T34,((V34-S34)*12)*M34,0)))))</f>
        <v>14744.466666666769</v>
      </c>
      <c r="Q34" s="91">
        <f t="shared" ref="Q34:Q37" si="17">P34+N34</f>
        <v>16064.866666666769</v>
      </c>
      <c r="R34" s="91">
        <f t="shared" ref="R34:R37" si="18">+L34-Q34</f>
        <v>49955.13333333323</v>
      </c>
      <c r="S34" s="49">
        <f t="shared" ref="S34:S37" si="19">$E34+(($F34-1)/12)</f>
        <v>2011.8333333333333</v>
      </c>
      <c r="T34" s="49">
        <f t="shared" ref="T34:T45" si="20">($M$7+1)-($M$4/12)</f>
        <v>2024</v>
      </c>
      <c r="U34" s="49">
        <f t="shared" ref="U34:U37" si="21">$K34+(($F34-1)/12)</f>
        <v>2061.8333333333335</v>
      </c>
      <c r="V34" s="49">
        <f t="shared" ref="V34:V45" si="22">$M$6+($M$5/12)</f>
        <v>2023</v>
      </c>
      <c r="W34" s="50"/>
    </row>
    <row r="35" spans="2:23" s="2" customFormat="1" ht="15" x14ac:dyDescent="0.25">
      <c r="B35" s="31" t="s">
        <v>44</v>
      </c>
      <c r="D35" s="2" t="s">
        <v>50</v>
      </c>
      <c r="E35" s="31">
        <v>2011</v>
      </c>
      <c r="F35" s="31">
        <v>11</v>
      </c>
      <c r="G35" s="31">
        <v>22</v>
      </c>
      <c r="H35" s="94">
        <v>0</v>
      </c>
      <c r="I35" s="31" t="s">
        <v>46</v>
      </c>
      <c r="J35" s="31">
        <v>50</v>
      </c>
      <c r="K35" s="2">
        <f t="shared" si="13"/>
        <v>2061</v>
      </c>
      <c r="L35" s="91">
        <v>66020</v>
      </c>
      <c r="M35" s="91">
        <f t="shared" si="14"/>
        <v>110.03333333333335</v>
      </c>
      <c r="N35" s="91">
        <f t="shared" si="15"/>
        <v>1320.4</v>
      </c>
      <c r="O35" s="48">
        <v>1</v>
      </c>
      <c r="P35" s="91">
        <f t="shared" si="16"/>
        <v>14744.466666666769</v>
      </c>
      <c r="Q35" s="91">
        <f t="shared" si="17"/>
        <v>16064.866666666769</v>
      </c>
      <c r="R35" s="91">
        <f t="shared" si="18"/>
        <v>49955.13333333323</v>
      </c>
      <c r="S35" s="49">
        <f t="shared" si="19"/>
        <v>2011.8333333333333</v>
      </c>
      <c r="T35" s="49">
        <f t="shared" si="20"/>
        <v>2024</v>
      </c>
      <c r="U35" s="49">
        <f t="shared" si="21"/>
        <v>2061.8333333333335</v>
      </c>
      <c r="V35" s="49">
        <f t="shared" si="22"/>
        <v>2023</v>
      </c>
      <c r="W35" s="50"/>
    </row>
    <row r="36" spans="2:23" s="2" customFormat="1" ht="15" x14ac:dyDescent="0.25">
      <c r="B36" s="31" t="s">
        <v>44</v>
      </c>
      <c r="D36" s="2" t="s">
        <v>59</v>
      </c>
      <c r="E36" s="31">
        <v>2013</v>
      </c>
      <c r="F36" s="31">
        <v>11</v>
      </c>
      <c r="G36" s="31">
        <v>20</v>
      </c>
      <c r="H36" s="20">
        <v>0</v>
      </c>
      <c r="I36" s="31" t="s">
        <v>46</v>
      </c>
      <c r="J36" s="31">
        <v>20</v>
      </c>
      <c r="K36" s="2">
        <f>+E36+J36</f>
        <v>2033</v>
      </c>
      <c r="L36" s="47">
        <v>110314</v>
      </c>
      <c r="M36" s="47">
        <f>L36/J36/12</f>
        <v>459.64166666666665</v>
      </c>
      <c r="N36" s="47">
        <f>IF(U36&lt;=T36,0,L36/J36)</f>
        <v>5515.7</v>
      </c>
      <c r="O36" s="48">
        <v>1</v>
      </c>
      <c r="P36" s="47">
        <f>IF(S36&gt;T36,0,IF(U36&lt;V36,L36,IF((AND((U36&gt;=V36),(U36&lt;=T36))),(L36-N36),IF((AND((V36&lt;=S36),(T36&gt;=S36))),0,IF(U36&gt;T36,((V36-S36)*12)*M36,0)))))</f>
        <v>50560.58333333375</v>
      </c>
      <c r="Q36" s="47">
        <f>P36+N36</f>
        <v>56076.283333333748</v>
      </c>
      <c r="R36" s="47">
        <f>+L36-Q36</f>
        <v>54237.716666666252</v>
      </c>
      <c r="S36" s="49">
        <f>$E36+(($F36-1)/12)</f>
        <v>2013.8333333333333</v>
      </c>
      <c r="T36" s="49">
        <f t="shared" ref="T36:T44" si="23">($M$7+1)-($M$4/12)</f>
        <v>2024</v>
      </c>
      <c r="U36" s="49">
        <f>$K36+(($F36-1)/12)</f>
        <v>2033.8333333333333</v>
      </c>
      <c r="V36" s="49">
        <f t="shared" ref="V36:V44" si="24">$M$6+($M$5/12)</f>
        <v>2023</v>
      </c>
      <c r="W36" s="50"/>
    </row>
    <row r="37" spans="2:23" s="2" customFormat="1" ht="15" x14ac:dyDescent="0.25">
      <c r="B37" s="31" t="s">
        <v>44</v>
      </c>
      <c r="D37" s="2" t="s">
        <v>60</v>
      </c>
      <c r="E37" s="31">
        <v>2018</v>
      </c>
      <c r="F37" s="31">
        <v>6</v>
      </c>
      <c r="G37" s="31">
        <v>11</v>
      </c>
      <c r="H37" s="94">
        <v>0</v>
      </c>
      <c r="I37" s="31" t="s">
        <v>46</v>
      </c>
      <c r="J37" s="31">
        <v>50</v>
      </c>
      <c r="K37" s="2">
        <f t="shared" si="13"/>
        <v>2068</v>
      </c>
      <c r="L37" s="91">
        <v>5000</v>
      </c>
      <c r="M37" s="91">
        <f t="shared" si="14"/>
        <v>8.3333333333333339</v>
      </c>
      <c r="N37" s="91">
        <f t="shared" si="15"/>
        <v>100</v>
      </c>
      <c r="O37" s="48">
        <v>1</v>
      </c>
      <c r="P37" s="91">
        <f t="shared" si="16"/>
        <v>458.33333333332581</v>
      </c>
      <c r="Q37" s="91">
        <f t="shared" si="17"/>
        <v>558.33333333332575</v>
      </c>
      <c r="R37" s="91">
        <f t="shared" si="18"/>
        <v>4441.6666666666742</v>
      </c>
      <c r="S37" s="49">
        <f t="shared" si="19"/>
        <v>2018.4166666666667</v>
      </c>
      <c r="T37" s="49">
        <f t="shared" si="20"/>
        <v>2024</v>
      </c>
      <c r="U37" s="49">
        <f t="shared" si="21"/>
        <v>2068.4166666666665</v>
      </c>
      <c r="V37" s="49">
        <f t="shared" si="22"/>
        <v>2023</v>
      </c>
      <c r="W37" s="50"/>
    </row>
    <row r="38" spans="2:23" s="2" customFormat="1" ht="15" x14ac:dyDescent="0.25">
      <c r="B38" s="31"/>
      <c r="E38" s="31"/>
      <c r="F38" s="31"/>
      <c r="G38" s="31"/>
      <c r="H38" s="20"/>
      <c r="I38" s="31"/>
      <c r="J38" s="31"/>
      <c r="L38" s="47"/>
      <c r="M38" s="47"/>
      <c r="N38" s="47"/>
      <c r="O38" s="48"/>
      <c r="P38" s="47"/>
      <c r="Q38" s="47"/>
      <c r="R38" s="47"/>
      <c r="S38" s="49"/>
      <c r="T38" s="49"/>
      <c r="U38" s="49"/>
      <c r="V38" s="49"/>
      <c r="W38" s="50"/>
    </row>
    <row r="39" spans="2:23" s="53" customFormat="1" ht="15" x14ac:dyDescent="0.25">
      <c r="B39" s="27"/>
      <c r="C39" s="114" t="s">
        <v>61</v>
      </c>
      <c r="D39" s="114"/>
      <c r="E39" s="27"/>
      <c r="F39" s="27"/>
      <c r="G39" s="27"/>
      <c r="H39" s="52"/>
      <c r="I39" s="27"/>
      <c r="J39" s="27"/>
      <c r="L39" s="55">
        <f>SUM(L34:L38)</f>
        <v>247354</v>
      </c>
      <c r="M39" s="54"/>
      <c r="N39" s="55">
        <f>SUM(N34:N38)</f>
        <v>8256.5</v>
      </c>
      <c r="O39" s="56"/>
      <c r="P39" s="55">
        <f>SUM(P34:P38)</f>
        <v>80507.850000000617</v>
      </c>
      <c r="Q39" s="55">
        <f>SUM(Q34:Q38)</f>
        <v>88764.350000000617</v>
      </c>
      <c r="R39" s="55">
        <f>SUM(R34:R38)</f>
        <v>158589.64999999938</v>
      </c>
      <c r="S39" s="57"/>
      <c r="T39" s="57"/>
      <c r="U39" s="57"/>
      <c r="V39" s="57"/>
      <c r="W39" s="58"/>
    </row>
    <row r="40" spans="2:23" s="2" customFormat="1" ht="15" x14ac:dyDescent="0.25">
      <c r="B40" s="31"/>
      <c r="E40" s="31"/>
      <c r="F40" s="31"/>
      <c r="G40" s="31"/>
      <c r="H40" s="20"/>
      <c r="I40" s="31"/>
      <c r="J40" s="31"/>
      <c r="K40" s="87"/>
      <c r="L40" s="97"/>
      <c r="M40" s="47"/>
      <c r="N40" s="47"/>
      <c r="O40" s="48"/>
      <c r="P40" s="47"/>
      <c r="Q40" s="47"/>
      <c r="R40" s="47"/>
      <c r="S40" s="49"/>
      <c r="T40" s="49"/>
      <c r="U40" s="49"/>
      <c r="V40" s="49"/>
      <c r="W40" s="50"/>
    </row>
    <row r="41" spans="2:23" s="2" customFormat="1" ht="15" x14ac:dyDescent="0.25">
      <c r="B41" s="31"/>
      <c r="E41" s="31"/>
      <c r="F41" s="31"/>
      <c r="G41" s="31"/>
      <c r="H41" s="20"/>
      <c r="I41" s="31"/>
      <c r="J41" s="31"/>
      <c r="K41" s="87"/>
      <c r="L41" s="97"/>
      <c r="M41" s="47"/>
      <c r="N41" s="47"/>
      <c r="O41" s="48"/>
      <c r="P41" s="47"/>
      <c r="Q41" s="47"/>
      <c r="R41" s="47"/>
      <c r="S41" s="49"/>
      <c r="T41" s="49"/>
      <c r="U41" s="49"/>
      <c r="V41" s="49"/>
      <c r="W41" s="50"/>
    </row>
    <row r="42" spans="2:23" s="2" customFormat="1" ht="15" x14ac:dyDescent="0.25">
      <c r="B42" s="31"/>
      <c r="C42" s="113" t="s">
        <v>62</v>
      </c>
      <c r="D42" s="113"/>
      <c r="E42" s="31"/>
      <c r="F42" s="31"/>
      <c r="G42" s="31"/>
      <c r="H42" s="20"/>
      <c r="I42" s="31"/>
      <c r="J42" s="31"/>
      <c r="M42" s="47"/>
      <c r="N42" s="47"/>
      <c r="O42" s="48"/>
      <c r="P42" s="47"/>
      <c r="Q42" s="47"/>
      <c r="R42" s="47"/>
      <c r="S42" s="49"/>
      <c r="T42" s="49"/>
      <c r="U42" s="49"/>
      <c r="V42" s="49"/>
      <c r="W42" s="50"/>
    </row>
    <row r="43" spans="2:23" s="2" customFormat="1" ht="15" x14ac:dyDescent="0.25">
      <c r="B43" s="31" t="s">
        <v>44</v>
      </c>
      <c r="D43" s="2" t="s">
        <v>63</v>
      </c>
      <c r="E43" s="31">
        <v>2011</v>
      </c>
      <c r="F43" s="31">
        <v>11</v>
      </c>
      <c r="G43" s="31">
        <v>30</v>
      </c>
      <c r="H43" s="94">
        <v>0</v>
      </c>
      <c r="I43" s="31" t="s">
        <v>46</v>
      </c>
      <c r="J43" s="31">
        <v>20</v>
      </c>
      <c r="K43" s="2">
        <f>+E43+J43</f>
        <v>2031</v>
      </c>
      <c r="L43" s="91">
        <v>3900</v>
      </c>
      <c r="M43" s="91">
        <f t="shared" ref="M43:M44" si="25">L43/J43/12</f>
        <v>16.25</v>
      </c>
      <c r="N43" s="91">
        <f t="shared" ref="N43:N44" si="26">IF(U43&lt;=T43,0,L43/J43)</f>
        <v>195</v>
      </c>
      <c r="O43" s="48">
        <v>1</v>
      </c>
      <c r="P43" s="91">
        <f t="shared" ref="P43:P44" si="27">IF(S43&gt;T43,0,IF(U43&lt;V43,L43,IF((AND((U43&gt;=V43),(U43&lt;=T43))),(L43-N43),IF((AND((V43&lt;=S43),(T43&gt;=S43))),0,IF(U43&gt;T43,((V43-S43)*12)*M43,0)))))</f>
        <v>2177.5000000000146</v>
      </c>
      <c r="Q43" s="91">
        <f t="shared" ref="Q43:Q44" si="28">P43+N43</f>
        <v>2372.5000000000146</v>
      </c>
      <c r="R43" s="91">
        <f t="shared" ref="R43:R44" si="29">+L43-Q43</f>
        <v>1527.4999999999854</v>
      </c>
      <c r="S43" s="49">
        <f t="shared" ref="S43:S44" si="30">$E43+(($F43-1)/12)</f>
        <v>2011.8333333333333</v>
      </c>
      <c r="T43" s="49">
        <f t="shared" si="23"/>
        <v>2024</v>
      </c>
      <c r="U43" s="49">
        <f t="shared" ref="U43:U44" si="31">$K43+(($F43-1)/12)</f>
        <v>2031.8333333333333</v>
      </c>
      <c r="V43" s="49">
        <f t="shared" si="24"/>
        <v>2023</v>
      </c>
      <c r="W43" s="50"/>
    </row>
    <row r="44" spans="2:23" s="2" customFormat="1" ht="15" x14ac:dyDescent="0.25">
      <c r="B44" s="31" t="s">
        <v>44</v>
      </c>
      <c r="D44" s="2" t="s">
        <v>64</v>
      </c>
      <c r="E44" s="31">
        <v>2014</v>
      </c>
      <c r="F44" s="31">
        <v>12</v>
      </c>
      <c r="G44" s="31">
        <v>31</v>
      </c>
      <c r="H44" s="94">
        <v>0</v>
      </c>
      <c r="I44" s="31" t="s">
        <v>46</v>
      </c>
      <c r="J44" s="31">
        <v>20</v>
      </c>
      <c r="K44" s="2">
        <f t="shared" ref="K44" si="32">+E44+J44</f>
        <v>2034</v>
      </c>
      <c r="L44" s="91">
        <v>213034</v>
      </c>
      <c r="M44" s="91">
        <f t="shared" si="25"/>
        <v>887.64166666666677</v>
      </c>
      <c r="N44" s="91">
        <f t="shared" si="26"/>
        <v>10651.7</v>
      </c>
      <c r="O44" s="48">
        <v>1</v>
      </c>
      <c r="P44" s="91">
        <f t="shared" si="27"/>
        <v>86101.241666665868</v>
      </c>
      <c r="Q44" s="91">
        <f t="shared" si="28"/>
        <v>96752.941666665865</v>
      </c>
      <c r="R44" s="91">
        <f t="shared" si="29"/>
        <v>116281.05833333413</v>
      </c>
      <c r="S44" s="49">
        <f t="shared" si="30"/>
        <v>2014.9166666666667</v>
      </c>
      <c r="T44" s="49">
        <f t="shared" si="23"/>
        <v>2024</v>
      </c>
      <c r="U44" s="49">
        <f t="shared" si="31"/>
        <v>2034.9166666666667</v>
      </c>
      <c r="V44" s="49">
        <f t="shared" si="24"/>
        <v>2023</v>
      </c>
      <c r="W44" s="50"/>
    </row>
    <row r="45" spans="2:23" s="2" customFormat="1" ht="15" x14ac:dyDescent="0.25">
      <c r="B45" s="31" t="s">
        <v>44</v>
      </c>
      <c r="D45" s="2" t="s">
        <v>65</v>
      </c>
      <c r="E45" s="31">
        <v>2015</v>
      </c>
      <c r="F45" s="31">
        <v>2</v>
      </c>
      <c r="G45" s="31">
        <v>4</v>
      </c>
      <c r="H45" s="94">
        <v>0</v>
      </c>
      <c r="I45" s="31" t="s">
        <v>46</v>
      </c>
      <c r="J45" s="31">
        <v>50</v>
      </c>
      <c r="K45" s="2">
        <f>+E45+J45</f>
        <v>2065</v>
      </c>
      <c r="L45" s="91">
        <f>11250+19464</f>
        <v>30714</v>
      </c>
      <c r="M45" s="91">
        <f>L45/J45/12</f>
        <v>51.19</v>
      </c>
      <c r="N45" s="91">
        <f>IF(U45&lt;=T45,0,L45/J45)</f>
        <v>614.28</v>
      </c>
      <c r="O45" s="48">
        <v>1</v>
      </c>
      <c r="P45" s="91">
        <f>IF(S45&gt;T45,0,IF(U45&lt;V45,L45,IF((AND((U45&gt;=V45),(U45&lt;=T45))),(L45-N45),IF((AND((V45&lt;=S45),(T45&gt;=S45))),0,IF(U45&gt;T45,((V45-S45)*12)*M45,0)))))</f>
        <v>4863.0500000000466</v>
      </c>
      <c r="Q45" s="91">
        <f>P45+N45</f>
        <v>5477.3300000000463</v>
      </c>
      <c r="R45" s="91">
        <f>+L45-Q45</f>
        <v>25236.669999999955</v>
      </c>
      <c r="S45" s="49">
        <f>$E45+(($F45-1)/12)</f>
        <v>2015.0833333333333</v>
      </c>
      <c r="T45" s="49">
        <f t="shared" si="20"/>
        <v>2024</v>
      </c>
      <c r="U45" s="49">
        <f>$K45+(($F45-1)/12)</f>
        <v>2065.0833333333335</v>
      </c>
      <c r="V45" s="49">
        <f t="shared" si="22"/>
        <v>2023</v>
      </c>
      <c r="W45" s="50"/>
    </row>
    <row r="46" spans="2:23" s="2" customFormat="1" ht="15" x14ac:dyDescent="0.25">
      <c r="B46" s="31"/>
      <c r="E46" s="31"/>
      <c r="F46" s="31"/>
      <c r="G46" s="31"/>
      <c r="H46" s="20"/>
      <c r="I46" s="31"/>
      <c r="J46" s="31"/>
      <c r="L46" s="47"/>
      <c r="M46" s="47"/>
      <c r="N46" s="47"/>
      <c r="O46" s="48"/>
      <c r="P46" s="47"/>
      <c r="Q46" s="47"/>
      <c r="R46" s="47"/>
      <c r="S46" s="49"/>
      <c r="T46" s="49"/>
      <c r="U46" s="49"/>
      <c r="V46" s="49"/>
      <c r="W46" s="50"/>
    </row>
    <row r="47" spans="2:23" s="53" customFormat="1" ht="15" x14ac:dyDescent="0.25">
      <c r="B47" s="27"/>
      <c r="C47" s="114" t="s">
        <v>66</v>
      </c>
      <c r="D47" s="114"/>
      <c r="E47" s="27"/>
      <c r="F47" s="27"/>
      <c r="G47" s="27"/>
      <c r="H47" s="52"/>
      <c r="I47" s="27"/>
      <c r="J47" s="27"/>
      <c r="L47" s="55">
        <f>SUM(L43:L46)</f>
        <v>247648</v>
      </c>
      <c r="M47" s="54"/>
      <c r="N47" s="55">
        <f>SUM(N43:N46)</f>
        <v>11460.980000000001</v>
      </c>
      <c r="O47" s="56"/>
      <c r="P47" s="55">
        <f>SUM(P43:P46)</f>
        <v>93141.791666665929</v>
      </c>
      <c r="Q47" s="55">
        <f>SUM(Q43:Q46)</f>
        <v>104602.77166666593</v>
      </c>
      <c r="R47" s="55">
        <f>SUM(R43:R46)</f>
        <v>143045.22833333409</v>
      </c>
      <c r="S47" s="57"/>
      <c r="T47" s="57"/>
      <c r="U47" s="57"/>
      <c r="V47" s="57"/>
      <c r="W47" s="58"/>
    </row>
    <row r="48" spans="2:23" s="2" customFormat="1" ht="15" x14ac:dyDescent="0.25">
      <c r="B48" s="31"/>
      <c r="E48" s="31"/>
      <c r="F48" s="31"/>
      <c r="G48" s="31"/>
      <c r="H48" s="20"/>
      <c r="I48" s="31"/>
      <c r="J48" s="31"/>
      <c r="K48" s="87"/>
      <c r="L48" s="97"/>
      <c r="M48" s="47"/>
      <c r="N48" s="47"/>
      <c r="O48" s="48"/>
      <c r="P48" s="47"/>
      <c r="Q48" s="47"/>
      <c r="R48" s="47"/>
      <c r="S48" s="49"/>
      <c r="T48" s="49"/>
      <c r="U48" s="49"/>
      <c r="V48" s="49"/>
      <c r="W48" s="50"/>
    </row>
    <row r="49" spans="2:25" s="2" customFormat="1" ht="15" x14ac:dyDescent="0.25">
      <c r="B49" s="31"/>
      <c r="E49" s="31"/>
      <c r="F49" s="31"/>
      <c r="G49" s="31"/>
      <c r="H49" s="20"/>
      <c r="I49" s="31"/>
      <c r="J49" s="31"/>
      <c r="K49" s="87"/>
      <c r="L49" s="97"/>
      <c r="M49" s="47"/>
      <c r="N49" s="47"/>
      <c r="O49" s="48"/>
      <c r="P49" s="47"/>
      <c r="Q49" s="47"/>
      <c r="R49" s="47"/>
      <c r="S49" s="49"/>
      <c r="T49" s="49"/>
      <c r="U49" s="49"/>
      <c r="V49" s="49"/>
      <c r="W49" s="50"/>
    </row>
    <row r="50" spans="2:25" s="2" customFormat="1" ht="15" x14ac:dyDescent="0.25">
      <c r="B50" s="31"/>
      <c r="C50" s="113" t="s">
        <v>67</v>
      </c>
      <c r="D50" s="113"/>
      <c r="E50" s="31"/>
      <c r="F50" s="31"/>
      <c r="G50" s="31"/>
      <c r="H50" s="20"/>
      <c r="I50" s="31"/>
      <c r="J50" s="31"/>
      <c r="L50" s="47"/>
      <c r="M50" s="47"/>
      <c r="N50" s="47"/>
      <c r="O50" s="48"/>
      <c r="P50" s="47"/>
      <c r="Q50" s="47"/>
      <c r="R50" s="47"/>
      <c r="S50" s="49"/>
      <c r="T50" s="49"/>
      <c r="U50" s="49"/>
      <c r="V50" s="49"/>
      <c r="W50" s="50"/>
    </row>
    <row r="51" spans="2:25" s="2" customFormat="1" ht="15" x14ac:dyDescent="0.25">
      <c r="B51" s="31" t="s">
        <v>44</v>
      </c>
      <c r="D51" s="2" t="s">
        <v>68</v>
      </c>
      <c r="E51" s="31">
        <v>2016</v>
      </c>
      <c r="F51" s="31">
        <v>3</v>
      </c>
      <c r="G51" s="31">
        <v>7</v>
      </c>
      <c r="H51" s="94">
        <v>0</v>
      </c>
      <c r="I51" s="31" t="s">
        <v>46</v>
      </c>
      <c r="J51" s="31">
        <v>20</v>
      </c>
      <c r="K51" s="2">
        <f t="shared" ref="K51:K67" si="33">+E51+J51</f>
        <v>2036</v>
      </c>
      <c r="L51" s="91">
        <v>979</v>
      </c>
      <c r="M51" s="91">
        <f t="shared" ref="M51:M67" si="34">L51/J51/12</f>
        <v>4.0791666666666666</v>
      </c>
      <c r="N51" s="91">
        <f t="shared" ref="N51:N67" si="35">IF(U51&lt;=T51,0,L51/J51)</f>
        <v>48.95</v>
      </c>
      <c r="O51" s="48">
        <v>1</v>
      </c>
      <c r="P51" s="91">
        <f t="shared" ref="P51:P67" si="36">IF(S51&gt;T51,0,IF(U51&lt;V51,L51,IF((AND((U51&gt;=V51),(U51&lt;=T51))),(L51-N51),IF((AND((V51&lt;=S51),(T51&gt;=S51))),0,IF(U51&gt;T51,((V51-S51)*12)*M51,0)))))</f>
        <v>334.49166666666298</v>
      </c>
      <c r="Q51" s="91">
        <f t="shared" ref="Q51:Q67" si="37">P51+N51</f>
        <v>383.44166666666297</v>
      </c>
      <c r="R51" s="91">
        <f t="shared" ref="R51:R67" si="38">+L51-Q51</f>
        <v>595.55833333333703</v>
      </c>
      <c r="S51" s="49">
        <f t="shared" ref="S51:S67" si="39">$E51+(($F51-1)/12)</f>
        <v>2016.1666666666667</v>
      </c>
      <c r="T51" s="49">
        <f t="shared" ref="T51:T157" si="40">($M$7+1)-($M$4/12)</f>
        <v>2024</v>
      </c>
      <c r="U51" s="49">
        <f t="shared" ref="U51:U67" si="41">$K51+(($F51-1)/12)</f>
        <v>2036.1666666666667</v>
      </c>
      <c r="V51" s="49">
        <f t="shared" ref="V51:V157" si="42">$M$6+($M$5/12)</f>
        <v>2023</v>
      </c>
      <c r="W51" s="50"/>
    </row>
    <row r="52" spans="2:25" s="2" customFormat="1" ht="15" x14ac:dyDescent="0.25">
      <c r="B52" s="31" t="s">
        <v>44</v>
      </c>
      <c r="D52" s="2" t="s">
        <v>68</v>
      </c>
      <c r="E52" s="31">
        <v>2016</v>
      </c>
      <c r="F52" s="31">
        <v>4</v>
      </c>
      <c r="G52" s="31">
        <v>18</v>
      </c>
      <c r="H52" s="20">
        <v>0</v>
      </c>
      <c r="I52" s="31" t="s">
        <v>46</v>
      </c>
      <c r="J52" s="31">
        <v>20</v>
      </c>
      <c r="K52" s="2">
        <f>+E52+J52</f>
        <v>2036</v>
      </c>
      <c r="L52" s="47">
        <v>3164</v>
      </c>
      <c r="M52" s="47">
        <f>L52/J52/12</f>
        <v>13.183333333333332</v>
      </c>
      <c r="N52" s="47">
        <f>IF(U52&lt;=T52,0,L52/J52)</f>
        <v>158.19999999999999</v>
      </c>
      <c r="O52" s="48">
        <v>1</v>
      </c>
      <c r="P52" s="47">
        <f>IF(S52&gt;T52,0,IF(U52&lt;V52,L52,IF((AND((U52&gt;=V52),(U52&lt;=T52))),(L52-N52),IF((AND((V52&lt;=S52),(T52&gt;=S52))),0,IF(U52&gt;T52,((V52-S52)*12)*M52,0)))))</f>
        <v>1067.8499999999999</v>
      </c>
      <c r="Q52" s="47">
        <f>P52+N52</f>
        <v>1226.05</v>
      </c>
      <c r="R52" s="47">
        <f>+L52-Q52</f>
        <v>1937.95</v>
      </c>
      <c r="S52" s="49">
        <f>$E52+(($F52-1)/12)</f>
        <v>2016.25</v>
      </c>
      <c r="T52" s="49">
        <f t="shared" si="40"/>
        <v>2024</v>
      </c>
      <c r="U52" s="49">
        <f>$K52+(($F52-1)/12)</f>
        <v>2036.25</v>
      </c>
      <c r="V52" s="49">
        <f t="shared" si="42"/>
        <v>2023</v>
      </c>
      <c r="W52" s="50"/>
    </row>
    <row r="53" spans="2:25" s="2" customFormat="1" ht="15" x14ac:dyDescent="0.25">
      <c r="B53" s="31" t="s">
        <v>44</v>
      </c>
      <c r="D53" s="2" t="s">
        <v>68</v>
      </c>
      <c r="E53" s="31">
        <v>2016</v>
      </c>
      <c r="F53" s="31">
        <v>6</v>
      </c>
      <c r="G53" s="31">
        <v>13</v>
      </c>
      <c r="H53" s="94">
        <v>0</v>
      </c>
      <c r="I53" s="31" t="s">
        <v>46</v>
      </c>
      <c r="J53" s="31">
        <v>20</v>
      </c>
      <c r="K53" s="2">
        <f t="shared" si="33"/>
        <v>2036</v>
      </c>
      <c r="L53" s="91">
        <v>3975</v>
      </c>
      <c r="M53" s="91">
        <f t="shared" si="34"/>
        <v>16.5625</v>
      </c>
      <c r="N53" s="91">
        <f t="shared" si="35"/>
        <v>198.75</v>
      </c>
      <c r="O53" s="48">
        <v>1</v>
      </c>
      <c r="P53" s="91">
        <f t="shared" si="36"/>
        <v>1308.437499999985</v>
      </c>
      <c r="Q53" s="91">
        <f t="shared" si="37"/>
        <v>1507.187499999985</v>
      </c>
      <c r="R53" s="91">
        <f t="shared" si="38"/>
        <v>2467.812500000015</v>
      </c>
      <c r="S53" s="49">
        <f t="shared" si="39"/>
        <v>2016.4166666666667</v>
      </c>
      <c r="T53" s="49">
        <f t="shared" si="40"/>
        <v>2024</v>
      </c>
      <c r="U53" s="49">
        <f t="shared" si="41"/>
        <v>2036.4166666666667</v>
      </c>
      <c r="V53" s="49">
        <f t="shared" si="42"/>
        <v>2023</v>
      </c>
      <c r="W53" s="50"/>
    </row>
    <row r="54" spans="2:25" s="2" customFormat="1" ht="15" x14ac:dyDescent="0.25">
      <c r="B54" s="31" t="s">
        <v>44</v>
      </c>
      <c r="D54" s="2" t="s">
        <v>68</v>
      </c>
      <c r="E54" s="31">
        <v>2017</v>
      </c>
      <c r="F54" s="31">
        <v>2</v>
      </c>
      <c r="G54" s="31">
        <v>15</v>
      </c>
      <c r="H54" s="94">
        <v>0</v>
      </c>
      <c r="I54" s="31" t="s">
        <v>46</v>
      </c>
      <c r="J54" s="31">
        <v>20</v>
      </c>
      <c r="K54" s="2">
        <f t="shared" si="33"/>
        <v>2037</v>
      </c>
      <c r="L54" s="91">
        <v>2606</v>
      </c>
      <c r="M54" s="91">
        <f t="shared" si="34"/>
        <v>10.858333333333334</v>
      </c>
      <c r="N54" s="91">
        <f t="shared" si="35"/>
        <v>130.30000000000001</v>
      </c>
      <c r="O54" s="48">
        <v>1</v>
      </c>
      <c r="P54" s="91">
        <f t="shared" si="36"/>
        <v>770.94166666667661</v>
      </c>
      <c r="Q54" s="91">
        <f t="shared" si="37"/>
        <v>901.24166666667657</v>
      </c>
      <c r="R54" s="91">
        <f t="shared" si="38"/>
        <v>1704.7583333333234</v>
      </c>
      <c r="S54" s="49">
        <f t="shared" si="39"/>
        <v>2017.0833333333333</v>
      </c>
      <c r="T54" s="49">
        <f t="shared" si="40"/>
        <v>2024</v>
      </c>
      <c r="U54" s="49">
        <f t="shared" si="41"/>
        <v>2037.0833333333333</v>
      </c>
      <c r="V54" s="49">
        <f t="shared" si="42"/>
        <v>2023</v>
      </c>
      <c r="W54" s="50"/>
    </row>
    <row r="55" spans="2:25" s="2" customFormat="1" ht="15" x14ac:dyDescent="0.25">
      <c r="B55" s="31" t="s">
        <v>44</v>
      </c>
      <c r="D55" s="2" t="s">
        <v>68</v>
      </c>
      <c r="E55" s="31">
        <v>2017</v>
      </c>
      <c r="F55" s="31">
        <v>4</v>
      </c>
      <c r="G55" s="31">
        <v>4</v>
      </c>
      <c r="H55" s="94">
        <v>0</v>
      </c>
      <c r="I55" s="31" t="s">
        <v>46</v>
      </c>
      <c r="J55" s="31">
        <v>20</v>
      </c>
      <c r="K55" s="2">
        <f t="shared" si="33"/>
        <v>2037</v>
      </c>
      <c r="L55" s="91">
        <v>511</v>
      </c>
      <c r="M55" s="91">
        <f t="shared" si="34"/>
        <v>2.1291666666666669</v>
      </c>
      <c r="N55" s="91">
        <f t="shared" si="35"/>
        <v>25.55</v>
      </c>
      <c r="O55" s="48">
        <v>1</v>
      </c>
      <c r="P55" s="91">
        <f t="shared" si="36"/>
        <v>146.91250000000002</v>
      </c>
      <c r="Q55" s="91">
        <f t="shared" si="37"/>
        <v>172.46250000000003</v>
      </c>
      <c r="R55" s="91">
        <f t="shared" si="38"/>
        <v>338.53749999999997</v>
      </c>
      <c r="S55" s="49">
        <f t="shared" si="39"/>
        <v>2017.25</v>
      </c>
      <c r="T55" s="49">
        <f t="shared" si="40"/>
        <v>2024</v>
      </c>
      <c r="U55" s="49">
        <f t="shared" si="41"/>
        <v>2037.25</v>
      </c>
      <c r="V55" s="49">
        <f t="shared" si="42"/>
        <v>2023</v>
      </c>
      <c r="W55" s="50"/>
    </row>
    <row r="56" spans="2:25" s="2" customFormat="1" ht="15" x14ac:dyDescent="0.25">
      <c r="B56" s="31" t="s">
        <v>44</v>
      </c>
      <c r="D56" s="2" t="s">
        <v>68</v>
      </c>
      <c r="E56" s="31">
        <v>2017</v>
      </c>
      <c r="F56" s="31">
        <v>7</v>
      </c>
      <c r="G56" s="31">
        <v>17</v>
      </c>
      <c r="H56" s="94">
        <v>0</v>
      </c>
      <c r="I56" s="31" t="s">
        <v>46</v>
      </c>
      <c r="J56" s="31">
        <v>20</v>
      </c>
      <c r="K56" s="2">
        <f t="shared" si="33"/>
        <v>2037</v>
      </c>
      <c r="L56" s="91">
        <v>1608</v>
      </c>
      <c r="M56" s="91">
        <f t="shared" si="34"/>
        <v>6.7</v>
      </c>
      <c r="N56" s="91">
        <f t="shared" si="35"/>
        <v>80.400000000000006</v>
      </c>
      <c r="O56" s="48">
        <v>1</v>
      </c>
      <c r="P56" s="91">
        <f t="shared" si="36"/>
        <v>442.2</v>
      </c>
      <c r="Q56" s="91">
        <f t="shared" si="37"/>
        <v>522.6</v>
      </c>
      <c r="R56" s="91">
        <f t="shared" si="38"/>
        <v>1085.4000000000001</v>
      </c>
      <c r="S56" s="49">
        <f t="shared" si="39"/>
        <v>2017.5</v>
      </c>
      <c r="T56" s="49">
        <f t="shared" si="40"/>
        <v>2024</v>
      </c>
      <c r="U56" s="49">
        <f t="shared" si="41"/>
        <v>2037.5</v>
      </c>
      <c r="V56" s="49">
        <f t="shared" si="42"/>
        <v>2023</v>
      </c>
      <c r="W56" s="50"/>
    </row>
    <row r="57" spans="2:25" s="2" customFormat="1" ht="15" x14ac:dyDescent="0.25">
      <c r="B57" s="31" t="s">
        <v>44</v>
      </c>
      <c r="D57" s="2" t="s">
        <v>68</v>
      </c>
      <c r="E57" s="31">
        <v>2017</v>
      </c>
      <c r="F57" s="31">
        <v>9</v>
      </c>
      <c r="G57" s="31">
        <v>12</v>
      </c>
      <c r="H57" s="94">
        <v>0</v>
      </c>
      <c r="I57" s="31" t="s">
        <v>46</v>
      </c>
      <c r="J57" s="31">
        <v>20</v>
      </c>
      <c r="K57" s="2">
        <f t="shared" si="33"/>
        <v>2037</v>
      </c>
      <c r="L57" s="91">
        <v>461</v>
      </c>
      <c r="M57" s="91">
        <f t="shared" si="34"/>
        <v>1.9208333333333334</v>
      </c>
      <c r="N57" s="91">
        <f t="shared" si="35"/>
        <v>23.05</v>
      </c>
      <c r="O57" s="48">
        <v>1</v>
      </c>
      <c r="P57" s="91">
        <f t="shared" si="36"/>
        <v>122.93333333333159</v>
      </c>
      <c r="Q57" s="91">
        <f t="shared" si="37"/>
        <v>145.98333333333159</v>
      </c>
      <c r="R57" s="91">
        <f t="shared" si="38"/>
        <v>315.01666666666841</v>
      </c>
      <c r="S57" s="49">
        <f t="shared" si="39"/>
        <v>2017.6666666666667</v>
      </c>
      <c r="T57" s="49">
        <f t="shared" si="40"/>
        <v>2024</v>
      </c>
      <c r="U57" s="49">
        <f t="shared" si="41"/>
        <v>2037.6666666666667</v>
      </c>
      <c r="V57" s="49">
        <f t="shared" si="42"/>
        <v>2023</v>
      </c>
      <c r="W57" s="50"/>
    </row>
    <row r="58" spans="2:25" s="2" customFormat="1" ht="15" x14ac:dyDescent="0.25">
      <c r="B58" s="31" t="s">
        <v>44</v>
      </c>
      <c r="D58" s="2" t="s">
        <v>68</v>
      </c>
      <c r="E58" s="31">
        <v>2017</v>
      </c>
      <c r="F58" s="31">
        <v>12</v>
      </c>
      <c r="G58" s="31">
        <v>1</v>
      </c>
      <c r="H58" s="94">
        <v>0</v>
      </c>
      <c r="I58" s="31" t="s">
        <v>46</v>
      </c>
      <c r="J58" s="31">
        <v>20</v>
      </c>
      <c r="K58" s="2">
        <f t="shared" si="33"/>
        <v>2037</v>
      </c>
      <c r="L58" s="91">
        <v>1210</v>
      </c>
      <c r="M58" s="91">
        <f t="shared" si="34"/>
        <v>5.041666666666667</v>
      </c>
      <c r="N58" s="91">
        <f t="shared" si="35"/>
        <v>60.5</v>
      </c>
      <c r="O58" s="48">
        <v>1</v>
      </c>
      <c r="P58" s="91">
        <f t="shared" si="36"/>
        <v>307.54166666666208</v>
      </c>
      <c r="Q58" s="91">
        <f t="shared" si="37"/>
        <v>368.04166666666208</v>
      </c>
      <c r="R58" s="91">
        <f t="shared" si="38"/>
        <v>841.95833333333792</v>
      </c>
      <c r="S58" s="49">
        <f t="shared" si="39"/>
        <v>2017.9166666666667</v>
      </c>
      <c r="T58" s="49">
        <f t="shared" si="40"/>
        <v>2024</v>
      </c>
      <c r="U58" s="49">
        <f t="shared" si="41"/>
        <v>2037.9166666666667</v>
      </c>
      <c r="V58" s="49">
        <f t="shared" si="42"/>
        <v>2023</v>
      </c>
      <c r="W58" s="50"/>
    </row>
    <row r="59" spans="2:25" s="2" customFormat="1" ht="15" x14ac:dyDescent="0.25">
      <c r="B59" s="31" t="s">
        <v>44</v>
      </c>
      <c r="D59" s="2" t="s">
        <v>68</v>
      </c>
      <c r="E59" s="31">
        <v>2018</v>
      </c>
      <c r="F59" s="31">
        <v>3</v>
      </c>
      <c r="G59" s="31">
        <v>26</v>
      </c>
      <c r="H59" s="20">
        <v>0</v>
      </c>
      <c r="I59" s="31" t="s">
        <v>46</v>
      </c>
      <c r="J59" s="31">
        <v>20</v>
      </c>
      <c r="K59" s="2">
        <f t="shared" si="33"/>
        <v>2038</v>
      </c>
      <c r="L59" s="47">
        <v>3810</v>
      </c>
      <c r="M59" s="47">
        <f t="shared" si="34"/>
        <v>15.875</v>
      </c>
      <c r="N59" s="47">
        <f t="shared" si="35"/>
        <v>190.5</v>
      </c>
      <c r="O59" s="48">
        <v>1</v>
      </c>
      <c r="P59" s="47">
        <f t="shared" si="36"/>
        <v>920.74999999998556</v>
      </c>
      <c r="Q59" s="47">
        <f t="shared" si="37"/>
        <v>1111.2499999999854</v>
      </c>
      <c r="R59" s="47">
        <f t="shared" si="38"/>
        <v>2698.7500000000146</v>
      </c>
      <c r="S59" s="49">
        <f t="shared" si="39"/>
        <v>2018.1666666666667</v>
      </c>
      <c r="T59" s="49">
        <f t="shared" si="40"/>
        <v>2024</v>
      </c>
      <c r="U59" s="49">
        <f t="shared" si="41"/>
        <v>2038.1666666666667</v>
      </c>
      <c r="V59" s="49">
        <f t="shared" si="42"/>
        <v>2023</v>
      </c>
      <c r="W59" s="50"/>
      <c r="Y59" s="2">
        <v>81.900000000000006</v>
      </c>
    </row>
    <row r="60" spans="2:25" s="2" customFormat="1" ht="15" x14ac:dyDescent="0.25">
      <c r="B60" s="31" t="s">
        <v>44</v>
      </c>
      <c r="D60" s="2" t="s">
        <v>68</v>
      </c>
      <c r="E60" s="31">
        <v>2018</v>
      </c>
      <c r="F60" s="31">
        <v>5</v>
      </c>
      <c r="G60" s="31">
        <v>17</v>
      </c>
      <c r="H60" s="20">
        <v>0</v>
      </c>
      <c r="I60" s="31" t="s">
        <v>46</v>
      </c>
      <c r="J60" s="31">
        <v>20</v>
      </c>
      <c r="K60" s="2">
        <f t="shared" si="33"/>
        <v>2038</v>
      </c>
      <c r="L60" s="47">
        <v>3962</v>
      </c>
      <c r="M60" s="47">
        <f t="shared" si="34"/>
        <v>16.508333333333333</v>
      </c>
      <c r="N60" s="47">
        <f t="shared" si="35"/>
        <v>198.1</v>
      </c>
      <c r="O60" s="48">
        <v>1</v>
      </c>
      <c r="P60" s="47">
        <f t="shared" si="36"/>
        <v>924.4666666666817</v>
      </c>
      <c r="Q60" s="47">
        <f t="shared" si="37"/>
        <v>1122.5666666666816</v>
      </c>
      <c r="R60" s="47">
        <f t="shared" si="38"/>
        <v>2839.4333333333184</v>
      </c>
      <c r="S60" s="49">
        <f t="shared" si="39"/>
        <v>2018.3333333333333</v>
      </c>
      <c r="T60" s="49">
        <f t="shared" si="40"/>
        <v>2024</v>
      </c>
      <c r="U60" s="49">
        <f t="shared" si="41"/>
        <v>2038.3333333333333</v>
      </c>
      <c r="V60" s="49">
        <f t="shared" si="42"/>
        <v>2023</v>
      </c>
      <c r="W60" s="50"/>
      <c r="Y60" s="2">
        <v>83.59</v>
      </c>
    </row>
    <row r="61" spans="2:25" s="2" customFormat="1" ht="15" x14ac:dyDescent="0.25">
      <c r="B61" s="31" t="s">
        <v>44</v>
      </c>
      <c r="D61" s="2" t="s">
        <v>68</v>
      </c>
      <c r="E61" s="31">
        <v>2019</v>
      </c>
      <c r="F61" s="31">
        <v>3</v>
      </c>
      <c r="G61" s="31">
        <v>20</v>
      </c>
      <c r="H61" s="94">
        <v>0</v>
      </c>
      <c r="I61" s="31" t="s">
        <v>46</v>
      </c>
      <c r="J61" s="31">
        <v>20</v>
      </c>
      <c r="K61" s="2">
        <f t="shared" si="33"/>
        <v>2039</v>
      </c>
      <c r="L61" s="91">
        <v>802</v>
      </c>
      <c r="M61" s="91">
        <f t="shared" si="34"/>
        <v>3.3416666666666668</v>
      </c>
      <c r="N61" s="91">
        <f t="shared" si="35"/>
        <v>40.1</v>
      </c>
      <c r="O61" s="48">
        <v>1</v>
      </c>
      <c r="P61" s="91">
        <f t="shared" si="36"/>
        <v>153.71666666666363</v>
      </c>
      <c r="Q61" s="91">
        <f t="shared" si="37"/>
        <v>193.81666666666362</v>
      </c>
      <c r="R61" s="91">
        <f t="shared" si="38"/>
        <v>608.18333333333635</v>
      </c>
      <c r="S61" s="49">
        <f t="shared" si="39"/>
        <v>2019.1666666666667</v>
      </c>
      <c r="T61" s="49">
        <f t="shared" si="40"/>
        <v>2024</v>
      </c>
      <c r="U61" s="49">
        <f t="shared" si="41"/>
        <v>2039.1666666666667</v>
      </c>
      <c r="V61" s="49">
        <f t="shared" si="42"/>
        <v>2023</v>
      </c>
      <c r="W61" s="50"/>
      <c r="Y61" s="2">
        <v>202.05</v>
      </c>
    </row>
    <row r="62" spans="2:25" s="2" customFormat="1" ht="15" x14ac:dyDescent="0.25">
      <c r="B62" s="31" t="s">
        <v>44</v>
      </c>
      <c r="D62" s="2" t="s">
        <v>68</v>
      </c>
      <c r="E62" s="31">
        <v>2019</v>
      </c>
      <c r="F62" s="31">
        <v>11</v>
      </c>
      <c r="G62" s="31">
        <v>11</v>
      </c>
      <c r="H62" s="94">
        <v>0</v>
      </c>
      <c r="I62" s="31" t="s">
        <v>46</v>
      </c>
      <c r="J62" s="31">
        <v>20</v>
      </c>
      <c r="K62" s="2">
        <f t="shared" si="33"/>
        <v>2039</v>
      </c>
      <c r="L62" s="91">
        <v>1797</v>
      </c>
      <c r="M62" s="91">
        <f t="shared" si="34"/>
        <v>7.4874999999999998</v>
      </c>
      <c r="N62" s="91">
        <f t="shared" si="35"/>
        <v>89.85</v>
      </c>
      <c r="O62" s="48">
        <v>1</v>
      </c>
      <c r="P62" s="91">
        <f t="shared" si="36"/>
        <v>284.5250000000068</v>
      </c>
      <c r="Q62" s="91">
        <f t="shared" si="37"/>
        <v>374.37500000000682</v>
      </c>
      <c r="R62" s="91">
        <f t="shared" si="38"/>
        <v>1422.6249999999932</v>
      </c>
      <c r="S62" s="49">
        <f t="shared" si="39"/>
        <v>2019.8333333333333</v>
      </c>
      <c r="T62" s="49">
        <f t="shared" si="40"/>
        <v>2024</v>
      </c>
      <c r="U62" s="49">
        <f t="shared" si="41"/>
        <v>2039.8333333333333</v>
      </c>
      <c r="V62" s="49">
        <f t="shared" si="42"/>
        <v>2023</v>
      </c>
      <c r="W62" s="50"/>
      <c r="Y62" s="2">
        <v>416.92</v>
      </c>
    </row>
    <row r="63" spans="2:25" s="2" customFormat="1" ht="15" x14ac:dyDescent="0.25">
      <c r="B63" s="31" t="s">
        <v>44</v>
      </c>
      <c r="D63" s="2" t="s">
        <v>68</v>
      </c>
      <c r="E63" s="31">
        <v>2020</v>
      </c>
      <c r="F63" s="31">
        <v>8</v>
      </c>
      <c r="G63" s="31">
        <v>20</v>
      </c>
      <c r="H63" s="94">
        <v>0</v>
      </c>
      <c r="I63" s="31" t="s">
        <v>46</v>
      </c>
      <c r="J63" s="31">
        <v>20</v>
      </c>
      <c r="K63" s="2">
        <f t="shared" si="33"/>
        <v>2040</v>
      </c>
      <c r="L63" s="91">
        <v>5086</v>
      </c>
      <c r="M63" s="91">
        <f t="shared" si="34"/>
        <v>21.191666666666666</v>
      </c>
      <c r="N63" s="91">
        <f t="shared" si="35"/>
        <v>254.3</v>
      </c>
      <c r="O63" s="48">
        <v>1</v>
      </c>
      <c r="P63" s="91">
        <f t="shared" si="36"/>
        <v>614.55833333335261</v>
      </c>
      <c r="Q63" s="91">
        <f t="shared" si="37"/>
        <v>868.85833333335268</v>
      </c>
      <c r="R63" s="91">
        <f t="shared" si="38"/>
        <v>4217.1416666666473</v>
      </c>
      <c r="S63" s="49">
        <f t="shared" si="39"/>
        <v>2020.5833333333333</v>
      </c>
      <c r="T63" s="49">
        <f t="shared" si="40"/>
        <v>2024</v>
      </c>
      <c r="U63" s="49">
        <f t="shared" si="41"/>
        <v>2040.5833333333333</v>
      </c>
      <c r="V63" s="49">
        <f t="shared" si="42"/>
        <v>2023</v>
      </c>
      <c r="W63" s="50"/>
      <c r="Y63" s="2">
        <f>SUM(Y59:Y62)</f>
        <v>784.46</v>
      </c>
    </row>
    <row r="64" spans="2:25" s="2" customFormat="1" ht="15" x14ac:dyDescent="0.25">
      <c r="B64" s="31" t="s">
        <v>44</v>
      </c>
      <c r="D64" s="2" t="s">
        <v>68</v>
      </c>
      <c r="E64" s="31">
        <v>2021</v>
      </c>
      <c r="F64" s="31">
        <v>3</v>
      </c>
      <c r="G64" s="31">
        <v>1</v>
      </c>
      <c r="H64" s="94">
        <v>0</v>
      </c>
      <c r="I64" s="31" t="s">
        <v>46</v>
      </c>
      <c r="J64" s="31">
        <v>20</v>
      </c>
      <c r="K64" s="2">
        <f t="shared" si="33"/>
        <v>2041</v>
      </c>
      <c r="L64" s="91">
        <v>3903</v>
      </c>
      <c r="M64" s="91">
        <f t="shared" si="34"/>
        <v>16.262499999999999</v>
      </c>
      <c r="N64" s="91">
        <f t="shared" si="35"/>
        <v>195.15</v>
      </c>
      <c r="O64" s="48">
        <v>1</v>
      </c>
      <c r="P64" s="91">
        <f t="shared" si="36"/>
        <v>357.7749999999852</v>
      </c>
      <c r="Q64" s="91">
        <f t="shared" si="37"/>
        <v>552.92499999998518</v>
      </c>
      <c r="R64" s="91">
        <f t="shared" si="38"/>
        <v>3350.0750000000148</v>
      </c>
      <c r="S64" s="49">
        <f t="shared" si="39"/>
        <v>2021.1666666666667</v>
      </c>
      <c r="T64" s="49">
        <f t="shared" si="40"/>
        <v>2024</v>
      </c>
      <c r="U64" s="49">
        <f t="shared" si="41"/>
        <v>2041.1666666666667</v>
      </c>
      <c r="V64" s="49">
        <f t="shared" si="42"/>
        <v>2023</v>
      </c>
      <c r="W64" s="50"/>
    </row>
    <row r="65" spans="2:23" s="2" customFormat="1" ht="15" x14ac:dyDescent="0.25">
      <c r="B65" s="31" t="s">
        <v>44</v>
      </c>
      <c r="D65" s="2" t="s">
        <v>68</v>
      </c>
      <c r="E65" s="31">
        <v>2021</v>
      </c>
      <c r="F65" s="31">
        <v>12</v>
      </c>
      <c r="G65" s="31">
        <v>31</v>
      </c>
      <c r="H65" s="20">
        <v>0</v>
      </c>
      <c r="I65" s="31" t="s">
        <v>46</v>
      </c>
      <c r="J65" s="31">
        <v>20</v>
      </c>
      <c r="K65" s="2">
        <f t="shared" si="33"/>
        <v>2041</v>
      </c>
      <c r="L65" s="47">
        <v>1645</v>
      </c>
      <c r="M65" s="47">
        <f t="shared" si="34"/>
        <v>6.854166666666667</v>
      </c>
      <c r="N65" s="47">
        <f t="shared" si="35"/>
        <v>82.25</v>
      </c>
      <c r="O65" s="48">
        <v>1</v>
      </c>
      <c r="P65" s="47">
        <f t="shared" si="36"/>
        <v>89.104166666660433</v>
      </c>
      <c r="Q65" s="47">
        <f t="shared" si="37"/>
        <v>171.35416666666043</v>
      </c>
      <c r="R65" s="47">
        <f t="shared" si="38"/>
        <v>1473.6458333333396</v>
      </c>
      <c r="S65" s="49">
        <f t="shared" si="39"/>
        <v>2021.9166666666667</v>
      </c>
      <c r="T65" s="49">
        <f t="shared" si="40"/>
        <v>2024</v>
      </c>
      <c r="U65" s="49">
        <f t="shared" si="41"/>
        <v>2041.9166666666667</v>
      </c>
      <c r="V65" s="49">
        <f t="shared" si="42"/>
        <v>2023</v>
      </c>
      <c r="W65" s="50"/>
    </row>
    <row r="66" spans="2:23" s="2" customFormat="1" ht="15" x14ac:dyDescent="0.25">
      <c r="B66" s="31" t="s">
        <v>44</v>
      </c>
      <c r="D66" s="2" t="s">
        <v>68</v>
      </c>
      <c r="E66" s="31">
        <v>2023</v>
      </c>
      <c r="F66" s="31">
        <v>4</v>
      </c>
      <c r="G66" s="31">
        <v>28</v>
      </c>
      <c r="H66" s="94">
        <v>0</v>
      </c>
      <c r="I66" s="31" t="s">
        <v>46</v>
      </c>
      <c r="J66" s="31">
        <v>20</v>
      </c>
      <c r="K66" s="2">
        <f t="shared" si="33"/>
        <v>2043</v>
      </c>
      <c r="L66" s="91">
        <v>1231</v>
      </c>
      <c r="M66" s="91">
        <f t="shared" si="34"/>
        <v>5.1291666666666664</v>
      </c>
      <c r="N66" s="91">
        <f t="shared" si="35"/>
        <v>61.55</v>
      </c>
      <c r="O66" s="48">
        <v>1</v>
      </c>
      <c r="P66" s="91">
        <f t="shared" si="36"/>
        <v>0</v>
      </c>
      <c r="Q66" s="91">
        <f t="shared" si="37"/>
        <v>61.55</v>
      </c>
      <c r="R66" s="91">
        <f t="shared" si="38"/>
        <v>1169.45</v>
      </c>
      <c r="S66" s="49">
        <f t="shared" si="39"/>
        <v>2023.25</v>
      </c>
      <c r="T66" s="49">
        <f t="shared" si="40"/>
        <v>2024</v>
      </c>
      <c r="U66" s="49">
        <f t="shared" si="41"/>
        <v>2043.25</v>
      </c>
      <c r="V66" s="49">
        <f t="shared" si="42"/>
        <v>2023</v>
      </c>
      <c r="W66" s="50"/>
    </row>
    <row r="67" spans="2:23" s="62" customFormat="1" ht="15" x14ac:dyDescent="0.25">
      <c r="B67" s="61" t="s">
        <v>44</v>
      </c>
      <c r="D67" s="62" t="s">
        <v>68</v>
      </c>
      <c r="E67" s="61">
        <v>2024</v>
      </c>
      <c r="F67" s="61">
        <v>8</v>
      </c>
      <c r="G67" s="61">
        <v>1</v>
      </c>
      <c r="H67" s="63">
        <v>0</v>
      </c>
      <c r="I67" s="61" t="s">
        <v>46</v>
      </c>
      <c r="J67" s="61">
        <v>15</v>
      </c>
      <c r="K67" s="62">
        <f t="shared" si="33"/>
        <v>2039</v>
      </c>
      <c r="L67" s="98">
        <v>25102.720000000001</v>
      </c>
      <c r="M67" s="64">
        <f t="shared" si="34"/>
        <v>139.45955555555557</v>
      </c>
      <c r="N67" s="110">
        <f t="shared" si="35"/>
        <v>1673.5146666666667</v>
      </c>
      <c r="O67" s="65">
        <v>1</v>
      </c>
      <c r="P67" s="64">
        <f t="shared" si="36"/>
        <v>0</v>
      </c>
      <c r="Q67" s="64">
        <f t="shared" si="37"/>
        <v>1673.5146666666667</v>
      </c>
      <c r="R67" s="64">
        <f t="shared" si="38"/>
        <v>23429.205333333335</v>
      </c>
      <c r="S67" s="66">
        <f t="shared" si="39"/>
        <v>2024.5833333333333</v>
      </c>
      <c r="T67" s="66">
        <f t="shared" si="40"/>
        <v>2024</v>
      </c>
      <c r="U67" s="66">
        <f t="shared" si="41"/>
        <v>2039.5833333333333</v>
      </c>
      <c r="V67" s="66">
        <f t="shared" si="42"/>
        <v>2023</v>
      </c>
      <c r="W67" s="67"/>
    </row>
    <row r="68" spans="2:23" s="2" customFormat="1" ht="15" x14ac:dyDescent="0.25">
      <c r="B68" s="61"/>
      <c r="C68" s="62"/>
      <c r="D68" s="62"/>
      <c r="E68" s="61"/>
      <c r="F68" s="61"/>
      <c r="G68" s="61"/>
      <c r="H68" s="63"/>
      <c r="I68" s="61"/>
      <c r="J68" s="61"/>
      <c r="K68" s="62"/>
      <c r="L68" s="98"/>
      <c r="M68" s="64"/>
      <c r="N68" s="64"/>
      <c r="O68" s="65"/>
      <c r="P68" s="64"/>
      <c r="Q68" s="64"/>
      <c r="R68" s="64"/>
      <c r="S68" s="49"/>
      <c r="T68" s="49"/>
      <c r="U68" s="49"/>
      <c r="V68" s="49"/>
      <c r="W68" s="50"/>
    </row>
    <row r="69" spans="2:23" s="53" customFormat="1" ht="15" x14ac:dyDescent="0.25">
      <c r="B69" s="27"/>
      <c r="C69" s="114" t="s">
        <v>69</v>
      </c>
      <c r="D69" s="114"/>
      <c r="E69" s="27"/>
      <c r="F69" s="27"/>
      <c r="G69" s="27"/>
      <c r="H69" s="52"/>
      <c r="I69" s="27"/>
      <c r="J69" s="27"/>
      <c r="L69" s="55">
        <f>SUM(L51:L67)</f>
        <v>61852.72</v>
      </c>
      <c r="M69" s="54"/>
      <c r="N69" s="55">
        <f>SUM(N51:N67)</f>
        <v>3511.0146666666665</v>
      </c>
      <c r="O69" s="56"/>
      <c r="P69" s="55">
        <f>SUM(P51:P67)</f>
        <v>7846.2041666666546</v>
      </c>
      <c r="Q69" s="55">
        <f>SUM(Q51:Q67)</f>
        <v>11357.218833333322</v>
      </c>
      <c r="R69" s="55">
        <f>SUM(R51:R67)</f>
        <v>50495.501166666683</v>
      </c>
      <c r="S69" s="57"/>
      <c r="T69" s="57"/>
      <c r="U69" s="57"/>
      <c r="V69" s="57"/>
      <c r="W69" s="58"/>
    </row>
    <row r="70" spans="2:23" s="2" customFormat="1" ht="15" x14ac:dyDescent="0.25">
      <c r="B70" s="31"/>
      <c r="E70" s="31"/>
      <c r="F70" s="31"/>
      <c r="G70" s="31"/>
      <c r="H70" s="20"/>
      <c r="I70" s="31"/>
      <c r="J70" s="31"/>
      <c r="K70" s="87"/>
      <c r="L70" s="97"/>
      <c r="M70" s="47"/>
      <c r="N70" s="47"/>
      <c r="O70" s="48"/>
      <c r="P70" s="47"/>
      <c r="Q70" s="47"/>
      <c r="R70" s="47"/>
      <c r="S70" s="49"/>
      <c r="T70" s="49"/>
      <c r="U70" s="49"/>
      <c r="V70" s="49"/>
      <c r="W70" s="50"/>
    </row>
    <row r="71" spans="2:23" s="2" customFormat="1" ht="15" x14ac:dyDescent="0.25">
      <c r="B71" s="31"/>
      <c r="E71" s="31"/>
      <c r="F71" s="31"/>
      <c r="G71" s="31"/>
      <c r="H71" s="20"/>
      <c r="I71" s="31"/>
      <c r="J71" s="31"/>
      <c r="K71" s="87"/>
      <c r="L71" s="97"/>
      <c r="M71" s="47"/>
      <c r="N71" s="47"/>
      <c r="O71" s="48"/>
      <c r="P71" s="47"/>
      <c r="Q71" s="47"/>
      <c r="R71" s="47">
        <f>+R70-R69</f>
        <v>-50495.501166666683</v>
      </c>
      <c r="S71" s="49"/>
      <c r="T71" s="49"/>
      <c r="U71" s="49"/>
      <c r="V71" s="49"/>
      <c r="W71" s="50"/>
    </row>
    <row r="72" spans="2:23" s="2" customFormat="1" ht="15" x14ac:dyDescent="0.25">
      <c r="B72" s="31"/>
      <c r="C72" s="113" t="s">
        <v>70</v>
      </c>
      <c r="D72" s="113"/>
      <c r="E72" s="31"/>
      <c r="F72" s="31"/>
      <c r="G72" s="31"/>
      <c r="H72" s="20"/>
      <c r="I72" s="31"/>
      <c r="J72" s="31"/>
      <c r="L72" s="47"/>
      <c r="M72" s="47"/>
      <c r="N72" s="47"/>
      <c r="O72" s="48"/>
      <c r="P72" s="47"/>
      <c r="Q72" s="47"/>
      <c r="R72" s="47"/>
      <c r="S72" s="49"/>
      <c r="T72" s="49"/>
      <c r="U72" s="49"/>
      <c r="V72" s="49"/>
      <c r="W72" s="50"/>
    </row>
    <row r="73" spans="2:23" s="2" customFormat="1" ht="15" x14ac:dyDescent="0.25">
      <c r="B73" s="31" t="s">
        <v>44</v>
      </c>
      <c r="D73" s="2" t="s">
        <v>71</v>
      </c>
      <c r="E73" s="31">
        <v>2015</v>
      </c>
      <c r="F73" s="31">
        <v>12</v>
      </c>
      <c r="G73" s="31">
        <v>31</v>
      </c>
      <c r="H73" s="20">
        <v>0</v>
      </c>
      <c r="I73" s="31" t="s">
        <v>46</v>
      </c>
      <c r="J73" s="31">
        <v>7</v>
      </c>
      <c r="K73" s="2">
        <f t="shared" ref="K73" si="43">+E73+J73</f>
        <v>2022</v>
      </c>
      <c r="L73" s="91">
        <v>4018</v>
      </c>
      <c r="M73" s="47">
        <f t="shared" ref="M73" si="44">L73/J73/12</f>
        <v>47.833333333333336</v>
      </c>
      <c r="N73" s="47">
        <f t="shared" ref="N73" si="45">IF(U73&lt;=T73,0,L73/J73)</f>
        <v>0</v>
      </c>
      <c r="O73" s="48">
        <v>1</v>
      </c>
      <c r="P73" s="47">
        <f t="shared" ref="P73" si="46">IF(S73&gt;T73,0,IF(U73&lt;V73,L73,IF((AND((U73&gt;=V73),(U73&lt;=T73))),(L73-N73),IF((AND((V73&lt;=S73),(T73&gt;=S73))),0,IF(U73&gt;T73,((V73-S73)*12)*M73,0)))))</f>
        <v>4018</v>
      </c>
      <c r="Q73" s="47">
        <f t="shared" ref="Q73" si="47">P73+N73</f>
        <v>4018</v>
      </c>
      <c r="R73" s="47">
        <f t="shared" ref="R73" si="48">+L73-Q73</f>
        <v>0</v>
      </c>
      <c r="S73" s="49">
        <f>$E73+(($F73-1)/12)</f>
        <v>2015.9166666666667</v>
      </c>
      <c r="T73" s="49">
        <f>($M$7+1)-($M$4/12)</f>
        <v>2024</v>
      </c>
      <c r="U73" s="49">
        <f>$K73+(($F73-1)/12)</f>
        <v>2022.9166666666667</v>
      </c>
      <c r="V73" s="49">
        <f>$M$6+($M$5/12)</f>
        <v>2023</v>
      </c>
      <c r="W73" s="50"/>
    </row>
    <row r="74" spans="2:23" s="2" customFormat="1" ht="15" x14ac:dyDescent="0.25">
      <c r="B74" s="31"/>
      <c r="E74" s="31"/>
      <c r="F74" s="31"/>
      <c r="G74" s="31"/>
      <c r="H74" s="20"/>
      <c r="I74" s="31"/>
      <c r="J74" s="31"/>
      <c r="L74" s="91"/>
      <c r="M74" s="47"/>
      <c r="N74" s="47"/>
      <c r="O74" s="48"/>
      <c r="P74" s="47"/>
      <c r="Q74" s="47"/>
      <c r="R74" s="47"/>
      <c r="S74" s="49"/>
      <c r="T74" s="49"/>
      <c r="U74" s="49"/>
      <c r="V74" s="49"/>
      <c r="W74" s="50"/>
    </row>
    <row r="75" spans="2:23" s="53" customFormat="1" ht="15" x14ac:dyDescent="0.25">
      <c r="B75" s="27"/>
      <c r="C75" s="114" t="s">
        <v>72</v>
      </c>
      <c r="D75" s="114"/>
      <c r="E75" s="27"/>
      <c r="F75" s="27"/>
      <c r="G75" s="27"/>
      <c r="H75" s="52"/>
      <c r="I75" s="27"/>
      <c r="J75" s="27"/>
      <c r="L75" s="93">
        <f>SUM(L73:L74)</f>
        <v>4018</v>
      </c>
      <c r="M75" s="54"/>
      <c r="N75" s="55">
        <f>SUM(N73:N74)</f>
        <v>0</v>
      </c>
      <c r="O75" s="56"/>
      <c r="P75" s="55">
        <f>SUM(P73:P74)</f>
        <v>4018</v>
      </c>
      <c r="Q75" s="55">
        <f>SUM(Q73:Q74)</f>
        <v>4018</v>
      </c>
      <c r="R75" s="55">
        <f>SUM(R73:R74)</f>
        <v>0</v>
      </c>
      <c r="S75" s="57"/>
      <c r="T75" s="57"/>
      <c r="U75" s="57"/>
      <c r="V75" s="57"/>
      <c r="W75" s="58"/>
    </row>
    <row r="76" spans="2:23" s="2" customFormat="1" ht="15" x14ac:dyDescent="0.25">
      <c r="B76" s="31"/>
      <c r="D76" s="69"/>
      <c r="E76" s="31"/>
      <c r="F76" s="31"/>
      <c r="G76" s="31"/>
      <c r="H76" s="20"/>
      <c r="I76" s="31"/>
      <c r="J76" s="31"/>
      <c r="L76" s="47"/>
      <c r="M76" s="47"/>
      <c r="N76" s="47"/>
      <c r="O76" s="48"/>
      <c r="P76" s="47"/>
      <c r="Q76" s="47"/>
      <c r="R76" s="47"/>
      <c r="S76" s="49"/>
      <c r="T76" s="49"/>
      <c r="U76" s="49"/>
      <c r="V76" s="49"/>
      <c r="W76" s="50"/>
    </row>
    <row r="77" spans="2:23" s="2" customFormat="1" ht="15" x14ac:dyDescent="0.25">
      <c r="B77" s="31"/>
      <c r="C77" s="113" t="s">
        <v>73</v>
      </c>
      <c r="D77" s="113"/>
      <c r="E77" s="31"/>
      <c r="F77" s="31"/>
      <c r="G77" s="31"/>
      <c r="H77" s="20"/>
      <c r="I77" s="31"/>
      <c r="J77" s="31"/>
      <c r="L77" s="47"/>
      <c r="M77" s="47"/>
      <c r="N77" s="47"/>
      <c r="O77" s="48"/>
      <c r="P77" s="47"/>
      <c r="Q77" s="47"/>
      <c r="R77" s="47"/>
      <c r="S77" s="49"/>
      <c r="T77" s="49"/>
      <c r="U77" s="49"/>
      <c r="V77" s="49"/>
      <c r="W77" s="50"/>
    </row>
    <row r="78" spans="2:23" s="2" customFormat="1" ht="15" x14ac:dyDescent="0.25">
      <c r="B78" s="31"/>
      <c r="E78" s="31"/>
      <c r="F78" s="31"/>
      <c r="G78" s="31"/>
      <c r="H78" s="20"/>
      <c r="I78" s="31"/>
      <c r="J78" s="31"/>
      <c r="L78" s="47"/>
      <c r="M78" s="47"/>
      <c r="N78" s="47"/>
      <c r="O78" s="48"/>
      <c r="P78" s="47"/>
      <c r="Q78" s="47"/>
      <c r="R78" s="47"/>
      <c r="S78" s="49"/>
      <c r="T78" s="49"/>
      <c r="U78" s="49"/>
      <c r="V78" s="49"/>
      <c r="W78" s="50"/>
    </row>
    <row r="79" spans="2:23" s="2" customFormat="1" ht="15" x14ac:dyDescent="0.25">
      <c r="B79" s="31" t="s">
        <v>44</v>
      </c>
      <c r="D79" s="2" t="s">
        <v>74</v>
      </c>
      <c r="E79" s="31">
        <v>2023</v>
      </c>
      <c r="F79" s="31">
        <v>8</v>
      </c>
      <c r="G79" s="31">
        <v>17</v>
      </c>
      <c r="H79" s="94">
        <v>0</v>
      </c>
      <c r="I79" s="31" t="s">
        <v>46</v>
      </c>
      <c r="J79" s="31">
        <v>6</v>
      </c>
      <c r="K79" s="2">
        <f>+E79+J79</f>
        <v>2029</v>
      </c>
      <c r="L79" s="91">
        <v>15620</v>
      </c>
      <c r="M79" s="91">
        <f>L79/J79/12</f>
        <v>216.94444444444446</v>
      </c>
      <c r="N79" s="91">
        <f>IF(U79&lt;=T79,0,L79/J79)</f>
        <v>2603.3333333333335</v>
      </c>
      <c r="O79" s="48">
        <v>1</v>
      </c>
      <c r="P79" s="91">
        <f>IF(S79&gt;T79,0,IF(U79&lt;V79,L79,IF((AND((U79&gt;=V79),(U79&lt;=T79))),(L79-N79),IF((AND((V79&lt;=S79),(T79&gt;=S79))),0,IF(U79&gt;T79,((V79-S79)*12)*M79,0)))))</f>
        <v>0</v>
      </c>
      <c r="Q79" s="91">
        <f>P79+N79</f>
        <v>2603.3333333333335</v>
      </c>
      <c r="R79" s="91">
        <f>+L79-Q79</f>
        <v>13016.666666666666</v>
      </c>
      <c r="S79" s="49">
        <f>$E79+(($F79-1)/12)</f>
        <v>2023.5833333333333</v>
      </c>
      <c r="T79" s="49">
        <f>($M$7+1)-($M$4/12)</f>
        <v>2024</v>
      </c>
      <c r="U79" s="49">
        <f>$K79+(($F79-1)/12)</f>
        <v>2029.5833333333333</v>
      </c>
      <c r="V79" s="49">
        <f>$M$6+($M$5/12)</f>
        <v>2023</v>
      </c>
      <c r="W79" s="50"/>
    </row>
    <row r="80" spans="2:23" s="2" customFormat="1" ht="15" x14ac:dyDescent="0.25">
      <c r="B80" s="31"/>
      <c r="E80" s="31"/>
      <c r="F80" s="31"/>
      <c r="G80" s="31"/>
      <c r="H80" s="94"/>
      <c r="I80" s="31"/>
      <c r="J80" s="31"/>
      <c r="L80" s="91"/>
      <c r="M80" s="91"/>
      <c r="N80" s="91"/>
      <c r="O80" s="48"/>
      <c r="P80" s="91"/>
      <c r="Q80" s="91"/>
      <c r="R80" s="91"/>
      <c r="S80" s="49"/>
      <c r="T80" s="49"/>
      <c r="U80" s="49"/>
      <c r="V80" s="49"/>
      <c r="W80" s="50"/>
    </row>
    <row r="81" spans="2:23" s="53" customFormat="1" ht="15" x14ac:dyDescent="0.25">
      <c r="B81" s="27"/>
      <c r="C81" s="114" t="s">
        <v>75</v>
      </c>
      <c r="D81" s="114"/>
      <c r="E81" s="27"/>
      <c r="F81" s="27"/>
      <c r="G81" s="27"/>
      <c r="H81" s="95"/>
      <c r="I81" s="27"/>
      <c r="J81" s="27"/>
      <c r="L81" s="93">
        <f>SUM(L79:L80)</f>
        <v>15620</v>
      </c>
      <c r="M81" s="96"/>
      <c r="N81" s="93">
        <f>SUM(N79:N80)</f>
        <v>2603.3333333333335</v>
      </c>
      <c r="O81" s="56"/>
      <c r="P81" s="93">
        <f>SUM(P79:P80)</f>
        <v>0</v>
      </c>
      <c r="Q81" s="93">
        <f>SUM(Q79:Q80)</f>
        <v>2603.3333333333335</v>
      </c>
      <c r="R81" s="93">
        <f>SUM(R79:R80)</f>
        <v>13016.666666666666</v>
      </c>
      <c r="S81" s="57"/>
      <c r="T81" s="57"/>
      <c r="U81" s="57"/>
      <c r="V81" s="57"/>
      <c r="W81" s="58"/>
    </row>
    <row r="82" spans="2:23" s="53" customFormat="1" ht="15" x14ac:dyDescent="0.25">
      <c r="B82" s="27"/>
      <c r="C82" s="51"/>
      <c r="D82" s="51"/>
      <c r="E82" s="27"/>
      <c r="F82" s="27"/>
      <c r="G82" s="27"/>
      <c r="H82" s="52"/>
      <c r="I82" s="27"/>
      <c r="J82" s="27"/>
      <c r="L82" s="59"/>
      <c r="M82" s="54"/>
      <c r="N82" s="59"/>
      <c r="O82" s="56"/>
      <c r="P82" s="59"/>
      <c r="Q82" s="59"/>
      <c r="R82" s="59"/>
      <c r="S82" s="57"/>
      <c r="T82" s="57"/>
      <c r="U82" s="57"/>
      <c r="V82" s="57"/>
      <c r="W82" s="58"/>
    </row>
    <row r="83" spans="2:23" s="72" customFormat="1" ht="15" x14ac:dyDescent="0.25">
      <c r="B83" s="70"/>
      <c r="C83" s="112" t="s">
        <v>76</v>
      </c>
      <c r="D83" s="112"/>
      <c r="E83" s="70"/>
      <c r="F83" s="70"/>
      <c r="G83" s="70"/>
      <c r="H83" s="71"/>
      <c r="I83" s="70"/>
      <c r="J83" s="70"/>
      <c r="L83" s="73">
        <f>SUM(L18,L30,L39,L47,L69,L75,L81)</f>
        <v>3018563.72</v>
      </c>
      <c r="M83" s="74"/>
      <c r="N83" s="73">
        <f>SUM(N18,N30,N39,N47,N69,N75,N81)</f>
        <v>106929.31847619047</v>
      </c>
      <c r="O83" s="75"/>
      <c r="P83" s="73">
        <f>SUM(P18,P30,P39,P47,P69,P75,P81)</f>
        <v>680736.01170635095</v>
      </c>
      <c r="Q83" s="73">
        <f>SUM(Q18,Q30,Q39,Q47,Q69,Q75,Q81)</f>
        <v>787665.33018254163</v>
      </c>
      <c r="R83" s="73">
        <f>SUM(R18,R30,R39,R47,R69,R75,R81)</f>
        <v>2230898.3898174586</v>
      </c>
      <c r="S83" s="76"/>
      <c r="T83" s="76"/>
      <c r="U83" s="76"/>
      <c r="V83" s="76"/>
      <c r="W83" s="77"/>
    </row>
    <row r="84" spans="2:23" s="53" customFormat="1" ht="15" x14ac:dyDescent="0.25">
      <c r="B84" s="27"/>
      <c r="C84" s="51"/>
      <c r="D84" s="51"/>
      <c r="E84" s="27"/>
      <c r="F84" s="27"/>
      <c r="G84" s="27"/>
      <c r="H84" s="52"/>
      <c r="I84" s="27"/>
      <c r="J84" s="27"/>
      <c r="L84" s="59"/>
      <c r="M84" s="54"/>
      <c r="N84" s="59"/>
      <c r="O84" s="56"/>
      <c r="P84" s="59"/>
      <c r="Q84" s="59"/>
      <c r="R84" s="59"/>
      <c r="S84" s="57"/>
      <c r="T84" s="57"/>
      <c r="U84" s="57"/>
      <c r="V84" s="57"/>
      <c r="W84" s="58"/>
    </row>
    <row r="85" spans="2:23" s="53" customFormat="1" ht="15" x14ac:dyDescent="0.25">
      <c r="B85" s="27"/>
      <c r="C85" s="51"/>
      <c r="D85" s="51"/>
      <c r="E85" s="27"/>
      <c r="F85" s="27"/>
      <c r="G85" s="27"/>
      <c r="H85" s="52"/>
      <c r="I85" s="27"/>
      <c r="J85" s="27"/>
      <c r="L85" s="59"/>
      <c r="M85" s="54"/>
      <c r="N85" s="59"/>
      <c r="O85" s="56"/>
      <c r="P85" s="59"/>
      <c r="Q85" s="59"/>
      <c r="R85" s="59"/>
      <c r="S85" s="57"/>
      <c r="T85" s="57"/>
      <c r="U85" s="57"/>
      <c r="V85" s="57"/>
      <c r="W85" s="58"/>
    </row>
    <row r="86" spans="2:23" s="72" customFormat="1" ht="15" x14ac:dyDescent="0.25">
      <c r="B86" s="70"/>
      <c r="C86" s="112" t="s">
        <v>77</v>
      </c>
      <c r="D86" s="112"/>
      <c r="E86" s="70"/>
      <c r="F86" s="70"/>
      <c r="G86" s="70"/>
      <c r="H86" s="71"/>
      <c r="I86" s="70"/>
      <c r="J86" s="70"/>
      <c r="L86" s="78"/>
      <c r="M86" s="74"/>
      <c r="N86" s="78"/>
      <c r="O86" s="75"/>
      <c r="P86" s="78"/>
      <c r="Q86" s="78"/>
      <c r="R86" s="78"/>
      <c r="S86" s="76"/>
      <c r="T86" s="76"/>
      <c r="U86" s="76"/>
      <c r="V86" s="76"/>
      <c r="W86" s="77"/>
    </row>
    <row r="87" spans="2:23" s="53" customFormat="1" ht="15" x14ac:dyDescent="0.25">
      <c r="B87" s="27"/>
      <c r="C87" s="51"/>
      <c r="D87" s="51"/>
      <c r="E87" s="27"/>
      <c r="F87" s="27"/>
      <c r="G87" s="27"/>
      <c r="H87" s="52"/>
      <c r="I87" s="27"/>
      <c r="J87" s="27"/>
      <c r="L87" s="59"/>
      <c r="M87" s="54"/>
      <c r="N87" s="59"/>
      <c r="O87" s="56"/>
      <c r="P87" s="59"/>
      <c r="Q87" s="59"/>
      <c r="R87" s="59"/>
      <c r="S87" s="57"/>
      <c r="T87" s="57"/>
      <c r="U87" s="57"/>
      <c r="V87" s="57"/>
      <c r="W87" s="58"/>
    </row>
    <row r="88" spans="2:23" s="2" customFormat="1" ht="15" x14ac:dyDescent="0.25">
      <c r="B88" s="31"/>
      <c r="C88" s="113" t="s">
        <v>48</v>
      </c>
      <c r="D88" s="113"/>
      <c r="E88" s="31"/>
      <c r="F88" s="31"/>
      <c r="G88" s="31"/>
      <c r="H88" s="20"/>
      <c r="I88" s="31"/>
      <c r="J88" s="31"/>
      <c r="L88" s="47"/>
      <c r="M88" s="47"/>
      <c r="N88" s="47"/>
      <c r="O88" s="48"/>
      <c r="P88" s="47"/>
      <c r="Q88" s="47"/>
      <c r="R88" s="47"/>
      <c r="S88" s="49"/>
      <c r="T88" s="49"/>
      <c r="U88" s="49"/>
      <c r="V88" s="49"/>
      <c r="W88" s="50"/>
    </row>
    <row r="89" spans="2:23" s="2" customFormat="1" ht="15" x14ac:dyDescent="0.25">
      <c r="B89" s="31" t="s">
        <v>78</v>
      </c>
      <c r="D89" s="2" t="s">
        <v>51</v>
      </c>
      <c r="E89" s="31">
        <v>2012</v>
      </c>
      <c r="F89" s="31">
        <v>5</v>
      </c>
      <c r="G89" s="31">
        <v>23</v>
      </c>
      <c r="H89" s="20">
        <v>0</v>
      </c>
      <c r="I89" s="31" t="s">
        <v>46</v>
      </c>
      <c r="J89" s="31">
        <v>30</v>
      </c>
      <c r="K89" s="2">
        <f t="shared" ref="K89:K94" si="49">+E89+J89</f>
        <v>2042</v>
      </c>
      <c r="L89" s="60">
        <f>192185+96092</f>
        <v>288277</v>
      </c>
      <c r="M89" s="47">
        <f t="shared" ref="M89:M94" si="50">L89/J89/12</f>
        <v>800.7694444444445</v>
      </c>
      <c r="N89" s="47">
        <f t="shared" ref="N89:N94" si="51">IF(U89&lt;=T89,0,L89/J89)</f>
        <v>9609.2333333333336</v>
      </c>
      <c r="O89" s="48">
        <v>1</v>
      </c>
      <c r="P89" s="47">
        <f t="shared" ref="P89:P94" si="52">IF(S89&gt;T89,0,IF(U89&lt;V89,L89,IF((AND((U89&gt;=V89),(U89&lt;=T89))),(L89-N89),IF((AND((V89&lt;=S89),(T89&gt;=S89))),0,IF(U89&gt;T89,((V89-S89)*12)*M89,0)))))</f>
        <v>102498.48888888962</v>
      </c>
      <c r="Q89" s="47">
        <f t="shared" ref="Q89:Q94" si="53">P89+N89</f>
        <v>112107.72222222296</v>
      </c>
      <c r="R89" s="47">
        <f t="shared" ref="R89:R94" si="54">+L89-Q89</f>
        <v>176169.27777777705</v>
      </c>
      <c r="S89" s="49">
        <f t="shared" ref="S89:S94" si="55">$E89+(($F89-1)/12)</f>
        <v>2012.3333333333333</v>
      </c>
      <c r="T89" s="49">
        <f t="shared" ref="T89:T94" si="56">($M$7+1)-($M$4/12)</f>
        <v>2024</v>
      </c>
      <c r="U89" s="49">
        <f t="shared" ref="U89:U94" si="57">$K89+(($F89-1)/12)</f>
        <v>2042.3333333333333</v>
      </c>
      <c r="V89" s="49">
        <f t="shared" ref="V89:V94" si="58">$M$6+($M$5/12)</f>
        <v>2023</v>
      </c>
      <c r="W89" s="50"/>
    </row>
    <row r="90" spans="2:23" s="2" customFormat="1" ht="15" x14ac:dyDescent="0.25">
      <c r="B90" s="31" t="s">
        <v>78</v>
      </c>
      <c r="D90" s="2" t="s">
        <v>53</v>
      </c>
      <c r="E90" s="31">
        <v>2014</v>
      </c>
      <c r="F90" s="31">
        <v>8</v>
      </c>
      <c r="G90" s="31">
        <v>31</v>
      </c>
      <c r="H90" s="20">
        <v>0</v>
      </c>
      <c r="I90" s="31" t="s">
        <v>46</v>
      </c>
      <c r="J90" s="31">
        <v>30</v>
      </c>
      <c r="K90" s="2">
        <f>+E90+J90</f>
        <v>2044</v>
      </c>
      <c r="L90" s="47">
        <f>78633+39316</f>
        <v>117949</v>
      </c>
      <c r="M90" s="47">
        <f>L90/J90/12</f>
        <v>327.63611111111112</v>
      </c>
      <c r="N90" s="47">
        <f>IF(U90&lt;=T90,0,L90/J90)</f>
        <v>3931.6333333333332</v>
      </c>
      <c r="O90" s="48">
        <v>1</v>
      </c>
      <c r="P90" s="47">
        <f>IF(S90&gt;T90,0,IF(U90&lt;V90,L90,IF((AND((U90&gt;=V90),(U90&lt;=T90))),(L90-N90),IF((AND((V90&lt;=S90),(T90&gt;=S90))),0,IF(U90&gt;T90,((V90-S90)*12)*M90,0)))))</f>
        <v>33091.247222222519</v>
      </c>
      <c r="Q90" s="47">
        <f>P90+N90</f>
        <v>37022.88055555585</v>
      </c>
      <c r="R90" s="47">
        <f>+L90-Q90</f>
        <v>80926.11944444415</v>
      </c>
      <c r="S90" s="49">
        <f>$E90+(($F90-1)/12)</f>
        <v>2014.5833333333333</v>
      </c>
      <c r="T90" s="49">
        <f t="shared" si="56"/>
        <v>2024</v>
      </c>
      <c r="U90" s="49">
        <f>$K90+(($F90-1)/12)</f>
        <v>2044.5833333333333</v>
      </c>
      <c r="V90" s="49">
        <f t="shared" si="58"/>
        <v>2023</v>
      </c>
      <c r="W90" s="50"/>
    </row>
    <row r="91" spans="2:23" s="2" customFormat="1" ht="15" x14ac:dyDescent="0.25">
      <c r="B91" s="31" t="s">
        <v>78</v>
      </c>
      <c r="D91" s="2" t="s">
        <v>52</v>
      </c>
      <c r="E91" s="31">
        <v>2014</v>
      </c>
      <c r="F91" s="31">
        <v>6</v>
      </c>
      <c r="G91" s="31">
        <v>11</v>
      </c>
      <c r="H91" s="20">
        <v>0</v>
      </c>
      <c r="I91" s="31" t="s">
        <v>46</v>
      </c>
      <c r="J91" s="31">
        <v>30</v>
      </c>
      <c r="K91" s="2">
        <f t="shared" si="49"/>
        <v>2044</v>
      </c>
      <c r="L91" s="47">
        <f>58386+29193</f>
        <v>87579</v>
      </c>
      <c r="M91" s="47">
        <f t="shared" si="50"/>
        <v>243.27500000000001</v>
      </c>
      <c r="N91" s="47">
        <f t="shared" si="51"/>
        <v>2919.3</v>
      </c>
      <c r="O91" s="48">
        <v>1</v>
      </c>
      <c r="P91" s="47">
        <f t="shared" si="52"/>
        <v>25057.324999999779</v>
      </c>
      <c r="Q91" s="47">
        <f t="shared" si="53"/>
        <v>27976.624999999778</v>
      </c>
      <c r="R91" s="47">
        <f t="shared" si="54"/>
        <v>59602.375000000218</v>
      </c>
      <c r="S91" s="49">
        <f t="shared" si="55"/>
        <v>2014.4166666666667</v>
      </c>
      <c r="T91" s="49">
        <f t="shared" si="56"/>
        <v>2024</v>
      </c>
      <c r="U91" s="49">
        <f t="shared" si="57"/>
        <v>2044.4166666666667</v>
      </c>
      <c r="V91" s="49">
        <f t="shared" si="58"/>
        <v>2023</v>
      </c>
      <c r="W91" s="50"/>
    </row>
    <row r="92" spans="2:23" s="2" customFormat="1" ht="15" x14ac:dyDescent="0.25">
      <c r="B92" s="31" t="s">
        <v>78</v>
      </c>
      <c r="D92" s="2" t="s">
        <v>54</v>
      </c>
      <c r="E92" s="31">
        <v>2016</v>
      </c>
      <c r="F92" s="31">
        <v>5</v>
      </c>
      <c r="G92" s="31">
        <v>29</v>
      </c>
      <c r="H92" s="20">
        <v>0</v>
      </c>
      <c r="I92" s="31" t="s">
        <v>46</v>
      </c>
      <c r="J92" s="31">
        <v>30</v>
      </c>
      <c r="K92" s="2">
        <f>+E92+J92</f>
        <v>2046</v>
      </c>
      <c r="L92" s="47">
        <f>68783+34392</f>
        <v>103175</v>
      </c>
      <c r="M92" s="47">
        <f>L92/J92/12</f>
        <v>286.59722222222223</v>
      </c>
      <c r="N92" s="47">
        <f>IF(U92&lt;=T92,0,L92/J92)</f>
        <v>3439.1666666666665</v>
      </c>
      <c r="O92" s="48">
        <v>1</v>
      </c>
      <c r="P92" s="47">
        <f>IF(S92&gt;T92,0,IF(U92&lt;V92,L92,IF((AND((U92&gt;=V92),(U92&lt;=T92))),(L92-N92),IF((AND((V92&lt;=S92),(T92&gt;=S92))),0,IF(U92&gt;T92,((V92-S92)*12)*M92,0)))))</f>
        <v>22927.777777778039</v>
      </c>
      <c r="Q92" s="47">
        <f>P92+N92</f>
        <v>26366.944444444707</v>
      </c>
      <c r="R92" s="47">
        <f>+L92-Q92</f>
        <v>76808.0555555553</v>
      </c>
      <c r="S92" s="49">
        <f>$E92+(($F92-1)/12)</f>
        <v>2016.3333333333333</v>
      </c>
      <c r="T92" s="49">
        <f t="shared" si="56"/>
        <v>2024</v>
      </c>
      <c r="U92" s="49">
        <f>$K92+(($F92-1)/12)</f>
        <v>2046.3333333333333</v>
      </c>
      <c r="V92" s="49">
        <f t="shared" si="58"/>
        <v>2023</v>
      </c>
      <c r="W92" s="50"/>
    </row>
    <row r="93" spans="2:23" s="2" customFormat="1" ht="15" x14ac:dyDescent="0.25">
      <c r="B93" s="31" t="s">
        <v>78</v>
      </c>
      <c r="D93" s="2" t="s">
        <v>55</v>
      </c>
      <c r="E93" s="31">
        <v>2019</v>
      </c>
      <c r="F93" s="31">
        <v>1</v>
      </c>
      <c r="G93" s="31">
        <v>1</v>
      </c>
      <c r="H93" s="20">
        <v>0</v>
      </c>
      <c r="I93" s="31" t="s">
        <v>46</v>
      </c>
      <c r="J93" s="31">
        <v>30</v>
      </c>
      <c r="K93" s="2">
        <f>+E93+J93</f>
        <v>2049</v>
      </c>
      <c r="L93" s="47">
        <v>543871</v>
      </c>
      <c r="M93" s="47">
        <f>L93/J93/12</f>
        <v>1510.7527777777777</v>
      </c>
      <c r="N93" s="47">
        <f>IF(U93&lt;=T93,0,L93/J93)</f>
        <v>18129.033333333333</v>
      </c>
      <c r="O93" s="48">
        <v>1</v>
      </c>
      <c r="P93" s="47">
        <f>IF(S93&gt;T93,0,IF(U93&lt;V93,L93,IF((AND((U93&gt;=V93),(U93&lt;=T93))),(L93-N93),IF((AND((V93&lt;=S93),(T93&gt;=S93))),0,IF(U93&gt;T93,((V93-S93)*12)*M93,0)))))</f>
        <v>72516.133333333331</v>
      </c>
      <c r="Q93" s="47">
        <f>P93+N93</f>
        <v>90645.166666666657</v>
      </c>
      <c r="R93" s="47">
        <f>+L93-Q93</f>
        <v>453225.83333333337</v>
      </c>
      <c r="S93" s="49">
        <f>$E93+(($F93-1)/12)</f>
        <v>2019</v>
      </c>
      <c r="T93" s="49">
        <f t="shared" si="56"/>
        <v>2024</v>
      </c>
      <c r="U93" s="49">
        <f>$K93+(($F93-1)/12)</f>
        <v>2049</v>
      </c>
      <c r="V93" s="49">
        <f t="shared" si="58"/>
        <v>2023</v>
      </c>
      <c r="W93" s="50"/>
    </row>
    <row r="94" spans="2:23" s="2" customFormat="1" ht="15" x14ac:dyDescent="0.25">
      <c r="B94" s="31" t="s">
        <v>78</v>
      </c>
      <c r="D94" s="2" t="s">
        <v>56</v>
      </c>
      <c r="E94" s="31">
        <v>2023</v>
      </c>
      <c r="F94" s="31">
        <v>3</v>
      </c>
      <c r="G94" s="31">
        <v>20</v>
      </c>
      <c r="H94" s="94">
        <v>0</v>
      </c>
      <c r="I94" s="31" t="s">
        <v>46</v>
      </c>
      <c r="J94" s="31">
        <v>30</v>
      </c>
      <c r="K94" s="2">
        <f t="shared" si="49"/>
        <v>2053</v>
      </c>
      <c r="L94" s="91">
        <v>317108</v>
      </c>
      <c r="M94" s="91">
        <f t="shared" si="50"/>
        <v>880.8555555555555</v>
      </c>
      <c r="N94" s="91">
        <f t="shared" si="51"/>
        <v>10570.266666666666</v>
      </c>
      <c r="O94" s="48">
        <v>1</v>
      </c>
      <c r="P94" s="91">
        <f t="shared" si="52"/>
        <v>0</v>
      </c>
      <c r="Q94" s="91">
        <f t="shared" si="53"/>
        <v>10570.266666666666</v>
      </c>
      <c r="R94" s="91">
        <f t="shared" si="54"/>
        <v>306537.73333333334</v>
      </c>
      <c r="S94" s="49">
        <f t="shared" si="55"/>
        <v>2023.1666666666667</v>
      </c>
      <c r="T94" s="49">
        <f t="shared" si="56"/>
        <v>2024</v>
      </c>
      <c r="U94" s="49">
        <f t="shared" si="57"/>
        <v>2053.1666666666665</v>
      </c>
      <c r="V94" s="49">
        <f t="shared" si="58"/>
        <v>2023</v>
      </c>
      <c r="W94" s="50"/>
    </row>
    <row r="95" spans="2:23" s="2" customFormat="1" ht="15" x14ac:dyDescent="0.25">
      <c r="B95" s="31"/>
      <c r="E95" s="31"/>
      <c r="F95" s="31"/>
      <c r="G95" s="31"/>
      <c r="H95" s="20"/>
      <c r="I95" s="31"/>
      <c r="J95" s="31"/>
      <c r="L95" s="47"/>
      <c r="M95" s="47"/>
      <c r="N95" s="47"/>
      <c r="O95" s="48"/>
      <c r="P95" s="47"/>
      <c r="Q95" s="47"/>
      <c r="R95" s="47"/>
      <c r="S95" s="49"/>
      <c r="T95" s="49"/>
      <c r="U95" s="49"/>
      <c r="V95" s="49"/>
      <c r="W95" s="50"/>
    </row>
    <row r="96" spans="2:23" s="53" customFormat="1" ht="15" x14ac:dyDescent="0.25">
      <c r="B96" s="27"/>
      <c r="C96" s="114" t="s">
        <v>57</v>
      </c>
      <c r="D96" s="114"/>
      <c r="E96" s="27"/>
      <c r="F96" s="27"/>
      <c r="G96" s="27"/>
      <c r="H96" s="52"/>
      <c r="I96" s="27"/>
      <c r="J96" s="27"/>
      <c r="L96" s="55">
        <f>SUM(L89:L95)</f>
        <v>1457959</v>
      </c>
      <c r="M96" s="54"/>
      <c r="N96" s="55">
        <f>SUM(N89:N95)</f>
        <v>48598.633333333331</v>
      </c>
      <c r="O96" s="56"/>
      <c r="P96" s="55">
        <f>SUM(P89:P95)</f>
        <v>256090.9722222233</v>
      </c>
      <c r="Q96" s="55">
        <f>SUM(Q89:Q95)</f>
        <v>304689.6055555566</v>
      </c>
      <c r="R96" s="55">
        <f>SUM(R89:R95)</f>
        <v>1153269.3944444435</v>
      </c>
      <c r="S96" s="57"/>
      <c r="T96" s="57"/>
      <c r="U96" s="57"/>
      <c r="V96" s="57"/>
      <c r="W96" s="58"/>
    </row>
    <row r="97" spans="2:23" s="2" customFormat="1" ht="15" x14ac:dyDescent="0.25">
      <c r="B97" s="31"/>
      <c r="E97" s="31"/>
      <c r="F97" s="31"/>
      <c r="G97" s="31"/>
      <c r="H97" s="20"/>
      <c r="I97" s="31"/>
      <c r="J97" s="31"/>
      <c r="K97" s="87"/>
      <c r="L97" s="97"/>
      <c r="M97" s="47"/>
      <c r="N97" s="47"/>
      <c r="O97" s="48"/>
      <c r="P97" s="47"/>
      <c r="Q97" s="47"/>
      <c r="R97" s="47"/>
      <c r="S97" s="49"/>
      <c r="T97" s="49"/>
      <c r="U97" s="49"/>
      <c r="V97" s="49"/>
      <c r="W97" s="50"/>
    </row>
    <row r="98" spans="2:23" s="2" customFormat="1" ht="15" x14ac:dyDescent="0.25">
      <c r="B98" s="31"/>
      <c r="E98" s="31"/>
      <c r="F98" s="31"/>
      <c r="G98" s="31"/>
      <c r="H98" s="20"/>
      <c r="I98" s="31"/>
      <c r="J98" s="31"/>
      <c r="K98" s="87"/>
      <c r="L98" s="97"/>
      <c r="M98" s="47"/>
      <c r="N98" s="47"/>
      <c r="O98" s="48"/>
      <c r="P98" s="47"/>
      <c r="Q98" s="47"/>
      <c r="R98" s="47"/>
      <c r="S98" s="49"/>
      <c r="T98" s="49"/>
      <c r="U98" s="49"/>
      <c r="V98" s="49"/>
      <c r="W98" s="50"/>
    </row>
    <row r="99" spans="2:23" s="2" customFormat="1" ht="15" x14ac:dyDescent="0.25">
      <c r="B99" s="31"/>
      <c r="C99" s="113" t="s">
        <v>58</v>
      </c>
      <c r="D99" s="113"/>
      <c r="E99" s="31"/>
      <c r="F99" s="31"/>
      <c r="G99" s="31"/>
      <c r="H99" s="20"/>
      <c r="I99" s="31"/>
      <c r="J99" s="31"/>
      <c r="L99" s="47"/>
      <c r="M99" s="47"/>
      <c r="N99" s="47"/>
      <c r="O99" s="48"/>
      <c r="P99" s="47"/>
      <c r="Q99" s="47"/>
      <c r="R99" s="47"/>
      <c r="S99" s="49"/>
      <c r="T99" s="49"/>
      <c r="U99" s="49"/>
      <c r="V99" s="49"/>
      <c r="W99" s="50"/>
    </row>
    <row r="100" spans="2:23" s="2" customFormat="1" ht="15" x14ac:dyDescent="0.25">
      <c r="B100" s="31" t="s">
        <v>78</v>
      </c>
      <c r="D100" s="2" t="s">
        <v>79</v>
      </c>
      <c r="E100" s="31">
        <v>2015</v>
      </c>
      <c r="F100" s="31">
        <v>11</v>
      </c>
      <c r="G100" s="31">
        <v>13</v>
      </c>
      <c r="H100" s="20">
        <v>0</v>
      </c>
      <c r="I100" s="31" t="s">
        <v>46</v>
      </c>
      <c r="J100" s="31">
        <v>20</v>
      </c>
      <c r="K100" s="2">
        <f t="shared" ref="K100" si="59">+E100+J100</f>
        <v>2035</v>
      </c>
      <c r="L100" s="47">
        <f>33377+19752</f>
        <v>53129</v>
      </c>
      <c r="M100" s="47">
        <f t="shared" ref="M100" si="60">L100/J100/12</f>
        <v>221.37083333333331</v>
      </c>
      <c r="N100" s="47">
        <f t="shared" ref="N100" si="61">IF(U100&lt;=T100,0,L100/J100)</f>
        <v>2656.45</v>
      </c>
      <c r="O100" s="48">
        <v>1</v>
      </c>
      <c r="P100" s="47">
        <f t="shared" ref="P100" si="62">IF(S100&gt;T100,0,IF(U100&lt;V100,L100,IF((AND((U100&gt;=V100),(U100&lt;=T100))),(L100-N100),IF((AND((V100&lt;=S100),(T100&gt;=S100))),0,IF(U100&gt;T100,((V100-S100)*12)*M100,0)))))</f>
        <v>19037.891666666867</v>
      </c>
      <c r="Q100" s="47">
        <f t="shared" ref="Q100" si="63">P100+N100</f>
        <v>21694.341666666867</v>
      </c>
      <c r="R100" s="47">
        <f t="shared" ref="R100" si="64">+L100-Q100</f>
        <v>31434.658333333133</v>
      </c>
      <c r="S100" s="49">
        <f>$E100+(($F100-1)/12)</f>
        <v>2015.8333333333333</v>
      </c>
      <c r="T100" s="49">
        <f>($M$7+1)-($M$4/12)</f>
        <v>2024</v>
      </c>
      <c r="U100" s="49">
        <f>$K100+(($F100-1)/12)</f>
        <v>2035.8333333333333</v>
      </c>
      <c r="V100" s="49">
        <f>$M$6+($M$5/12)</f>
        <v>2023</v>
      </c>
      <c r="W100" s="50"/>
    </row>
    <row r="101" spans="2:23" s="2" customFormat="1" ht="15" x14ac:dyDescent="0.25">
      <c r="B101" s="31" t="s">
        <v>78</v>
      </c>
      <c r="D101" s="2" t="s">
        <v>80</v>
      </c>
      <c r="E101" s="31">
        <v>2021</v>
      </c>
      <c r="F101" s="31">
        <v>1</v>
      </c>
      <c r="G101" s="31">
        <v>18</v>
      </c>
      <c r="H101" s="20">
        <v>0</v>
      </c>
      <c r="I101" s="31" t="s">
        <v>46</v>
      </c>
      <c r="J101" s="31">
        <v>20</v>
      </c>
      <c r="K101" s="2">
        <f t="shared" ref="K101" si="65">+E101+J101</f>
        <v>2041</v>
      </c>
      <c r="L101" s="91">
        <v>30063</v>
      </c>
      <c r="M101" s="47">
        <f t="shared" ref="M101" si="66">L101/J101/12</f>
        <v>125.2625</v>
      </c>
      <c r="N101" s="47">
        <f t="shared" ref="N101" si="67">IF(U101&lt;=T101,0,L101/J101)</f>
        <v>1503.15</v>
      </c>
      <c r="O101" s="48">
        <v>1</v>
      </c>
      <c r="P101" s="47">
        <f t="shared" ref="P101" si="68">IF(S101&gt;T101,0,IF(U101&lt;V101,L101,IF((AND((U101&gt;=V101),(U101&lt;=T101))),(L101-N101),IF((AND((V101&lt;=S101),(T101&gt;=S101))),0,IF(U101&gt;T101,((V101-S101)*12)*M101,0)))))</f>
        <v>3006.3</v>
      </c>
      <c r="Q101" s="47">
        <f t="shared" ref="Q101" si="69">P101+N101</f>
        <v>4509.4500000000007</v>
      </c>
      <c r="R101" s="47">
        <f t="shared" ref="R101" si="70">+L101-Q101</f>
        <v>25553.55</v>
      </c>
      <c r="S101" s="49">
        <f>$E101+(($F101-1)/12)</f>
        <v>2021</v>
      </c>
      <c r="T101" s="49">
        <f>($M$7+1)-($M$4/12)</f>
        <v>2024</v>
      </c>
      <c r="U101" s="49">
        <f>$K101+(($F101-1)/12)</f>
        <v>2041</v>
      </c>
      <c r="V101" s="49">
        <f>$M$6+($M$5/12)</f>
        <v>2023</v>
      </c>
      <c r="W101" s="50"/>
    </row>
    <row r="102" spans="2:23" s="2" customFormat="1" ht="15" x14ac:dyDescent="0.25">
      <c r="B102" s="31"/>
      <c r="E102" s="31"/>
      <c r="F102" s="31"/>
      <c r="G102" s="31"/>
      <c r="H102" s="20"/>
      <c r="I102" s="31"/>
      <c r="J102" s="31"/>
      <c r="L102" s="47"/>
      <c r="M102" s="47"/>
      <c r="N102" s="47"/>
      <c r="O102" s="48"/>
      <c r="P102" s="47"/>
      <c r="Q102" s="47"/>
      <c r="R102" s="47"/>
      <c r="S102" s="49"/>
      <c r="T102" s="49"/>
      <c r="U102" s="49"/>
      <c r="V102" s="49"/>
      <c r="W102" s="50"/>
    </row>
    <row r="103" spans="2:23" s="53" customFormat="1" ht="15" x14ac:dyDescent="0.25">
      <c r="B103" s="27"/>
      <c r="C103" s="114" t="s">
        <v>61</v>
      </c>
      <c r="D103" s="114"/>
      <c r="E103" s="27"/>
      <c r="F103" s="27"/>
      <c r="G103" s="27"/>
      <c r="H103" s="52"/>
      <c r="I103" s="27"/>
      <c r="J103" s="27"/>
      <c r="L103" s="55">
        <f>SUM(L100:L102)</f>
        <v>83192</v>
      </c>
      <c r="M103" s="54"/>
      <c r="N103" s="55">
        <f>SUM(N100:N102)</f>
        <v>4159.6000000000004</v>
      </c>
      <c r="O103" s="56"/>
      <c r="P103" s="55">
        <f>SUM(P100:P102)</f>
        <v>22044.191666666866</v>
      </c>
      <c r="Q103" s="55">
        <f>SUM(Q100:Q102)</f>
        <v>26203.791666666868</v>
      </c>
      <c r="R103" s="55">
        <f>SUM(R100:R102)</f>
        <v>56988.208333333132</v>
      </c>
      <c r="S103" s="57"/>
      <c r="T103" s="57"/>
      <c r="U103" s="57"/>
      <c r="V103" s="57"/>
      <c r="W103" s="58"/>
    </row>
    <row r="104" spans="2:23" s="2" customFormat="1" ht="15" x14ac:dyDescent="0.25">
      <c r="B104" s="31"/>
      <c r="E104" s="31"/>
      <c r="F104" s="31"/>
      <c r="G104" s="31"/>
      <c r="H104" s="20"/>
      <c r="I104" s="31"/>
      <c r="J104" s="31"/>
      <c r="K104" s="87"/>
      <c r="L104" s="97"/>
      <c r="M104" s="47"/>
      <c r="N104" s="47"/>
      <c r="O104" s="48"/>
      <c r="P104" s="47"/>
      <c r="Q104" s="47"/>
      <c r="R104" s="47"/>
      <c r="S104" s="49"/>
      <c r="T104" s="49"/>
      <c r="U104" s="49"/>
      <c r="V104" s="49"/>
      <c r="W104" s="50"/>
    </row>
    <row r="105" spans="2:23" s="2" customFormat="1" ht="15" x14ac:dyDescent="0.25">
      <c r="B105" s="31"/>
      <c r="E105" s="31"/>
      <c r="F105" s="31"/>
      <c r="G105" s="31"/>
      <c r="H105" s="20"/>
      <c r="I105" s="31"/>
      <c r="J105" s="31"/>
      <c r="K105" s="87"/>
      <c r="L105" s="97"/>
      <c r="M105" s="47"/>
      <c r="N105" s="47"/>
      <c r="O105" s="48"/>
      <c r="P105" s="47"/>
      <c r="Q105" s="47"/>
      <c r="R105" s="47"/>
      <c r="S105" s="49"/>
      <c r="T105" s="49"/>
      <c r="U105" s="49"/>
      <c r="V105" s="49"/>
      <c r="W105" s="50"/>
    </row>
    <row r="106" spans="2:23" s="2" customFormat="1" ht="15" x14ac:dyDescent="0.25">
      <c r="B106" s="31"/>
      <c r="C106" s="113" t="s">
        <v>62</v>
      </c>
      <c r="D106" s="113"/>
      <c r="E106" s="31"/>
      <c r="F106" s="31"/>
      <c r="G106" s="31"/>
      <c r="H106" s="20"/>
      <c r="I106" s="31"/>
      <c r="J106" s="31"/>
      <c r="L106" s="47"/>
      <c r="M106" s="47"/>
      <c r="N106" s="47"/>
      <c r="O106" s="48"/>
      <c r="P106" s="47"/>
      <c r="Q106" s="47"/>
      <c r="R106" s="47"/>
      <c r="S106" s="49"/>
      <c r="T106" s="49"/>
      <c r="U106" s="49"/>
      <c r="V106" s="49"/>
      <c r="W106" s="50"/>
    </row>
    <row r="107" spans="2:23" s="2" customFormat="1" ht="15" x14ac:dyDescent="0.25">
      <c r="B107" s="31" t="s">
        <v>78</v>
      </c>
      <c r="D107" s="2" t="s">
        <v>81</v>
      </c>
      <c r="E107" s="31">
        <v>2015</v>
      </c>
      <c r="F107" s="31">
        <v>12</v>
      </c>
      <c r="G107" s="31">
        <v>31</v>
      </c>
      <c r="H107" s="94">
        <v>0</v>
      </c>
      <c r="I107" s="31" t="s">
        <v>46</v>
      </c>
      <c r="J107" s="31">
        <v>20</v>
      </c>
      <c r="K107" s="2">
        <f t="shared" ref="K107:K109" si="71">+E107+J107</f>
        <v>2035</v>
      </c>
      <c r="L107" s="91">
        <v>16600</v>
      </c>
      <c r="M107" s="91">
        <f t="shared" ref="M107:M109" si="72">L107/J107/12</f>
        <v>69.166666666666671</v>
      </c>
      <c r="N107" s="91">
        <f t="shared" ref="N107:N109" si="73">IF(U107&lt;=T107,0,L107/J107)</f>
        <v>830</v>
      </c>
      <c r="O107" s="48">
        <v>1</v>
      </c>
      <c r="P107" s="91">
        <f t="shared" ref="P107:P109" si="74">IF(S107&gt;T107,0,IF(U107&lt;V107,L107,IF((AND((U107&gt;=V107),(U107&lt;=T107))),(L107-N107),IF((AND((V107&lt;=S107),(T107&gt;=S107))),0,IF(U107&gt;T107,((V107-S107)*12)*M107,0)))))</f>
        <v>5879.1666666666042</v>
      </c>
      <c r="Q107" s="91">
        <f t="shared" ref="Q107:Q109" si="75">P107+N107</f>
        <v>6709.1666666666042</v>
      </c>
      <c r="R107" s="91">
        <f t="shared" ref="R107:R109" si="76">+L107-Q107</f>
        <v>9890.8333333333958</v>
      </c>
      <c r="S107" s="49">
        <f t="shared" ref="S107:S109" si="77">$E107+(($F107-1)/12)</f>
        <v>2015.9166666666667</v>
      </c>
      <c r="T107" s="49">
        <f>($M$7+1)-($M$4/12)</f>
        <v>2024</v>
      </c>
      <c r="U107" s="49">
        <f t="shared" ref="U107:U109" si="78">$K107+(($F107-1)/12)</f>
        <v>2035.9166666666667</v>
      </c>
      <c r="V107" s="49">
        <f>$M$6+($M$5/12)</f>
        <v>2023</v>
      </c>
      <c r="W107" s="50"/>
    </row>
    <row r="108" spans="2:23" s="2" customFormat="1" ht="15" x14ac:dyDescent="0.25">
      <c r="B108" s="31" t="s">
        <v>78</v>
      </c>
      <c r="D108" s="2" t="s">
        <v>82</v>
      </c>
      <c r="E108" s="31">
        <v>2016</v>
      </c>
      <c r="F108" s="31">
        <v>8</v>
      </c>
      <c r="G108" s="31">
        <v>23</v>
      </c>
      <c r="H108" s="20">
        <v>0</v>
      </c>
      <c r="I108" s="31" t="s">
        <v>46</v>
      </c>
      <c r="J108" s="31">
        <v>20</v>
      </c>
      <c r="K108" s="2">
        <f t="shared" si="71"/>
        <v>2036</v>
      </c>
      <c r="L108" s="47">
        <v>20770</v>
      </c>
      <c r="M108" s="47">
        <f t="shared" si="72"/>
        <v>86.541666666666671</v>
      </c>
      <c r="N108" s="47">
        <f t="shared" si="73"/>
        <v>1038.5</v>
      </c>
      <c r="O108" s="48">
        <v>1</v>
      </c>
      <c r="P108" s="47">
        <f t="shared" si="74"/>
        <v>6663.7083333334122</v>
      </c>
      <c r="Q108" s="47">
        <f t="shared" si="75"/>
        <v>7702.2083333334122</v>
      </c>
      <c r="R108" s="47">
        <f t="shared" si="76"/>
        <v>13067.791666666588</v>
      </c>
      <c r="S108" s="49">
        <f t="shared" si="77"/>
        <v>2016.5833333333333</v>
      </c>
      <c r="T108" s="49">
        <f>($M$7+1)-($M$4/12)</f>
        <v>2024</v>
      </c>
      <c r="U108" s="49">
        <f t="shared" si="78"/>
        <v>2036.5833333333333</v>
      </c>
      <c r="V108" s="49">
        <f>$M$6+($M$5/12)</f>
        <v>2023</v>
      </c>
      <c r="W108" s="50"/>
    </row>
    <row r="109" spans="2:23" s="2" customFormat="1" ht="15" x14ac:dyDescent="0.25">
      <c r="B109" s="31" t="s">
        <v>78</v>
      </c>
      <c r="D109" s="2" t="s">
        <v>83</v>
      </c>
      <c r="E109" s="31">
        <v>2021</v>
      </c>
      <c r="F109" s="31">
        <v>6</v>
      </c>
      <c r="G109" s="31">
        <v>7</v>
      </c>
      <c r="H109" s="94">
        <v>0</v>
      </c>
      <c r="I109" s="31" t="s">
        <v>46</v>
      </c>
      <c r="J109" s="31">
        <v>20</v>
      </c>
      <c r="K109" s="2">
        <f t="shared" si="71"/>
        <v>2041</v>
      </c>
      <c r="L109" s="91">
        <v>60000</v>
      </c>
      <c r="M109" s="91">
        <f t="shared" si="72"/>
        <v>250</v>
      </c>
      <c r="N109" s="91">
        <f t="shared" si="73"/>
        <v>3000</v>
      </c>
      <c r="O109" s="48">
        <v>1</v>
      </c>
      <c r="P109" s="91">
        <f t="shared" si="74"/>
        <v>4749.9999999997726</v>
      </c>
      <c r="Q109" s="91">
        <f t="shared" si="75"/>
        <v>7749.9999999997726</v>
      </c>
      <c r="R109" s="91">
        <f t="shared" si="76"/>
        <v>52250.000000000226</v>
      </c>
      <c r="S109" s="49">
        <f t="shared" si="77"/>
        <v>2021.4166666666667</v>
      </c>
      <c r="T109" s="49">
        <f>($M$7+1)-($M$4/12)</f>
        <v>2024</v>
      </c>
      <c r="U109" s="49">
        <f t="shared" si="78"/>
        <v>2041.4166666666667</v>
      </c>
      <c r="V109" s="49">
        <f>$M$6+($M$5/12)</f>
        <v>2023</v>
      </c>
      <c r="W109" s="50"/>
    </row>
    <row r="110" spans="2:23" s="2" customFormat="1" ht="15" x14ac:dyDescent="0.25">
      <c r="B110" s="31"/>
      <c r="E110" s="31"/>
      <c r="F110" s="31"/>
      <c r="G110" s="31"/>
      <c r="H110" s="20"/>
      <c r="I110" s="31"/>
      <c r="J110" s="31"/>
      <c r="L110" s="47"/>
      <c r="M110" s="47"/>
      <c r="N110" s="47"/>
      <c r="O110" s="48"/>
      <c r="P110" s="47"/>
      <c r="Q110" s="47"/>
      <c r="R110" s="47"/>
      <c r="S110" s="49"/>
      <c r="T110" s="49"/>
      <c r="U110" s="49"/>
      <c r="V110" s="49"/>
      <c r="W110" s="50"/>
    </row>
    <row r="111" spans="2:23" s="53" customFormat="1" ht="15" x14ac:dyDescent="0.25">
      <c r="B111" s="27"/>
      <c r="C111" s="114" t="s">
        <v>66</v>
      </c>
      <c r="D111" s="114"/>
      <c r="E111" s="27"/>
      <c r="F111" s="27"/>
      <c r="G111" s="27"/>
      <c r="H111" s="52"/>
      <c r="I111" s="27"/>
      <c r="J111" s="27"/>
      <c r="K111" s="90"/>
      <c r="L111" s="55">
        <f>SUM(L107:L110)</f>
        <v>97370</v>
      </c>
      <c r="M111" s="54"/>
      <c r="N111" s="55">
        <f>SUM(N107:N110)</f>
        <v>4868.5</v>
      </c>
      <c r="O111" s="56"/>
      <c r="P111" s="55">
        <f>SUM(P107:P110)</f>
        <v>17292.874999999789</v>
      </c>
      <c r="Q111" s="55">
        <f>SUM(Q107:Q110)</f>
        <v>22161.374999999789</v>
      </c>
      <c r="R111" s="55">
        <f>SUM(R107:R110)</f>
        <v>75208.625000000204</v>
      </c>
      <c r="S111" s="57"/>
      <c r="T111" s="57"/>
      <c r="U111" s="57"/>
      <c r="V111" s="57"/>
      <c r="W111" s="58"/>
    </row>
    <row r="112" spans="2:23" s="2" customFormat="1" ht="15" x14ac:dyDescent="0.25">
      <c r="B112" s="31"/>
      <c r="E112" s="31"/>
      <c r="F112" s="31"/>
      <c r="G112" s="31"/>
      <c r="H112" s="20"/>
      <c r="I112" s="31"/>
      <c r="J112" s="31"/>
      <c r="K112" s="87"/>
      <c r="L112" s="97"/>
      <c r="M112" s="47"/>
      <c r="N112" s="47"/>
      <c r="O112" s="48"/>
      <c r="P112" s="47"/>
      <c r="Q112" s="47"/>
      <c r="R112" s="47"/>
      <c r="S112" s="49"/>
      <c r="T112" s="49"/>
      <c r="U112" s="49"/>
      <c r="V112" s="49"/>
      <c r="W112" s="50"/>
    </row>
    <row r="113" spans="2:23" s="2" customFormat="1" ht="15" x14ac:dyDescent="0.25">
      <c r="B113" s="31"/>
      <c r="E113" s="31"/>
      <c r="F113" s="31"/>
      <c r="G113" s="31"/>
      <c r="H113" s="20"/>
      <c r="I113" s="31"/>
      <c r="J113" s="31"/>
      <c r="K113" s="87"/>
      <c r="L113" s="97"/>
      <c r="M113" s="47"/>
      <c r="N113" s="47"/>
      <c r="O113" s="48"/>
      <c r="P113" s="47"/>
      <c r="Q113" s="47"/>
      <c r="R113" s="47"/>
      <c r="S113" s="49"/>
      <c r="T113" s="49"/>
      <c r="U113" s="49"/>
      <c r="V113" s="49"/>
      <c r="W113" s="50"/>
    </row>
    <row r="114" spans="2:23" s="2" customFormat="1" ht="15" x14ac:dyDescent="0.25">
      <c r="B114" s="31"/>
      <c r="C114" s="113" t="s">
        <v>67</v>
      </c>
      <c r="D114" s="113"/>
      <c r="E114" s="31"/>
      <c r="F114" s="31"/>
      <c r="G114" s="31"/>
      <c r="H114" s="20"/>
      <c r="I114" s="31"/>
      <c r="J114" s="31"/>
      <c r="L114" s="47"/>
      <c r="M114" s="47"/>
      <c r="N114" s="47"/>
      <c r="O114" s="48"/>
      <c r="P114" s="47"/>
      <c r="Q114" s="47"/>
      <c r="R114" s="47"/>
      <c r="S114" s="49"/>
      <c r="T114" s="49"/>
      <c r="U114" s="49"/>
      <c r="V114" s="49"/>
      <c r="W114" s="50"/>
    </row>
    <row r="115" spans="2:23" s="2" customFormat="1" ht="15" x14ac:dyDescent="0.25">
      <c r="B115" s="31" t="s">
        <v>78</v>
      </c>
      <c r="D115" s="2" t="s">
        <v>84</v>
      </c>
      <c r="E115" s="31">
        <v>2017</v>
      </c>
      <c r="F115" s="31">
        <v>6</v>
      </c>
      <c r="G115" s="31">
        <v>28</v>
      </c>
      <c r="H115" s="94">
        <v>0</v>
      </c>
      <c r="I115" s="31" t="s">
        <v>46</v>
      </c>
      <c r="J115" s="31">
        <v>20</v>
      </c>
      <c r="K115" s="2">
        <f t="shared" ref="K115" si="79">+E115+J115</f>
        <v>2037</v>
      </c>
      <c r="L115" s="91">
        <v>1494.77</v>
      </c>
      <c r="M115" s="91">
        <f t="shared" ref="M115" si="80">L115/J115/12</f>
        <v>6.2282083333333338</v>
      </c>
      <c r="N115" s="91">
        <f t="shared" ref="N115" si="81">IF(U115&lt;=T115,0,L115/J115)</f>
        <v>74.738500000000002</v>
      </c>
      <c r="O115" s="48">
        <v>1</v>
      </c>
      <c r="P115" s="91">
        <f t="shared" ref="P115" si="82">IF(S115&gt;T115,0,IF(U115&lt;V115,L115,IF((AND((U115&gt;=V115),(U115&lt;=T115))),(L115-N115),IF((AND((V115&lt;=S115),(T115&gt;=S115))),0,IF(U115&gt;T115,((V115-S115)*12)*M115,0)))))</f>
        <v>417.28995833332772</v>
      </c>
      <c r="Q115" s="91">
        <f t="shared" ref="Q115" si="83">P115+N115</f>
        <v>492.02845833332771</v>
      </c>
      <c r="R115" s="91">
        <f t="shared" ref="R115" si="84">+L115-Q115</f>
        <v>1002.7415416666722</v>
      </c>
      <c r="S115" s="49">
        <f t="shared" ref="S115" si="85">$E115+(($F115-1)/12)</f>
        <v>2017.4166666666667</v>
      </c>
      <c r="T115" s="49">
        <f>($M$7+1)-($M$4/12)</f>
        <v>2024</v>
      </c>
      <c r="U115" s="49">
        <f t="shared" ref="U115" si="86">$K115+(($F115-1)/12)</f>
        <v>2037.4166666666667</v>
      </c>
      <c r="V115" s="49">
        <f>$M$6+($M$5/12)</f>
        <v>2023</v>
      </c>
      <c r="W115" s="50"/>
    </row>
    <row r="116" spans="2:23" s="2" customFormat="1" ht="15" x14ac:dyDescent="0.25">
      <c r="B116" s="31"/>
      <c r="E116" s="31"/>
      <c r="F116" s="31"/>
      <c r="G116" s="31"/>
      <c r="H116" s="20"/>
      <c r="I116" s="31"/>
      <c r="J116" s="31"/>
      <c r="L116" s="47"/>
      <c r="M116" s="47"/>
      <c r="N116" s="47"/>
      <c r="O116" s="48"/>
      <c r="P116" s="47"/>
      <c r="Q116" s="47"/>
      <c r="R116" s="47"/>
      <c r="S116" s="49"/>
      <c r="T116" s="49"/>
      <c r="U116" s="49"/>
      <c r="V116" s="49"/>
      <c r="W116" s="50"/>
    </row>
    <row r="117" spans="2:23" s="53" customFormat="1" ht="15" x14ac:dyDescent="0.25">
      <c r="B117" s="27"/>
      <c r="C117" s="114" t="s">
        <v>69</v>
      </c>
      <c r="D117" s="114"/>
      <c r="E117" s="27"/>
      <c r="F117" s="27"/>
      <c r="G117" s="27"/>
      <c r="H117" s="52"/>
      <c r="I117" s="27"/>
      <c r="J117" s="27"/>
      <c r="L117" s="55">
        <f>SUM(L115:L116)</f>
        <v>1494.77</v>
      </c>
      <c r="M117" s="54"/>
      <c r="N117" s="55">
        <f>SUM(N115:N116)</f>
        <v>74.738500000000002</v>
      </c>
      <c r="O117" s="56"/>
      <c r="P117" s="55">
        <f>SUM(P115:P116)</f>
        <v>417.28995833332772</v>
      </c>
      <c r="Q117" s="55">
        <f>SUM(Q115:Q116)</f>
        <v>492.02845833332771</v>
      </c>
      <c r="R117" s="55">
        <f>SUM(R115:R116)</f>
        <v>1002.7415416666722</v>
      </c>
      <c r="S117" s="57"/>
      <c r="T117" s="57"/>
      <c r="U117" s="57"/>
      <c r="V117" s="57"/>
      <c r="W117" s="58"/>
    </row>
    <row r="118" spans="2:23" s="53" customFormat="1" ht="15" x14ac:dyDescent="0.25">
      <c r="B118" s="27"/>
      <c r="C118" s="51"/>
      <c r="D118" s="51"/>
      <c r="E118" s="27"/>
      <c r="F118" s="27"/>
      <c r="G118" s="27"/>
      <c r="H118" s="52"/>
      <c r="I118" s="27"/>
      <c r="J118" s="27"/>
      <c r="K118" s="87"/>
      <c r="L118" s="97"/>
      <c r="M118" s="54"/>
      <c r="N118" s="59"/>
      <c r="O118" s="56"/>
      <c r="P118" s="59"/>
      <c r="Q118" s="59"/>
      <c r="R118" s="59"/>
      <c r="S118" s="57"/>
      <c r="T118" s="57"/>
      <c r="U118" s="57"/>
      <c r="V118" s="57"/>
      <c r="W118" s="58"/>
    </row>
    <row r="119" spans="2:23" s="72" customFormat="1" ht="15" x14ac:dyDescent="0.25">
      <c r="B119" s="70"/>
      <c r="C119" s="112" t="s">
        <v>85</v>
      </c>
      <c r="D119" s="112"/>
      <c r="E119" s="70"/>
      <c r="F119" s="70"/>
      <c r="G119" s="70"/>
      <c r="H119" s="71"/>
      <c r="I119" s="70"/>
      <c r="J119" s="70"/>
      <c r="L119" s="73">
        <f>SUM(L96,L103,L111,L117)</f>
        <v>1640015.77</v>
      </c>
      <c r="M119" s="74"/>
      <c r="N119" s="73">
        <f>SUM(N96,N103,N111,N117)</f>
        <v>57701.471833333329</v>
      </c>
      <c r="O119" s="75"/>
      <c r="P119" s="73">
        <f>SUM(P96,P103,P111,P117)</f>
        <v>295845.32884722325</v>
      </c>
      <c r="Q119" s="73">
        <f>SUM(Q96,Q103,Q111,Q117)</f>
        <v>353546.80068055657</v>
      </c>
      <c r="R119" s="73">
        <f>SUM(R96,R103,R111,R117)</f>
        <v>1286468.9693194435</v>
      </c>
      <c r="S119" s="76"/>
      <c r="T119" s="76"/>
      <c r="U119" s="76"/>
      <c r="V119" s="76"/>
      <c r="W119" s="77"/>
    </row>
    <row r="120" spans="2:23" s="53" customFormat="1" ht="15" x14ac:dyDescent="0.25">
      <c r="B120" s="27"/>
      <c r="C120" s="51"/>
      <c r="D120" s="51"/>
      <c r="E120" s="27"/>
      <c r="F120" s="27"/>
      <c r="G120" s="27"/>
      <c r="H120" s="52"/>
      <c r="I120" s="27"/>
      <c r="J120" s="27"/>
      <c r="L120" s="59"/>
      <c r="M120" s="54"/>
      <c r="N120" s="59"/>
      <c r="O120" s="56"/>
      <c r="P120" s="59"/>
      <c r="Q120" s="59"/>
      <c r="R120" s="59"/>
      <c r="S120" s="57"/>
      <c r="T120" s="57"/>
      <c r="U120" s="57"/>
      <c r="V120" s="57"/>
      <c r="W120" s="58"/>
    </row>
    <row r="121" spans="2:23" s="2" customFormat="1" ht="15" x14ac:dyDescent="0.25">
      <c r="B121" s="31"/>
      <c r="E121" s="31"/>
      <c r="F121" s="31"/>
      <c r="G121" s="31"/>
      <c r="H121" s="20"/>
      <c r="I121" s="31"/>
      <c r="J121" s="31"/>
      <c r="K121" s="68"/>
      <c r="L121" s="47"/>
      <c r="M121" s="47"/>
      <c r="N121" s="47"/>
      <c r="O121" s="48"/>
      <c r="P121" s="47"/>
      <c r="Q121" s="47"/>
      <c r="R121" s="47"/>
      <c r="S121" s="49"/>
      <c r="T121" s="49"/>
      <c r="U121" s="49"/>
      <c r="V121" s="49"/>
      <c r="W121" s="50"/>
    </row>
    <row r="122" spans="2:23" s="72" customFormat="1" ht="15" x14ac:dyDescent="0.25">
      <c r="B122" s="70"/>
      <c r="C122" s="112" t="s">
        <v>86</v>
      </c>
      <c r="D122" s="112"/>
      <c r="E122" s="70"/>
      <c r="F122" s="70"/>
      <c r="G122" s="70"/>
      <c r="H122" s="71"/>
      <c r="I122" s="70"/>
      <c r="J122" s="70"/>
      <c r="L122" s="78"/>
      <c r="M122" s="74"/>
      <c r="N122" s="78"/>
      <c r="O122" s="75"/>
      <c r="P122" s="78"/>
      <c r="Q122" s="78"/>
      <c r="R122" s="78"/>
      <c r="S122" s="76"/>
      <c r="T122" s="76"/>
      <c r="U122" s="76"/>
      <c r="V122" s="76"/>
      <c r="W122" s="77"/>
    </row>
    <row r="123" spans="2:23" s="2" customFormat="1" ht="15" x14ac:dyDescent="0.25">
      <c r="B123" s="31"/>
      <c r="E123" s="31"/>
      <c r="F123" s="31"/>
      <c r="G123" s="31"/>
      <c r="H123" s="20"/>
      <c r="I123" s="31"/>
      <c r="J123" s="31"/>
      <c r="K123" s="68"/>
      <c r="L123" s="47"/>
      <c r="M123" s="47"/>
      <c r="N123" s="47"/>
      <c r="O123" s="48"/>
      <c r="P123" s="47"/>
      <c r="Q123" s="47"/>
      <c r="R123" s="47"/>
      <c r="S123" s="49"/>
      <c r="T123" s="49"/>
      <c r="U123" s="49"/>
      <c r="V123" s="49"/>
      <c r="W123" s="50"/>
    </row>
    <row r="124" spans="2:23" s="2" customFormat="1" ht="15" x14ac:dyDescent="0.25">
      <c r="B124" s="31"/>
      <c r="C124" s="113" t="s">
        <v>58</v>
      </c>
      <c r="D124" s="113"/>
      <c r="E124" s="31"/>
      <c r="F124" s="31"/>
      <c r="G124" s="31"/>
      <c r="H124" s="20"/>
      <c r="I124" s="31"/>
      <c r="J124" s="31"/>
      <c r="L124" s="47"/>
      <c r="M124" s="47"/>
      <c r="N124" s="47"/>
      <c r="O124" s="48"/>
      <c r="P124" s="47"/>
      <c r="Q124" s="47"/>
      <c r="R124" s="47"/>
      <c r="S124" s="49"/>
      <c r="T124" s="49"/>
      <c r="U124" s="49"/>
      <c r="V124" s="49"/>
      <c r="W124" s="50"/>
    </row>
    <row r="125" spans="2:23" s="2" customFormat="1" ht="15" x14ac:dyDescent="0.25">
      <c r="B125" s="31" t="s">
        <v>87</v>
      </c>
      <c r="D125" s="2" t="s">
        <v>88</v>
      </c>
      <c r="E125" s="31">
        <v>2019</v>
      </c>
      <c r="F125" s="31">
        <v>8</v>
      </c>
      <c r="G125" s="31">
        <v>24</v>
      </c>
      <c r="H125" s="20">
        <v>0</v>
      </c>
      <c r="I125" s="31" t="s">
        <v>46</v>
      </c>
      <c r="J125" s="31">
        <v>30</v>
      </c>
      <c r="K125" s="2">
        <f>+E125+J125</f>
        <v>2049</v>
      </c>
      <c r="L125" s="91">
        <v>9093</v>
      </c>
      <c r="M125" s="47">
        <f>L125/J125/12</f>
        <v>25.258333333333336</v>
      </c>
      <c r="N125" s="47">
        <f>IF(U125&lt;=T125,0,L125/J125)</f>
        <v>303.10000000000002</v>
      </c>
      <c r="O125" s="48">
        <v>1</v>
      </c>
      <c r="P125" s="47">
        <f>IF(S125&gt;T125,0,IF(U125&lt;V125,L125,IF((AND((U125&gt;=V125),(U125&lt;=T125))),(L125-N125),IF((AND((V125&lt;=S125),(T125&gt;=S125))),0,IF(U125&gt;T125,((V125-S125)*12)*M125,0)))))</f>
        <v>1035.5916666666897</v>
      </c>
      <c r="Q125" s="47">
        <f>P125+N125</f>
        <v>1338.6916666666898</v>
      </c>
      <c r="R125" s="47">
        <f>+L125-Q125</f>
        <v>7754.3083333333107</v>
      </c>
      <c r="S125" s="49">
        <f>$E125+(($F125-1)/12)</f>
        <v>2019.5833333333333</v>
      </c>
      <c r="T125" s="49">
        <f>($M$7+1)-($M$4/12)</f>
        <v>2024</v>
      </c>
      <c r="U125" s="49">
        <f>$K125+(($F125-1)/12)</f>
        <v>2049.5833333333335</v>
      </c>
      <c r="V125" s="49">
        <f>$M$6+($M$5/12)</f>
        <v>2023</v>
      </c>
      <c r="W125" s="50"/>
    </row>
    <row r="126" spans="2:23" s="2" customFormat="1" ht="15" x14ac:dyDescent="0.25">
      <c r="B126" s="31" t="s">
        <v>87</v>
      </c>
      <c r="D126" s="2" t="s">
        <v>89</v>
      </c>
      <c r="E126" s="31">
        <v>2023</v>
      </c>
      <c r="F126" s="31">
        <v>3</v>
      </c>
      <c r="G126" s="31">
        <v>20</v>
      </c>
      <c r="H126" s="94">
        <v>0</v>
      </c>
      <c r="I126" s="31" t="s">
        <v>46</v>
      </c>
      <c r="J126" s="31">
        <v>30</v>
      </c>
      <c r="K126" s="2">
        <f>+E126+J126</f>
        <v>2053</v>
      </c>
      <c r="L126" s="91">
        <v>425375</v>
      </c>
      <c r="M126" s="91">
        <f>L126/J126/12</f>
        <v>1181.5972222222222</v>
      </c>
      <c r="N126" s="91">
        <f>IF(U126&lt;=T126,0,L126/J126)</f>
        <v>14179.166666666666</v>
      </c>
      <c r="O126" s="48">
        <v>1</v>
      </c>
      <c r="P126" s="91">
        <f>IF(S126&gt;T126,0,IF(U126&lt;V126,L126,IF((AND((U126&gt;=V126),(U126&lt;=T126))),(L126-N126),IF((AND((V126&lt;=S126),(T126&gt;=S126))),0,IF(U126&gt;T126,((V126-S126)*12)*M126,0)))))</f>
        <v>0</v>
      </c>
      <c r="Q126" s="91">
        <f>P126+N126</f>
        <v>14179.166666666666</v>
      </c>
      <c r="R126" s="91">
        <f>+L126-Q126</f>
        <v>411195.83333333331</v>
      </c>
      <c r="S126" s="49">
        <f>$E126+(($F126-1)/12)</f>
        <v>2023.1666666666667</v>
      </c>
      <c r="T126" s="49">
        <f>($M$7+1)-($M$4/12)</f>
        <v>2024</v>
      </c>
      <c r="U126" s="49">
        <f>$K126+(($F126-1)/12)</f>
        <v>2053.1666666666665</v>
      </c>
      <c r="V126" s="49">
        <f>$M$6+($M$5/12)</f>
        <v>2023</v>
      </c>
      <c r="W126" s="50"/>
    </row>
    <row r="127" spans="2:23" s="2" customFormat="1" ht="15" x14ac:dyDescent="0.25">
      <c r="B127" s="31"/>
      <c r="E127" s="31"/>
      <c r="F127" s="31"/>
      <c r="G127" s="31"/>
      <c r="H127" s="20"/>
      <c r="I127" s="31"/>
      <c r="J127" s="31"/>
      <c r="L127" s="47"/>
      <c r="M127" s="47"/>
      <c r="N127" s="47"/>
      <c r="O127" s="48"/>
      <c r="P127" s="47"/>
      <c r="Q127" s="47"/>
      <c r="R127" s="47"/>
      <c r="S127" s="49"/>
      <c r="T127" s="49"/>
      <c r="U127" s="49"/>
      <c r="V127" s="49"/>
      <c r="W127" s="50"/>
    </row>
    <row r="128" spans="2:23" s="53" customFormat="1" ht="15" x14ac:dyDescent="0.25">
      <c r="B128" s="27"/>
      <c r="C128" s="114" t="s">
        <v>61</v>
      </c>
      <c r="D128" s="114"/>
      <c r="E128" s="27"/>
      <c r="F128" s="27"/>
      <c r="G128" s="27"/>
      <c r="H128" s="52"/>
      <c r="I128" s="27"/>
      <c r="J128" s="27"/>
      <c r="L128" s="55">
        <f>SUM(L125:L127)</f>
        <v>434468</v>
      </c>
      <c r="M128" s="54"/>
      <c r="N128" s="55">
        <f>SUM(N125:N127)</f>
        <v>14482.266666666666</v>
      </c>
      <c r="O128" s="56"/>
      <c r="P128" s="55">
        <f>SUM(P125:P127)</f>
        <v>1035.5916666666897</v>
      </c>
      <c r="Q128" s="55">
        <f>SUM(Q125:Q127)</f>
        <v>15517.858333333355</v>
      </c>
      <c r="R128" s="55">
        <f>SUM(R125:R127)</f>
        <v>418950.1416666666</v>
      </c>
      <c r="S128" s="57"/>
      <c r="T128" s="57"/>
      <c r="U128" s="57"/>
      <c r="V128" s="57"/>
      <c r="W128" s="58"/>
    </row>
    <row r="129" spans="2:23" s="2" customFormat="1" ht="15" x14ac:dyDescent="0.25">
      <c r="B129" s="31"/>
      <c r="E129" s="31"/>
      <c r="F129" s="31"/>
      <c r="G129" s="31"/>
      <c r="H129" s="20"/>
      <c r="I129" s="31"/>
      <c r="J129" s="31"/>
      <c r="K129" s="87"/>
      <c r="L129" s="97"/>
      <c r="M129" s="47"/>
      <c r="N129" s="47"/>
      <c r="O129" s="48"/>
      <c r="P129" s="47"/>
      <c r="Q129" s="47"/>
      <c r="R129" s="47"/>
      <c r="S129" s="49"/>
      <c r="T129" s="49"/>
      <c r="U129" s="49"/>
      <c r="V129" s="49"/>
      <c r="W129" s="50"/>
    </row>
    <row r="130" spans="2:23" s="2" customFormat="1" ht="15" x14ac:dyDescent="0.25">
      <c r="B130" s="31"/>
      <c r="E130" s="31"/>
      <c r="F130" s="31"/>
      <c r="G130" s="31"/>
      <c r="H130" s="20"/>
      <c r="I130" s="31"/>
      <c r="J130" s="31"/>
      <c r="K130" s="87"/>
      <c r="L130" s="97"/>
      <c r="M130" s="47"/>
      <c r="N130" s="47"/>
      <c r="O130" s="48"/>
      <c r="P130" s="47"/>
      <c r="Q130" s="47"/>
      <c r="R130" s="47"/>
      <c r="S130" s="49"/>
      <c r="T130" s="49"/>
      <c r="U130" s="49"/>
      <c r="V130" s="49"/>
      <c r="W130" s="50"/>
    </row>
    <row r="131" spans="2:23" s="2" customFormat="1" ht="15" x14ac:dyDescent="0.25">
      <c r="B131" s="31"/>
      <c r="C131" s="113" t="s">
        <v>62</v>
      </c>
      <c r="D131" s="113"/>
      <c r="E131" s="31"/>
      <c r="F131" s="31"/>
      <c r="G131" s="31"/>
      <c r="H131" s="20"/>
      <c r="I131" s="31"/>
      <c r="J131" s="31"/>
      <c r="L131" s="47"/>
      <c r="M131" s="47"/>
      <c r="N131" s="47"/>
      <c r="O131" s="48"/>
      <c r="P131" s="47"/>
      <c r="Q131" s="47"/>
      <c r="R131" s="47"/>
      <c r="S131" s="49"/>
      <c r="T131" s="49"/>
      <c r="U131" s="49"/>
      <c r="V131" s="49"/>
      <c r="W131" s="50"/>
    </row>
    <row r="132" spans="2:23" s="2" customFormat="1" ht="15" x14ac:dyDescent="0.25">
      <c r="B132" s="31" t="s">
        <v>87</v>
      </c>
      <c r="D132" s="2" t="s">
        <v>90</v>
      </c>
      <c r="E132" s="31">
        <v>2016</v>
      </c>
      <c r="F132" s="31">
        <v>1</v>
      </c>
      <c r="G132" s="31">
        <v>5</v>
      </c>
      <c r="H132" s="20">
        <v>0</v>
      </c>
      <c r="I132" s="31" t="s">
        <v>46</v>
      </c>
      <c r="J132" s="31">
        <v>20</v>
      </c>
      <c r="K132" s="2">
        <f t="shared" ref="K132:K133" si="87">+E132+J132</f>
        <v>2036</v>
      </c>
      <c r="L132" s="47">
        <v>34107</v>
      </c>
      <c r="M132" s="47">
        <f t="shared" ref="M132:M133" si="88">L132/J132/12</f>
        <v>142.11249999999998</v>
      </c>
      <c r="N132" s="47">
        <f t="shared" ref="N132:N133" si="89">IF(U132&lt;=T132,0,L132/J132)</f>
        <v>1705.35</v>
      </c>
      <c r="O132" s="48">
        <v>1</v>
      </c>
      <c r="P132" s="47">
        <f t="shared" ref="P132:P133" si="90">IF(S132&gt;T132,0,IF(U132&lt;V132,L132,IF((AND((U132&gt;=V132),(U132&lt;=T132))),(L132-N132),IF((AND((V132&lt;=S132),(T132&gt;=S132))),0,IF(U132&gt;T132,((V132-S132)*12)*M132,0)))))</f>
        <v>11937.449999999999</v>
      </c>
      <c r="Q132" s="47">
        <f t="shared" ref="Q132:Q133" si="91">P132+N132</f>
        <v>13642.8</v>
      </c>
      <c r="R132" s="47">
        <f t="shared" ref="R132:R133" si="92">+L132-Q132</f>
        <v>20464.2</v>
      </c>
      <c r="S132" s="49">
        <f t="shared" ref="S132:S133" si="93">$E132+(($F132-1)/12)</f>
        <v>2016</v>
      </c>
      <c r="T132" s="49">
        <f>($M$7+1)-($M$4/12)</f>
        <v>2024</v>
      </c>
      <c r="U132" s="49">
        <f t="shared" ref="U132:U133" si="94">$K132+(($F132-1)/12)</f>
        <v>2036</v>
      </c>
      <c r="V132" s="49">
        <f>$M$6+($M$5/12)</f>
        <v>2023</v>
      </c>
      <c r="W132" s="50"/>
    </row>
    <row r="133" spans="2:23" s="2" customFormat="1" ht="15" x14ac:dyDescent="0.25">
      <c r="B133" s="31" t="s">
        <v>87</v>
      </c>
      <c r="D133" s="2" t="s">
        <v>90</v>
      </c>
      <c r="E133" s="31">
        <v>2019</v>
      </c>
      <c r="F133" s="31">
        <v>3</v>
      </c>
      <c r="G133" s="31">
        <v>7</v>
      </c>
      <c r="H133" s="94">
        <v>0</v>
      </c>
      <c r="I133" s="31" t="s">
        <v>46</v>
      </c>
      <c r="J133" s="31">
        <v>20</v>
      </c>
      <c r="K133" s="2">
        <f t="shared" si="87"/>
        <v>2039</v>
      </c>
      <c r="L133" s="91">
        <v>22950</v>
      </c>
      <c r="M133" s="91">
        <f t="shared" si="88"/>
        <v>95.625</v>
      </c>
      <c r="N133" s="91">
        <f t="shared" si="89"/>
        <v>1147.5</v>
      </c>
      <c r="O133" s="48">
        <v>1</v>
      </c>
      <c r="P133" s="91">
        <f t="shared" si="90"/>
        <v>4398.7499999999127</v>
      </c>
      <c r="Q133" s="91">
        <f t="shared" si="91"/>
        <v>5546.2499999999127</v>
      </c>
      <c r="R133" s="91">
        <f t="shared" si="92"/>
        <v>17403.750000000087</v>
      </c>
      <c r="S133" s="49">
        <f t="shared" si="93"/>
        <v>2019.1666666666667</v>
      </c>
      <c r="T133" s="49">
        <f>($M$7+1)-($M$4/12)</f>
        <v>2024</v>
      </c>
      <c r="U133" s="49">
        <f t="shared" si="94"/>
        <v>2039.1666666666667</v>
      </c>
      <c r="V133" s="49">
        <f>$M$6+($M$5/12)</f>
        <v>2023</v>
      </c>
      <c r="W133" s="50"/>
    </row>
    <row r="134" spans="2:23" s="2" customFormat="1" ht="15" x14ac:dyDescent="0.25">
      <c r="B134" s="31"/>
      <c r="E134" s="31"/>
      <c r="F134" s="31"/>
      <c r="G134" s="31"/>
      <c r="H134" s="20"/>
      <c r="I134" s="31"/>
      <c r="J134" s="31"/>
      <c r="L134" s="47"/>
      <c r="M134" s="47"/>
      <c r="N134" s="47"/>
      <c r="O134" s="48"/>
      <c r="P134" s="47"/>
      <c r="Q134" s="47"/>
      <c r="R134" s="47"/>
      <c r="S134" s="49"/>
      <c r="T134" s="49"/>
      <c r="U134" s="49"/>
      <c r="V134" s="49"/>
      <c r="W134" s="50"/>
    </row>
    <row r="135" spans="2:23" s="53" customFormat="1" ht="15" x14ac:dyDescent="0.25">
      <c r="B135" s="27"/>
      <c r="C135" s="114" t="s">
        <v>66</v>
      </c>
      <c r="D135" s="114"/>
      <c r="E135" s="27"/>
      <c r="F135" s="27"/>
      <c r="G135" s="27"/>
      <c r="H135" s="52"/>
      <c r="I135" s="27"/>
      <c r="J135" s="27"/>
      <c r="L135" s="55">
        <f>SUM(L132:L134)</f>
        <v>57057</v>
      </c>
      <c r="M135" s="54"/>
      <c r="N135" s="55">
        <f>SUM(N132:N134)</f>
        <v>2852.85</v>
      </c>
      <c r="O135" s="56"/>
      <c r="P135" s="55">
        <f>SUM(P132:P134)</f>
        <v>16336.199999999912</v>
      </c>
      <c r="Q135" s="55">
        <f>SUM(Q132:Q134)</f>
        <v>19189.049999999912</v>
      </c>
      <c r="R135" s="55">
        <f>SUM(R132:R134)</f>
        <v>37867.950000000084</v>
      </c>
      <c r="S135" s="57"/>
      <c r="T135" s="57"/>
      <c r="U135" s="57"/>
      <c r="V135" s="57"/>
      <c r="W135" s="58"/>
    </row>
    <row r="136" spans="2:23" s="2" customFormat="1" ht="15" x14ac:dyDescent="0.25">
      <c r="B136" s="31"/>
      <c r="E136" s="31"/>
      <c r="F136" s="31"/>
      <c r="G136" s="31"/>
      <c r="H136" s="20"/>
      <c r="I136" s="31"/>
      <c r="J136" s="31"/>
      <c r="K136" s="87"/>
      <c r="L136" s="97"/>
      <c r="M136" s="47"/>
      <c r="N136" s="47"/>
      <c r="O136" s="48"/>
      <c r="P136" s="47"/>
      <c r="Q136" s="47"/>
      <c r="R136" s="47"/>
      <c r="S136" s="49"/>
      <c r="T136" s="49"/>
      <c r="U136" s="49"/>
      <c r="V136" s="49"/>
      <c r="W136" s="50"/>
    </row>
    <row r="137" spans="2:23" s="2" customFormat="1" ht="15" x14ac:dyDescent="0.25">
      <c r="B137" s="31"/>
      <c r="E137" s="31"/>
      <c r="F137" s="31"/>
      <c r="G137" s="31"/>
      <c r="H137" s="20"/>
      <c r="I137" s="31"/>
      <c r="J137" s="31"/>
      <c r="K137" s="87"/>
      <c r="L137" s="97"/>
      <c r="M137" s="47"/>
      <c r="N137" s="47"/>
      <c r="O137" s="48"/>
      <c r="P137" s="47"/>
      <c r="Q137" s="47"/>
      <c r="R137" s="47"/>
      <c r="S137" s="49"/>
      <c r="T137" s="49"/>
      <c r="U137" s="49"/>
      <c r="V137" s="49"/>
      <c r="W137" s="50"/>
    </row>
    <row r="138" spans="2:23" s="2" customFormat="1" ht="15" x14ac:dyDescent="0.25">
      <c r="B138" s="31"/>
      <c r="C138" s="113" t="s">
        <v>91</v>
      </c>
      <c r="D138" s="113"/>
      <c r="E138" s="31"/>
      <c r="F138" s="31"/>
      <c r="G138" s="31"/>
      <c r="H138" s="20"/>
      <c r="I138" s="31"/>
      <c r="J138" s="31"/>
      <c r="L138" s="47"/>
      <c r="M138" s="47"/>
      <c r="N138" s="47"/>
      <c r="O138" s="48"/>
      <c r="P138" s="47"/>
      <c r="Q138" s="47"/>
      <c r="R138" s="47"/>
      <c r="S138" s="49"/>
      <c r="T138" s="49"/>
      <c r="U138" s="49"/>
      <c r="V138" s="49"/>
      <c r="W138" s="50"/>
    </row>
    <row r="139" spans="2:23" s="2" customFormat="1" ht="15" x14ac:dyDescent="0.25">
      <c r="B139" s="31" t="s">
        <v>87</v>
      </c>
      <c r="D139" s="2" t="s">
        <v>92</v>
      </c>
      <c r="E139" s="31">
        <v>2017</v>
      </c>
      <c r="F139" s="31">
        <v>12</v>
      </c>
      <c r="G139" s="31">
        <v>21</v>
      </c>
      <c r="H139" s="94">
        <v>0</v>
      </c>
      <c r="I139" s="31" t="s">
        <v>46</v>
      </c>
      <c r="J139" s="31">
        <v>15</v>
      </c>
      <c r="K139" s="2">
        <f t="shared" ref="K139:K142" si="95">+E139+J139</f>
        <v>2032</v>
      </c>
      <c r="L139" s="91">
        <v>33449</v>
      </c>
      <c r="M139" s="91">
        <f t="shared" ref="M139:M142" si="96">L139/J139/12</f>
        <v>185.82777777777778</v>
      </c>
      <c r="N139" s="91">
        <f t="shared" ref="N139:N142" si="97">IF(U139&lt;=T139,0,L139/J139)</f>
        <v>2229.9333333333334</v>
      </c>
      <c r="O139" s="48">
        <v>1</v>
      </c>
      <c r="P139" s="91">
        <f t="shared" ref="P139:P142" si="98">IF(S139&gt;T139,0,IF(U139&lt;V139,L139,IF((AND((U139&gt;=V139),(U139&lt;=T139))),(L139-N139),IF((AND((V139&lt;=S139),(T139&gt;=S139))),0,IF(U139&gt;T139,((V139-S139)*12)*M139,0)))))</f>
        <v>11335.494444444275</v>
      </c>
      <c r="Q139" s="91">
        <f t="shared" ref="Q139:Q142" si="99">P139+N139</f>
        <v>13565.427777777608</v>
      </c>
      <c r="R139" s="91">
        <f t="shared" ref="R139:R142" si="100">+L139-Q139</f>
        <v>19883.572222222392</v>
      </c>
      <c r="S139" s="49">
        <f t="shared" ref="S139:S142" si="101">$E139+(($F139-1)/12)</f>
        <v>2017.9166666666667</v>
      </c>
      <c r="T139" s="49">
        <f>($M$7+1)-($M$4/12)</f>
        <v>2024</v>
      </c>
      <c r="U139" s="49">
        <f t="shared" ref="U139:U142" si="102">$K139+(($F139-1)/12)</f>
        <v>2032.9166666666667</v>
      </c>
      <c r="V139" s="49">
        <f>$M$6+($M$5/12)</f>
        <v>2023</v>
      </c>
      <c r="W139" s="50"/>
    </row>
    <row r="140" spans="2:23" s="2" customFormat="1" ht="15" x14ac:dyDescent="0.25">
      <c r="B140" s="31" t="s">
        <v>87</v>
      </c>
      <c r="D140" s="2" t="s">
        <v>93</v>
      </c>
      <c r="E140" s="31">
        <v>2018</v>
      </c>
      <c r="F140" s="31">
        <v>7</v>
      </c>
      <c r="G140" s="31">
        <v>5</v>
      </c>
      <c r="H140" s="94">
        <v>0</v>
      </c>
      <c r="I140" s="31" t="s">
        <v>46</v>
      </c>
      <c r="J140" s="31">
        <v>15</v>
      </c>
      <c r="K140" s="2">
        <f t="shared" si="95"/>
        <v>2033</v>
      </c>
      <c r="L140" s="91">
        <v>3150</v>
      </c>
      <c r="M140" s="91">
        <f t="shared" si="96"/>
        <v>17.5</v>
      </c>
      <c r="N140" s="91">
        <f t="shared" si="97"/>
        <v>210</v>
      </c>
      <c r="O140" s="48">
        <v>1</v>
      </c>
      <c r="P140" s="91">
        <f t="shared" si="98"/>
        <v>945</v>
      </c>
      <c r="Q140" s="91">
        <f t="shared" si="99"/>
        <v>1155</v>
      </c>
      <c r="R140" s="91">
        <f t="shared" si="100"/>
        <v>1995</v>
      </c>
      <c r="S140" s="49">
        <f t="shared" si="101"/>
        <v>2018.5</v>
      </c>
      <c r="T140" s="49">
        <f>($M$7+1)-($M$4/12)</f>
        <v>2024</v>
      </c>
      <c r="U140" s="49">
        <f t="shared" si="102"/>
        <v>2033.5</v>
      </c>
      <c r="V140" s="49">
        <f>$M$6+($M$5/12)</f>
        <v>2023</v>
      </c>
      <c r="W140" s="50"/>
    </row>
    <row r="141" spans="2:23" s="2" customFormat="1" ht="15" x14ac:dyDescent="0.25">
      <c r="B141" s="31" t="s">
        <v>87</v>
      </c>
      <c r="D141" s="2" t="s">
        <v>94</v>
      </c>
      <c r="E141" s="31">
        <v>2020</v>
      </c>
      <c r="F141" s="31">
        <v>10</v>
      </c>
      <c r="G141" s="31">
        <v>1</v>
      </c>
      <c r="H141" s="94">
        <v>0</v>
      </c>
      <c r="I141" s="31" t="s">
        <v>46</v>
      </c>
      <c r="J141" s="31">
        <v>15</v>
      </c>
      <c r="K141" s="2">
        <f t="shared" si="95"/>
        <v>2035</v>
      </c>
      <c r="L141" s="91">
        <v>57890</v>
      </c>
      <c r="M141" s="91">
        <f t="shared" si="96"/>
        <v>321.61111111111114</v>
      </c>
      <c r="N141" s="91">
        <f t="shared" si="97"/>
        <v>3859.3333333333335</v>
      </c>
      <c r="O141" s="48">
        <v>1</v>
      </c>
      <c r="P141" s="91">
        <f t="shared" si="98"/>
        <v>8683.5</v>
      </c>
      <c r="Q141" s="91">
        <f t="shared" si="99"/>
        <v>12542.833333333334</v>
      </c>
      <c r="R141" s="91">
        <f t="shared" si="100"/>
        <v>45347.166666666664</v>
      </c>
      <c r="S141" s="49">
        <f t="shared" si="101"/>
        <v>2020.75</v>
      </c>
      <c r="T141" s="49">
        <f>($M$7+1)-($M$4/12)</f>
        <v>2024</v>
      </c>
      <c r="U141" s="49">
        <f t="shared" si="102"/>
        <v>2035.75</v>
      </c>
      <c r="V141" s="49">
        <f>$M$6+($M$5/12)</f>
        <v>2023</v>
      </c>
      <c r="W141" s="50"/>
    </row>
    <row r="142" spans="2:23" s="2" customFormat="1" ht="15" x14ac:dyDescent="0.25">
      <c r="B142" s="31" t="s">
        <v>87</v>
      </c>
      <c r="D142" s="2" t="s">
        <v>95</v>
      </c>
      <c r="E142" s="31">
        <v>2023</v>
      </c>
      <c r="F142" s="31">
        <v>1</v>
      </c>
      <c r="G142" s="31">
        <v>26</v>
      </c>
      <c r="H142" s="94">
        <v>0</v>
      </c>
      <c r="I142" s="31" t="s">
        <v>46</v>
      </c>
      <c r="J142" s="31">
        <v>15</v>
      </c>
      <c r="K142" s="2">
        <f t="shared" si="95"/>
        <v>2038</v>
      </c>
      <c r="L142" s="91">
        <v>25572</v>
      </c>
      <c r="M142" s="91">
        <f t="shared" si="96"/>
        <v>142.06666666666666</v>
      </c>
      <c r="N142" s="91">
        <f t="shared" si="97"/>
        <v>1704.8</v>
      </c>
      <c r="O142" s="48">
        <v>1</v>
      </c>
      <c r="P142" s="91">
        <f t="shared" si="98"/>
        <v>0</v>
      </c>
      <c r="Q142" s="91">
        <f t="shared" si="99"/>
        <v>1704.8</v>
      </c>
      <c r="R142" s="91">
        <f t="shared" si="100"/>
        <v>23867.200000000001</v>
      </c>
      <c r="S142" s="49">
        <f t="shared" si="101"/>
        <v>2023</v>
      </c>
      <c r="T142" s="49">
        <f>($M$7+1)-($M$4/12)</f>
        <v>2024</v>
      </c>
      <c r="U142" s="49">
        <f t="shared" si="102"/>
        <v>2038</v>
      </c>
      <c r="V142" s="49">
        <f>$M$6+($M$5/12)</f>
        <v>2023</v>
      </c>
      <c r="W142" s="50"/>
    </row>
    <row r="143" spans="2:23" s="2" customFormat="1" ht="15" x14ac:dyDescent="0.25">
      <c r="B143" s="31"/>
      <c r="E143" s="31"/>
      <c r="F143" s="31"/>
      <c r="G143" s="31"/>
      <c r="H143" s="20"/>
      <c r="I143" s="31"/>
      <c r="J143" s="31"/>
      <c r="L143" s="47"/>
      <c r="M143" s="47"/>
      <c r="N143" s="47"/>
      <c r="O143" s="48"/>
      <c r="P143" s="47"/>
      <c r="Q143" s="47"/>
      <c r="R143" s="47"/>
      <c r="S143" s="49"/>
      <c r="T143" s="49"/>
      <c r="U143" s="49"/>
      <c r="V143" s="49"/>
      <c r="W143" s="50"/>
    </row>
    <row r="144" spans="2:23" s="53" customFormat="1" ht="15" x14ac:dyDescent="0.25">
      <c r="B144" s="27"/>
      <c r="C144" s="114" t="s">
        <v>96</v>
      </c>
      <c r="D144" s="114"/>
      <c r="E144" s="27"/>
      <c r="F144" s="27"/>
      <c r="G144" s="27"/>
      <c r="H144" s="52"/>
      <c r="I144" s="27"/>
      <c r="J144" s="27"/>
      <c r="L144" s="55">
        <f>SUM(L139:L143)</f>
        <v>120061</v>
      </c>
      <c r="M144" s="54"/>
      <c r="N144" s="55">
        <f>SUM(N139:N143)</f>
        <v>8004.0666666666666</v>
      </c>
      <c r="O144" s="56"/>
      <c r="P144" s="55">
        <f>SUM(P139:P143)</f>
        <v>20963.994444444274</v>
      </c>
      <c r="Q144" s="55">
        <f>SUM(Q139:Q143)</f>
        <v>28968.061111110943</v>
      </c>
      <c r="R144" s="55">
        <f>SUM(R139:R143)</f>
        <v>91092.938888889053</v>
      </c>
      <c r="S144" s="57"/>
      <c r="T144" s="57"/>
      <c r="U144" s="57"/>
      <c r="V144" s="57"/>
      <c r="W144" s="58"/>
    </row>
    <row r="145" spans="2:24" s="2" customFormat="1" ht="15" x14ac:dyDescent="0.25">
      <c r="B145" s="31"/>
      <c r="E145" s="31"/>
      <c r="F145" s="31"/>
      <c r="G145" s="31"/>
      <c r="H145" s="20"/>
      <c r="I145" s="31"/>
      <c r="J145" s="31"/>
      <c r="K145" s="87"/>
      <c r="L145" s="97"/>
      <c r="M145" s="47"/>
      <c r="N145" s="47"/>
      <c r="O145" s="48"/>
      <c r="P145" s="47"/>
      <c r="Q145" s="47"/>
      <c r="R145" s="47"/>
      <c r="S145" s="49"/>
      <c r="T145" s="49"/>
      <c r="U145" s="49"/>
      <c r="V145" s="49"/>
      <c r="W145" s="50"/>
    </row>
    <row r="146" spans="2:24" s="2" customFormat="1" ht="15" x14ac:dyDescent="0.25">
      <c r="B146" s="31"/>
      <c r="E146" s="31"/>
      <c r="F146" s="31"/>
      <c r="G146" s="31"/>
      <c r="H146" s="20"/>
      <c r="I146" s="31"/>
      <c r="J146" s="31"/>
      <c r="K146" s="87"/>
      <c r="L146" s="97"/>
      <c r="M146" s="47"/>
      <c r="N146" s="47"/>
      <c r="O146" s="48"/>
      <c r="P146" s="47"/>
      <c r="Q146" s="47"/>
      <c r="R146" s="47"/>
      <c r="S146" s="49"/>
      <c r="T146" s="49"/>
      <c r="U146" s="49"/>
      <c r="V146" s="49"/>
      <c r="W146" s="50"/>
    </row>
    <row r="147" spans="2:24" s="2" customFormat="1" ht="15" x14ac:dyDescent="0.25">
      <c r="B147" s="31"/>
      <c r="C147" s="113" t="s">
        <v>67</v>
      </c>
      <c r="D147" s="113"/>
      <c r="E147" s="31"/>
      <c r="F147" s="31"/>
      <c r="G147" s="31"/>
      <c r="H147" s="20"/>
      <c r="I147" s="31"/>
      <c r="J147" s="31"/>
      <c r="K147" s="87"/>
      <c r="L147" s="97"/>
      <c r="M147" s="47"/>
      <c r="N147" s="47"/>
      <c r="O147" s="48"/>
      <c r="P147" s="47"/>
      <c r="Q147" s="47"/>
      <c r="R147" s="47"/>
      <c r="S147" s="49"/>
      <c r="T147" s="49"/>
      <c r="U147" s="49"/>
      <c r="V147" s="49"/>
      <c r="W147" s="50"/>
    </row>
    <row r="148" spans="2:24" s="2" customFormat="1" ht="15" x14ac:dyDescent="0.25">
      <c r="B148" s="31" t="s">
        <v>87</v>
      </c>
      <c r="D148" s="2" t="s">
        <v>97</v>
      </c>
      <c r="E148" s="31">
        <v>2021</v>
      </c>
      <c r="F148" s="31">
        <v>6</v>
      </c>
      <c r="G148" s="31">
        <v>11</v>
      </c>
      <c r="H148" s="20">
        <v>0</v>
      </c>
      <c r="I148" s="31" t="s">
        <v>46</v>
      </c>
      <c r="J148" s="31">
        <v>20</v>
      </c>
      <c r="K148" s="2">
        <f>+E148+J148</f>
        <v>2041</v>
      </c>
      <c r="L148" s="47">
        <v>1042</v>
      </c>
      <c r="M148" s="47">
        <f>L148/J148/12</f>
        <v>4.3416666666666668</v>
      </c>
      <c r="N148" s="47">
        <f>IF(U148&lt;=T148,0,L148/J148)</f>
        <v>52.1</v>
      </c>
      <c r="O148" s="48">
        <v>1</v>
      </c>
      <c r="P148" s="47">
        <f>IF(S148&gt;T148,0,IF(U148&lt;V148,L148,IF((AND((U148&gt;=V148),(U148&lt;=T148))),(L148-N148),IF((AND((V148&lt;=S148),(T148&gt;=S148))),0,IF(U148&gt;T148,((V148-S148)*12)*M148,0)))))</f>
        <v>82.491666666662724</v>
      </c>
      <c r="Q148" s="47">
        <f>P148+N148</f>
        <v>134.59166666666272</v>
      </c>
      <c r="R148" s="47">
        <f>+L148-Q148</f>
        <v>907.40833333333728</v>
      </c>
      <c r="S148" s="49">
        <f>$E148+(($F148-1)/12)</f>
        <v>2021.4166666666667</v>
      </c>
      <c r="T148" s="49">
        <f t="shared" si="40"/>
        <v>2024</v>
      </c>
      <c r="U148" s="49">
        <f>$K148+(($F148-1)/12)</f>
        <v>2041.4166666666667</v>
      </c>
      <c r="V148" s="49">
        <f t="shared" si="42"/>
        <v>2023</v>
      </c>
      <c r="W148" s="50"/>
    </row>
    <row r="149" spans="2:24" s="2" customFormat="1" ht="15" x14ac:dyDescent="0.25">
      <c r="B149" s="31"/>
      <c r="E149" s="31"/>
      <c r="F149" s="31"/>
      <c r="G149" s="31"/>
      <c r="H149" s="20"/>
      <c r="I149" s="31"/>
      <c r="J149" s="31"/>
      <c r="L149" s="47"/>
      <c r="M149" s="47"/>
      <c r="N149" s="47"/>
      <c r="O149" s="48"/>
      <c r="P149" s="47"/>
      <c r="Q149" s="47"/>
      <c r="R149" s="47"/>
      <c r="S149" s="49"/>
      <c r="T149" s="49"/>
      <c r="U149" s="49"/>
      <c r="V149" s="49"/>
      <c r="W149" s="50"/>
    </row>
    <row r="150" spans="2:24" s="53" customFormat="1" ht="15" x14ac:dyDescent="0.25">
      <c r="B150" s="27"/>
      <c r="C150" s="114" t="s">
        <v>69</v>
      </c>
      <c r="D150" s="114"/>
      <c r="E150" s="27"/>
      <c r="F150" s="27"/>
      <c r="G150" s="27"/>
      <c r="H150" s="52"/>
      <c r="I150" s="27"/>
      <c r="J150" s="27"/>
      <c r="L150" s="55">
        <f>SUM(L148:L149)</f>
        <v>1042</v>
      </c>
      <c r="M150" s="54"/>
      <c r="N150" s="55">
        <f>SUM(N148:N149)</f>
        <v>52.1</v>
      </c>
      <c r="O150" s="56"/>
      <c r="P150" s="55">
        <f>SUM(P148:P149)</f>
        <v>82.491666666662724</v>
      </c>
      <c r="Q150" s="55">
        <f>SUM(Q148:Q149)</f>
        <v>134.59166666666272</v>
      </c>
      <c r="R150" s="55">
        <f>SUM(R148:R149)</f>
        <v>907.40833333333728</v>
      </c>
      <c r="S150" s="57"/>
      <c r="T150" s="57"/>
      <c r="U150" s="57"/>
      <c r="V150" s="57"/>
      <c r="W150" s="58"/>
    </row>
    <row r="151" spans="2:24" s="53" customFormat="1" ht="15" x14ac:dyDescent="0.25">
      <c r="B151" s="27"/>
      <c r="C151" s="51"/>
      <c r="D151" s="51"/>
      <c r="E151" s="27"/>
      <c r="F151" s="27"/>
      <c r="G151" s="27"/>
      <c r="H151" s="52"/>
      <c r="I151" s="27"/>
      <c r="J151" s="27"/>
      <c r="K151" s="87"/>
      <c r="L151" s="97"/>
      <c r="M151" s="54"/>
      <c r="N151" s="59"/>
      <c r="O151" s="56"/>
      <c r="P151" s="59"/>
      <c r="Q151" s="59"/>
      <c r="R151" s="59"/>
      <c r="S151" s="57"/>
      <c r="T151" s="57"/>
      <c r="U151" s="57"/>
      <c r="V151" s="57"/>
      <c r="W151" s="58"/>
    </row>
    <row r="152" spans="2:24" s="53" customFormat="1" ht="15" x14ac:dyDescent="0.25">
      <c r="B152" s="27"/>
      <c r="C152" s="51"/>
      <c r="D152" s="51"/>
      <c r="E152" s="27"/>
      <c r="F152" s="27"/>
      <c r="G152" s="27"/>
      <c r="H152" s="52"/>
      <c r="I152" s="27"/>
      <c r="J152" s="27"/>
      <c r="K152" s="87"/>
      <c r="L152" s="97"/>
      <c r="M152" s="54"/>
      <c r="N152" s="59"/>
      <c r="O152" s="56"/>
      <c r="P152" s="59"/>
      <c r="Q152" s="59"/>
      <c r="R152" s="59"/>
      <c r="S152" s="57"/>
      <c r="T152" s="57"/>
      <c r="U152" s="57"/>
      <c r="V152" s="57"/>
      <c r="W152" s="58"/>
    </row>
    <row r="153" spans="2:24" s="2" customFormat="1" ht="15" x14ac:dyDescent="0.25">
      <c r="B153" s="31"/>
      <c r="C153" s="113" t="s">
        <v>98</v>
      </c>
      <c r="D153" s="113"/>
      <c r="E153" s="31"/>
      <c r="F153" s="31"/>
      <c r="G153" s="31"/>
      <c r="H153" s="20"/>
      <c r="I153" s="31"/>
      <c r="J153" s="31"/>
      <c r="L153" s="47"/>
      <c r="M153" s="47"/>
      <c r="N153" s="47"/>
      <c r="O153" s="48"/>
      <c r="P153" s="47"/>
      <c r="Q153" s="47"/>
      <c r="R153" s="47"/>
      <c r="S153" s="49"/>
      <c r="T153" s="49"/>
      <c r="U153" s="49"/>
      <c r="V153" s="49"/>
      <c r="W153" s="50"/>
    </row>
    <row r="154" spans="2:24" s="2" customFormat="1" ht="15" x14ac:dyDescent="0.25">
      <c r="B154" s="31" t="s">
        <v>87</v>
      </c>
      <c r="D154" s="2" t="s">
        <v>99</v>
      </c>
      <c r="E154" s="31">
        <v>2011</v>
      </c>
      <c r="F154" s="31">
        <v>12</v>
      </c>
      <c r="G154" s="31">
        <v>31</v>
      </c>
      <c r="H154" s="94">
        <v>0</v>
      </c>
      <c r="I154" s="31" t="s">
        <v>46</v>
      </c>
      <c r="J154" s="31">
        <v>5</v>
      </c>
      <c r="K154" s="2">
        <f>+E154+J154</f>
        <v>2016</v>
      </c>
      <c r="L154" s="91">
        <v>1354</v>
      </c>
      <c r="M154" s="91">
        <f>L154/J154/12</f>
        <v>22.566666666666666</v>
      </c>
      <c r="N154" s="91">
        <f>IF(U154&lt;=T154,0,L154/J154)</f>
        <v>0</v>
      </c>
      <c r="O154" s="48">
        <v>1</v>
      </c>
      <c r="P154" s="91">
        <f>IF(S154&gt;T154,0,IF(U154&lt;V154,L154,IF((AND((U154&gt;=V154),(U154&lt;=T154))),(L154-N154),IF((AND((V154&lt;=S154),(T154&gt;=S154))),0,IF(U154&gt;T154,((V154-S154)*12)*M154,0)))))</f>
        <v>1354</v>
      </c>
      <c r="Q154" s="91">
        <f>P154+N154</f>
        <v>1354</v>
      </c>
      <c r="R154" s="91">
        <f>+L154-Q154</f>
        <v>0</v>
      </c>
      <c r="S154" s="49">
        <f t="shared" ref="S154:S159" si="103">$E154+(($F154-1)/12)</f>
        <v>2011.9166666666667</v>
      </c>
      <c r="T154" s="49">
        <f>($M$7+1)-($M$4/12)</f>
        <v>2024</v>
      </c>
      <c r="U154" s="49">
        <f t="shared" ref="U154:U159" si="104">$K154+(($F154-1)/12)</f>
        <v>2016.9166666666667</v>
      </c>
      <c r="V154" s="49">
        <f>$M$6+($M$5/12)</f>
        <v>2023</v>
      </c>
      <c r="W154" s="50"/>
    </row>
    <row r="155" spans="2:24" s="2" customFormat="1" ht="15" x14ac:dyDescent="0.25">
      <c r="B155" s="31" t="s">
        <v>87</v>
      </c>
      <c r="D155" s="2" t="s">
        <v>99</v>
      </c>
      <c r="E155" s="31">
        <v>2012</v>
      </c>
      <c r="F155" s="31">
        <v>8</v>
      </c>
      <c r="G155" s="31">
        <v>6</v>
      </c>
      <c r="H155" s="94">
        <v>0</v>
      </c>
      <c r="I155" s="31" t="s">
        <v>46</v>
      </c>
      <c r="J155" s="31">
        <v>5</v>
      </c>
      <c r="K155" s="2">
        <f>+E155+J155</f>
        <v>2017</v>
      </c>
      <c r="L155" s="91">
        <v>1083</v>
      </c>
      <c r="M155" s="91">
        <f>L155/J155/12</f>
        <v>18.05</v>
      </c>
      <c r="N155" s="91">
        <f>IF(U155&lt;=T155,0,L155/J155)</f>
        <v>0</v>
      </c>
      <c r="O155" s="48">
        <v>1</v>
      </c>
      <c r="P155" s="91">
        <f>IF(S155&gt;T155,0,IF(U155&lt;V155,L155,IF((AND((U155&gt;=V155),(U155&lt;=T155))),(L155-N155),IF((AND((V155&lt;=S155),(T155&gt;=S155))),0,IF(U155&gt;T155,((V155-S155)*12)*M155,0)))))</f>
        <v>1083</v>
      </c>
      <c r="Q155" s="91">
        <f>P155+N155</f>
        <v>1083</v>
      </c>
      <c r="R155" s="91">
        <f>+L155-Q155</f>
        <v>0</v>
      </c>
      <c r="S155" s="49">
        <f t="shared" si="103"/>
        <v>2012.5833333333333</v>
      </c>
      <c r="T155" s="49">
        <f>($M$7+1)-($M$4/12)</f>
        <v>2024</v>
      </c>
      <c r="U155" s="49">
        <f t="shared" si="104"/>
        <v>2017.5833333333333</v>
      </c>
      <c r="V155" s="49">
        <f>$M$6+($M$5/12)</f>
        <v>2023</v>
      </c>
      <c r="W155" s="50"/>
    </row>
    <row r="156" spans="2:24" s="2" customFormat="1" ht="15" x14ac:dyDescent="0.25">
      <c r="B156" s="31" t="s">
        <v>87</v>
      </c>
      <c r="D156" s="2" t="s">
        <v>100</v>
      </c>
      <c r="E156" s="31">
        <v>2014</v>
      </c>
      <c r="F156" s="31">
        <v>12</v>
      </c>
      <c r="G156" s="31">
        <v>31</v>
      </c>
      <c r="H156" s="94">
        <v>0</v>
      </c>
      <c r="I156" s="31" t="s">
        <v>46</v>
      </c>
      <c r="J156" s="31">
        <v>5</v>
      </c>
      <c r="K156" s="2">
        <f>+E156+J156</f>
        <v>2019</v>
      </c>
      <c r="L156" s="91">
        <v>2500</v>
      </c>
      <c r="M156" s="91">
        <f>L156/J156/12</f>
        <v>41.666666666666664</v>
      </c>
      <c r="N156" s="91">
        <f>IF(U156&lt;=T156,0,L156/J156)</f>
        <v>0</v>
      </c>
      <c r="O156" s="48">
        <v>1</v>
      </c>
      <c r="P156" s="91">
        <f>IF(S156&gt;T156,0,IF(U156&lt;V156,L156,IF((AND((U156&gt;=V156),(U156&lt;=T156))),(L156-N156),IF((AND((V156&lt;=S156),(T156&gt;=S156))),0,IF(U156&gt;T156,((V156-S156)*12)*M156,0)))))</f>
        <v>2500</v>
      </c>
      <c r="Q156" s="91">
        <f>P156+N156</f>
        <v>2500</v>
      </c>
      <c r="R156" s="91">
        <f>+L156-Q156</f>
        <v>0</v>
      </c>
      <c r="S156" s="49">
        <f t="shared" si="103"/>
        <v>2014.9166666666667</v>
      </c>
      <c r="T156" s="49">
        <f>($M$7+1)-($M$4/12)</f>
        <v>2024</v>
      </c>
      <c r="U156" s="49">
        <f t="shared" si="104"/>
        <v>2019.9166666666667</v>
      </c>
      <c r="V156" s="49">
        <f>$M$6+($M$5/12)</f>
        <v>2023</v>
      </c>
      <c r="W156" s="50"/>
    </row>
    <row r="157" spans="2:24" s="2" customFormat="1" ht="15" x14ac:dyDescent="0.25">
      <c r="B157" s="31" t="s">
        <v>87</v>
      </c>
      <c r="D157" s="2" t="s">
        <v>101</v>
      </c>
      <c r="E157" s="31">
        <v>2020</v>
      </c>
      <c r="F157" s="31">
        <v>3</v>
      </c>
      <c r="G157" s="31">
        <v>4</v>
      </c>
      <c r="H157" s="94">
        <v>0</v>
      </c>
      <c r="I157" s="31" t="s">
        <v>46</v>
      </c>
      <c r="J157" s="31">
        <v>20</v>
      </c>
      <c r="K157" s="2">
        <f>+E157+J157</f>
        <v>2040</v>
      </c>
      <c r="L157" s="91">
        <v>769</v>
      </c>
      <c r="M157" s="91">
        <f>L157/J157/12</f>
        <v>3.2041666666666671</v>
      </c>
      <c r="N157" s="91">
        <f>IF(U157&lt;=T157,0,L157/J157)</f>
        <v>38.450000000000003</v>
      </c>
      <c r="O157" s="48">
        <v>1</v>
      </c>
      <c r="P157" s="91">
        <f>IF(S157&gt;T157,0,IF(U157&lt;V157,L157,IF((AND((U157&gt;=V157),(U157&lt;=T157))),(L157-N157),IF((AND((V157&lt;=S157),(T157&gt;=S157))),0,IF(U157&gt;T157,((V157-S157)*12)*M157,0)))))</f>
        <v>108.94166666666376</v>
      </c>
      <c r="Q157" s="91">
        <f>P157+N157</f>
        <v>147.39166666666375</v>
      </c>
      <c r="R157" s="91">
        <f>+L157-Q157</f>
        <v>621.6083333333363</v>
      </c>
      <c r="S157" s="49">
        <f t="shared" si="103"/>
        <v>2020.1666666666667</v>
      </c>
      <c r="T157" s="49">
        <f t="shared" si="40"/>
        <v>2024</v>
      </c>
      <c r="U157" s="49">
        <f t="shared" si="104"/>
        <v>2040.1666666666667</v>
      </c>
      <c r="V157" s="49">
        <f t="shared" si="42"/>
        <v>2023</v>
      </c>
      <c r="W157" s="50"/>
      <c r="X157" s="119"/>
    </row>
    <row r="158" spans="2:24" s="2" customFormat="1" ht="15" x14ac:dyDescent="0.25">
      <c r="B158" s="31" t="s">
        <v>87</v>
      </c>
      <c r="D158" s="2" t="s">
        <v>102</v>
      </c>
      <c r="E158" s="31">
        <v>2023</v>
      </c>
      <c r="F158" s="31">
        <v>3</v>
      </c>
      <c r="G158" s="31">
        <v>16</v>
      </c>
      <c r="H158" s="94">
        <v>0</v>
      </c>
      <c r="I158" s="31" t="s">
        <v>46</v>
      </c>
      <c r="J158" s="31">
        <v>5</v>
      </c>
      <c r="K158" s="2">
        <f>+E158+J158</f>
        <v>2028</v>
      </c>
      <c r="L158" s="91">
        <v>606</v>
      </c>
      <c r="M158" s="91">
        <f>L158/J158/12</f>
        <v>10.1</v>
      </c>
      <c r="N158" s="91">
        <f>IF(U158&lt;=T158,0,L158/J158)</f>
        <v>121.2</v>
      </c>
      <c r="O158" s="48">
        <v>1</v>
      </c>
      <c r="P158" s="91">
        <f>IF(S158&gt;T158,0,IF(U158&lt;V158,L158,IF((AND((U158&gt;=V158),(U158&lt;=T158))),(L158-N158),IF((AND((V158&lt;=S158),(T158&gt;=S158))),0,IF(U158&gt;T158,((V158-S158)*12)*M158,0)))))</f>
        <v>0</v>
      </c>
      <c r="Q158" s="91">
        <f>P158+N158</f>
        <v>121.2</v>
      </c>
      <c r="R158" s="91">
        <f>+L158-Q158</f>
        <v>484.8</v>
      </c>
      <c r="S158" s="49">
        <f t="shared" si="103"/>
        <v>2023.1666666666667</v>
      </c>
      <c r="T158" s="49">
        <f>($M$7+1)-($M$4/12)</f>
        <v>2024</v>
      </c>
      <c r="U158" s="49">
        <f t="shared" si="104"/>
        <v>2028.1666666666667</v>
      </c>
      <c r="V158" s="49">
        <f>$M$6+($M$5/12)</f>
        <v>2023</v>
      </c>
      <c r="W158" s="50"/>
    </row>
    <row r="159" spans="2:24" s="2" customFormat="1" ht="15" x14ac:dyDescent="0.25">
      <c r="B159" s="31" t="s">
        <v>87</v>
      </c>
      <c r="D159" s="2" t="s">
        <v>103</v>
      </c>
      <c r="E159" s="31">
        <v>2023</v>
      </c>
      <c r="F159" s="31">
        <v>3</v>
      </c>
      <c r="G159" s="31">
        <v>28</v>
      </c>
      <c r="H159" s="94">
        <v>0</v>
      </c>
      <c r="I159" s="31" t="s">
        <v>46</v>
      </c>
      <c r="J159" s="31">
        <v>5</v>
      </c>
      <c r="K159" s="2">
        <f t="shared" ref="K159" si="105">+E159+J159</f>
        <v>2028</v>
      </c>
      <c r="L159" s="91">
        <v>4569</v>
      </c>
      <c r="M159" s="91">
        <f t="shared" ref="M159" si="106">L159/J159/12</f>
        <v>76.149999999999991</v>
      </c>
      <c r="N159" s="91">
        <f t="shared" ref="N159" si="107">IF(U159&lt;=T159,0,L159/J159)</f>
        <v>913.8</v>
      </c>
      <c r="O159" s="48">
        <v>1</v>
      </c>
      <c r="P159" s="91">
        <f t="shared" ref="P159" si="108">IF(S159&gt;T159,0,IF(U159&lt;V159,L159,IF((AND((U159&gt;=V159),(U159&lt;=T159))),(L159-N159),IF((AND((V159&lt;=S159),(T159&gt;=S159))),0,IF(U159&gt;T159,((V159-S159)*12)*M159,0)))))</f>
        <v>0</v>
      </c>
      <c r="Q159" s="91">
        <f t="shared" ref="Q159" si="109">P159+N159</f>
        <v>913.8</v>
      </c>
      <c r="R159" s="91">
        <f t="shared" ref="R159" si="110">+L159-Q159</f>
        <v>3655.2</v>
      </c>
      <c r="S159" s="49">
        <f t="shared" si="103"/>
        <v>2023.1666666666667</v>
      </c>
      <c r="T159" s="49">
        <f>($M$7+1)-($M$4/12)</f>
        <v>2024</v>
      </c>
      <c r="U159" s="49">
        <f t="shared" si="104"/>
        <v>2028.1666666666667</v>
      </c>
      <c r="V159" s="49">
        <f>$M$6+($M$5/12)</f>
        <v>2023</v>
      </c>
      <c r="W159" s="50"/>
    </row>
    <row r="160" spans="2:24" s="2" customFormat="1" ht="15" x14ac:dyDescent="0.25">
      <c r="B160" s="31"/>
      <c r="E160" s="31"/>
      <c r="F160" s="31"/>
      <c r="G160" s="31"/>
      <c r="H160" s="20"/>
      <c r="I160" s="31"/>
      <c r="J160" s="31"/>
      <c r="L160" s="47"/>
      <c r="M160" s="47"/>
      <c r="N160" s="47"/>
      <c r="O160" s="48"/>
      <c r="P160" s="47"/>
      <c r="Q160" s="47"/>
      <c r="R160" s="47"/>
      <c r="S160" s="49"/>
      <c r="T160" s="49"/>
      <c r="U160" s="49"/>
      <c r="V160" s="49"/>
      <c r="W160" s="50"/>
    </row>
    <row r="161" spans="2:23" s="53" customFormat="1" ht="15" x14ac:dyDescent="0.25">
      <c r="B161" s="27"/>
      <c r="C161" s="114" t="s">
        <v>104</v>
      </c>
      <c r="D161" s="114"/>
      <c r="E161" s="27"/>
      <c r="F161" s="27"/>
      <c r="G161" s="27"/>
      <c r="H161" s="52"/>
      <c r="I161" s="27"/>
      <c r="J161" s="27"/>
      <c r="L161" s="55">
        <f>SUM(L154:L160)</f>
        <v>10881</v>
      </c>
      <c r="M161" s="54"/>
      <c r="N161" s="55">
        <f>SUM(N154:N160)</f>
        <v>1073.45</v>
      </c>
      <c r="O161" s="56"/>
      <c r="P161" s="55">
        <f>SUM(P154:P160)</f>
        <v>5045.9416666666639</v>
      </c>
      <c r="Q161" s="55">
        <f>SUM(Q154:Q160)</f>
        <v>6119.3916666666637</v>
      </c>
      <c r="R161" s="55">
        <f>SUM(R154:R160)</f>
        <v>4761.6083333333363</v>
      </c>
      <c r="S161" s="57"/>
      <c r="T161" s="57"/>
      <c r="U161" s="57"/>
      <c r="V161" s="57"/>
      <c r="W161" s="58"/>
    </row>
    <row r="162" spans="2:23" s="2" customFormat="1" ht="15" x14ac:dyDescent="0.25">
      <c r="B162" s="31"/>
      <c r="E162" s="31"/>
      <c r="F162" s="31"/>
      <c r="G162" s="31"/>
      <c r="H162" s="20"/>
      <c r="I162" s="31"/>
      <c r="J162" s="31"/>
      <c r="K162" s="87"/>
      <c r="L162" s="97"/>
      <c r="M162" s="47"/>
      <c r="N162" s="47"/>
      <c r="O162" s="48"/>
      <c r="P162" s="47"/>
      <c r="Q162" s="47"/>
      <c r="R162" s="47"/>
      <c r="S162" s="49"/>
      <c r="T162" s="49"/>
      <c r="U162" s="49"/>
      <c r="V162" s="49"/>
      <c r="W162" s="50"/>
    </row>
    <row r="163" spans="2:23" s="2" customFormat="1" ht="15" x14ac:dyDescent="0.25">
      <c r="B163" s="31"/>
      <c r="E163" s="31"/>
      <c r="F163" s="31"/>
      <c r="G163" s="31"/>
      <c r="H163" s="20"/>
      <c r="I163" s="31"/>
      <c r="J163" s="31"/>
      <c r="K163" s="87"/>
      <c r="L163" s="97"/>
      <c r="M163" s="47"/>
      <c r="N163" s="47"/>
      <c r="O163" s="48"/>
      <c r="P163" s="47"/>
      <c r="Q163" s="47"/>
      <c r="R163" s="47"/>
      <c r="S163" s="49"/>
      <c r="T163" s="49"/>
      <c r="U163" s="49"/>
      <c r="V163" s="49"/>
      <c r="W163" s="50"/>
    </row>
    <row r="164" spans="2:23" s="2" customFormat="1" ht="15" x14ac:dyDescent="0.25">
      <c r="B164" s="31"/>
      <c r="C164" s="113" t="s">
        <v>70</v>
      </c>
      <c r="D164" s="113"/>
      <c r="E164" s="31"/>
      <c r="F164" s="31"/>
      <c r="G164" s="31"/>
      <c r="H164" s="20"/>
      <c r="I164" s="31"/>
      <c r="J164" s="31"/>
      <c r="L164" s="47"/>
      <c r="M164" s="47"/>
      <c r="N164" s="47"/>
      <c r="O164" s="48"/>
      <c r="P164" s="47"/>
      <c r="Q164" s="47"/>
      <c r="R164" s="47"/>
      <c r="S164" s="49"/>
      <c r="T164" s="49"/>
      <c r="U164" s="49"/>
      <c r="V164" s="49"/>
      <c r="W164" s="50"/>
    </row>
    <row r="165" spans="2:23" s="79" customFormat="1" ht="15" x14ac:dyDescent="0.25">
      <c r="B165" s="80" t="s">
        <v>87</v>
      </c>
      <c r="D165" s="79" t="s">
        <v>105</v>
      </c>
      <c r="E165" s="80">
        <v>2017</v>
      </c>
      <c r="F165" s="80">
        <v>4</v>
      </c>
      <c r="G165" s="80">
        <v>7</v>
      </c>
      <c r="H165" s="81">
        <v>0</v>
      </c>
      <c r="I165" s="80" t="s">
        <v>46</v>
      </c>
      <c r="J165" s="80">
        <v>7</v>
      </c>
      <c r="K165" s="79">
        <f>+E165+J165</f>
        <v>2024</v>
      </c>
      <c r="L165" s="60">
        <v>11076</v>
      </c>
      <c r="M165" s="60">
        <f>L165/J165/12</f>
        <v>131.85714285714286</v>
      </c>
      <c r="N165" s="60">
        <f>IF(U165&lt;=T165,0,L165/J165)</f>
        <v>1582.2857142857142</v>
      </c>
      <c r="O165" s="82">
        <v>1</v>
      </c>
      <c r="P165" s="60">
        <f>IF(S165&gt;T165,0,IF(U165&lt;V165,L165,IF((AND((U165&gt;=V165),(U165&lt;=T165))),(L165-N165),IF((AND((V165&lt;=S165),(T165&gt;=S165))),0,IF(U165&gt;T165,((V165-S165)*12)*M165,0)))))</f>
        <v>9098.1428571428569</v>
      </c>
      <c r="Q165" s="60">
        <f>P165+N165</f>
        <v>10680.428571428571</v>
      </c>
      <c r="R165" s="60">
        <f>+L165-Q165</f>
        <v>395.57142857142935</v>
      </c>
      <c r="S165" s="83">
        <f>$E165+(($F165-1)/12)</f>
        <v>2017.25</v>
      </c>
      <c r="T165" s="83">
        <f t="shared" ref="T165:T168" si="111">($M$7+1)-($M$4/12)</f>
        <v>2024</v>
      </c>
      <c r="U165" s="83">
        <f>$K165+(($F165-1)/12)</f>
        <v>2024.25</v>
      </c>
      <c r="V165" s="83">
        <f t="shared" ref="V165:V168" si="112">$M$6+($M$5/12)</f>
        <v>2023</v>
      </c>
      <c r="W165" s="84"/>
    </row>
    <row r="166" spans="2:23" s="2" customFormat="1" ht="15" x14ac:dyDescent="0.25">
      <c r="B166" s="31" t="s">
        <v>87</v>
      </c>
      <c r="D166" s="2" t="s">
        <v>106</v>
      </c>
      <c r="E166" s="31">
        <v>2018</v>
      </c>
      <c r="F166" s="31">
        <v>1</v>
      </c>
      <c r="G166" s="31">
        <v>10</v>
      </c>
      <c r="H166" s="94">
        <v>0</v>
      </c>
      <c r="I166" s="31" t="s">
        <v>46</v>
      </c>
      <c r="J166" s="31">
        <v>7</v>
      </c>
      <c r="K166" s="2">
        <f>+E166+J166</f>
        <v>2025</v>
      </c>
      <c r="L166" s="91">
        <v>40946.93</v>
      </c>
      <c r="M166" s="91">
        <f>L166/J166/12</f>
        <v>487.46345238095233</v>
      </c>
      <c r="N166" s="91">
        <f>IF(U166&lt;=T166,0,L166/J166)</f>
        <v>5849.5614285714282</v>
      </c>
      <c r="O166" s="48">
        <v>1</v>
      </c>
      <c r="P166" s="91">
        <f>IF(S166&gt;T166,0,IF(U166&lt;V166,L166,IF((AND((U166&gt;=V166),(U166&lt;=T166))),(L166-N166),IF((AND((V166&lt;=S166),(T166&gt;=S166))),0,IF(U166&gt;T166,((V166-S166)*12)*M166,0)))))</f>
        <v>29247.807142857138</v>
      </c>
      <c r="Q166" s="91">
        <f>P166+N166</f>
        <v>35097.368571428568</v>
      </c>
      <c r="R166" s="91">
        <f>+L166-Q166</f>
        <v>5849.5614285714328</v>
      </c>
      <c r="S166" s="49">
        <f>$E166+(($F166-1)/12)</f>
        <v>2018</v>
      </c>
      <c r="T166" s="49">
        <f t="shared" si="111"/>
        <v>2024</v>
      </c>
      <c r="U166" s="49">
        <f>$K166+(($F166-1)/12)</f>
        <v>2025</v>
      </c>
      <c r="V166" s="49">
        <f t="shared" si="112"/>
        <v>2023</v>
      </c>
      <c r="W166" s="50"/>
    </row>
    <row r="167" spans="2:23" s="2" customFormat="1" ht="15" x14ac:dyDescent="0.25">
      <c r="B167" s="31" t="s">
        <v>87</v>
      </c>
      <c r="D167" s="2" t="s">
        <v>107</v>
      </c>
      <c r="E167" s="31">
        <v>2019</v>
      </c>
      <c r="F167" s="31">
        <v>12</v>
      </c>
      <c r="G167" s="31">
        <v>31</v>
      </c>
      <c r="H167" s="94">
        <v>0</v>
      </c>
      <c r="I167" s="31" t="s">
        <v>46</v>
      </c>
      <c r="J167" s="31">
        <v>7</v>
      </c>
      <c r="K167" s="2">
        <f>+E167+J167</f>
        <v>2026</v>
      </c>
      <c r="L167" s="91">
        <v>36991</v>
      </c>
      <c r="M167" s="91">
        <f>L167/J167/12</f>
        <v>440.36904761904765</v>
      </c>
      <c r="N167" s="91">
        <f>IF(U167&lt;=T167,0,L167/J167)</f>
        <v>5284.4285714285716</v>
      </c>
      <c r="O167" s="48">
        <v>1</v>
      </c>
      <c r="P167" s="91">
        <f>IF(S167&gt;T167,0,IF(U167&lt;V167,L167,IF((AND((U167&gt;=V167),(U167&lt;=T167))),(L167-N167),IF((AND((V167&lt;=S167),(T167&gt;=S167))),0,IF(U167&gt;T167,((V167-S167)*12)*M167,0)))))</f>
        <v>16293.654761904363</v>
      </c>
      <c r="Q167" s="91">
        <f>P167+N167</f>
        <v>21578.083333332936</v>
      </c>
      <c r="R167" s="91">
        <f>+L167-Q167</f>
        <v>15412.916666667064</v>
      </c>
      <c r="S167" s="49">
        <f>$E167+(($F167-1)/12)</f>
        <v>2019.9166666666667</v>
      </c>
      <c r="T167" s="49">
        <f t="shared" si="111"/>
        <v>2024</v>
      </c>
      <c r="U167" s="49">
        <f>$K167+(($F167-1)/12)</f>
        <v>2026.9166666666667</v>
      </c>
      <c r="V167" s="49">
        <f t="shared" si="112"/>
        <v>2023</v>
      </c>
      <c r="W167" s="50"/>
    </row>
    <row r="168" spans="2:23" s="2" customFormat="1" ht="15" x14ac:dyDescent="0.25">
      <c r="B168" s="31" t="s">
        <v>87</v>
      </c>
      <c r="D168" s="2" t="s">
        <v>108</v>
      </c>
      <c r="E168" s="31">
        <v>2020</v>
      </c>
      <c r="F168" s="31">
        <v>6</v>
      </c>
      <c r="G168" s="31">
        <v>6</v>
      </c>
      <c r="H168" s="94">
        <v>0</v>
      </c>
      <c r="I168" s="31" t="s">
        <v>46</v>
      </c>
      <c r="J168" s="31">
        <v>7</v>
      </c>
      <c r="K168" s="2">
        <f>+E168+J168</f>
        <v>2027</v>
      </c>
      <c r="L168" s="91">
        <v>72839</v>
      </c>
      <c r="M168" s="91">
        <f>L168/J168/12</f>
        <v>867.13095238095241</v>
      </c>
      <c r="N168" s="91">
        <f>IF(U168&lt;=T168,0,L168/J168)</f>
        <v>10405.571428571429</v>
      </c>
      <c r="O168" s="48">
        <v>1</v>
      </c>
      <c r="P168" s="91">
        <f>IF(S168&gt;T168,0,IF(U168&lt;V168,L168,IF((AND((U168&gt;=V168),(U168&lt;=T168))),(L168-N168),IF((AND((V168&lt;=S168),(T168&gt;=S168))),0,IF(U168&gt;T168,((V168-S168)*12)*M168,0)))))</f>
        <v>26881.059523808737</v>
      </c>
      <c r="Q168" s="91">
        <f>P168+N168</f>
        <v>37286.630952380168</v>
      </c>
      <c r="R168" s="91">
        <f>+L168-Q168</f>
        <v>35552.369047619832</v>
      </c>
      <c r="S168" s="49">
        <f>$E168+(($F168-1)/12)</f>
        <v>2020.4166666666667</v>
      </c>
      <c r="T168" s="49">
        <f t="shared" si="111"/>
        <v>2024</v>
      </c>
      <c r="U168" s="49">
        <f>$K168+(($F168-1)/12)</f>
        <v>2027.4166666666667</v>
      </c>
      <c r="V168" s="49">
        <f t="shared" si="112"/>
        <v>2023</v>
      </c>
      <c r="W168" s="50"/>
    </row>
    <row r="169" spans="2:23" s="2" customFormat="1" ht="15" x14ac:dyDescent="0.25">
      <c r="B169" s="31"/>
      <c r="E169" s="31"/>
      <c r="F169" s="31"/>
      <c r="G169" s="31"/>
      <c r="H169" s="20"/>
      <c r="I169" s="31"/>
      <c r="J169" s="31"/>
      <c r="L169" s="47"/>
      <c r="M169" s="47"/>
      <c r="N169" s="47"/>
      <c r="O169" s="48"/>
      <c r="P169" s="47"/>
      <c r="Q169" s="47"/>
      <c r="R169" s="47"/>
      <c r="S169" s="49"/>
      <c r="T169" s="49"/>
      <c r="U169" s="49"/>
      <c r="V169" s="49"/>
      <c r="W169" s="50"/>
    </row>
    <row r="170" spans="2:23" s="53" customFormat="1" ht="15" x14ac:dyDescent="0.25">
      <c r="B170" s="27"/>
      <c r="C170" s="114" t="s">
        <v>72</v>
      </c>
      <c r="D170" s="114"/>
      <c r="E170" s="27"/>
      <c r="F170" s="27"/>
      <c r="G170" s="27"/>
      <c r="H170" s="52"/>
      <c r="I170" s="27"/>
      <c r="J170" s="27"/>
      <c r="L170" s="55">
        <f>SUM(L165:L169)</f>
        <v>161852.93</v>
      </c>
      <c r="M170" s="54"/>
      <c r="N170" s="55">
        <f>SUM(N165:N169)</f>
        <v>23121.847142857143</v>
      </c>
      <c r="O170" s="56"/>
      <c r="P170" s="55">
        <f>SUM(P165:P169)</f>
        <v>81520.664285713094</v>
      </c>
      <c r="Q170" s="55">
        <f>SUM(Q165:Q169)</f>
        <v>104642.51142857023</v>
      </c>
      <c r="R170" s="55">
        <f>SUM(R165:R169)</f>
        <v>57210.418571429756</v>
      </c>
      <c r="S170" s="57"/>
      <c r="T170" s="57"/>
      <c r="U170" s="57"/>
      <c r="V170" s="57"/>
      <c r="W170" s="58"/>
    </row>
    <row r="171" spans="2:23" s="53" customFormat="1" ht="15" x14ac:dyDescent="0.25">
      <c r="B171" s="27"/>
      <c r="C171" s="51"/>
      <c r="D171" s="51"/>
      <c r="E171" s="27"/>
      <c r="F171" s="27"/>
      <c r="G171" s="27"/>
      <c r="H171" s="52"/>
      <c r="I171" s="27"/>
      <c r="J171" s="27"/>
      <c r="L171" s="59"/>
      <c r="M171" s="54"/>
      <c r="N171" s="59"/>
      <c r="O171" s="56"/>
      <c r="P171" s="59"/>
      <c r="Q171" s="59"/>
      <c r="R171" s="59"/>
      <c r="S171" s="57"/>
      <c r="T171" s="57"/>
      <c r="U171" s="57"/>
      <c r="V171" s="57"/>
      <c r="W171" s="58"/>
    </row>
    <row r="172" spans="2:23" s="72" customFormat="1" ht="15" x14ac:dyDescent="0.25">
      <c r="B172" s="70"/>
      <c r="C172" s="112" t="s">
        <v>109</v>
      </c>
      <c r="D172" s="112"/>
      <c r="E172" s="70"/>
      <c r="F172" s="70"/>
      <c r="G172" s="70"/>
      <c r="H172" s="71"/>
      <c r="I172" s="70"/>
      <c r="J172" s="70"/>
      <c r="L172" s="73">
        <f>SUM(L128,L135,L144,L150,L161,L170)</f>
        <v>785361.92999999993</v>
      </c>
      <c r="M172" s="74"/>
      <c r="N172" s="73">
        <f>SUM(N128,N135,N144,N150,N161,N170)</f>
        <v>49586.580476190473</v>
      </c>
      <c r="O172" s="75"/>
      <c r="P172" s="73">
        <f>SUM(P128,P135,P144,P150,P161,P170)</f>
        <v>124984.88373015731</v>
      </c>
      <c r="Q172" s="73">
        <f>SUM(Q128,Q135,Q144,Q150,Q161,Q170)</f>
        <v>174571.46420634777</v>
      </c>
      <c r="R172" s="73">
        <f>SUM(R128,R135,R144,R150,R161,R170)</f>
        <v>610790.46579365211</v>
      </c>
      <c r="S172" s="76"/>
      <c r="T172" s="76"/>
      <c r="U172" s="76"/>
      <c r="V172" s="76"/>
      <c r="W172" s="77"/>
    </row>
    <row r="173" spans="2:23" s="2" customFormat="1" ht="15" x14ac:dyDescent="0.25">
      <c r="B173" s="31"/>
      <c r="E173" s="31"/>
      <c r="F173" s="31"/>
      <c r="G173" s="31"/>
      <c r="H173" s="20"/>
      <c r="I173" s="31"/>
      <c r="J173" s="31"/>
      <c r="L173" s="47"/>
      <c r="M173" s="47"/>
      <c r="N173" s="47"/>
      <c r="O173" s="48"/>
      <c r="P173" s="47"/>
      <c r="Q173" s="47"/>
      <c r="R173" s="47"/>
      <c r="S173" s="49"/>
      <c r="T173" s="49"/>
      <c r="U173" s="49"/>
      <c r="V173" s="49"/>
      <c r="W173" s="50"/>
    </row>
    <row r="174" spans="2:23" s="53" customFormat="1" ht="15" x14ac:dyDescent="0.25">
      <c r="B174" s="27"/>
      <c r="C174" s="113" t="s">
        <v>110</v>
      </c>
      <c r="D174" s="113"/>
      <c r="E174" s="27"/>
      <c r="F174" s="27"/>
      <c r="G174" s="27"/>
      <c r="H174" s="52"/>
      <c r="I174" s="27"/>
      <c r="J174" s="27"/>
      <c r="L174" s="55">
        <f>SUM(L83,L119,L172)</f>
        <v>5443941.4199999999</v>
      </c>
      <c r="P174" s="55">
        <f>SUM(P83,P119,P172)</f>
        <v>1101566.2242837315</v>
      </c>
      <c r="Q174" s="55">
        <f>SUM(Q83,Q119,Q172)</f>
        <v>1315783.5950694459</v>
      </c>
      <c r="R174" s="55">
        <f>SUM(R83,R119,R172)</f>
        <v>4128157.8249305538</v>
      </c>
      <c r="S174" s="85"/>
      <c r="T174" s="57"/>
      <c r="U174" s="57"/>
      <c r="V174" s="57"/>
      <c r="W174" s="58"/>
    </row>
    <row r="175" spans="2:23" s="2" customFormat="1" ht="15" x14ac:dyDescent="0.25">
      <c r="B175" s="31"/>
      <c r="E175" s="31"/>
      <c r="F175" s="31"/>
      <c r="G175" s="31"/>
      <c r="H175" s="20"/>
      <c r="I175" s="31"/>
      <c r="J175" s="31"/>
      <c r="K175" s="68"/>
      <c r="L175" s="47"/>
      <c r="M175" s="54"/>
      <c r="N175" s="55">
        <f>SUM(N83,N119,N172)</f>
        <v>214217.3707857143</v>
      </c>
      <c r="O175" s="56"/>
      <c r="P175" s="47"/>
      <c r="Q175" s="47"/>
      <c r="R175" s="47"/>
      <c r="S175" s="49"/>
      <c r="T175" s="49"/>
      <c r="U175" s="49"/>
      <c r="V175" s="49"/>
      <c r="W175" s="50"/>
    </row>
    <row r="176" spans="2:23" s="2" customFormat="1" ht="15" x14ac:dyDescent="0.25">
      <c r="B176" s="31"/>
      <c r="E176" s="31"/>
      <c r="F176" s="31"/>
      <c r="G176" s="31"/>
      <c r="H176" s="20"/>
      <c r="I176" s="31"/>
      <c r="J176" s="31"/>
      <c r="K176" s="68"/>
      <c r="L176" s="47"/>
      <c r="N176" s="111" t="s">
        <v>117</v>
      </c>
      <c r="O176" s="111"/>
      <c r="P176" s="47"/>
      <c r="Q176" s="47"/>
      <c r="R176" s="47"/>
      <c r="S176" s="49"/>
      <c r="T176" s="49"/>
      <c r="U176" s="49"/>
      <c r="V176" s="49"/>
      <c r="W176" s="50"/>
    </row>
    <row r="177" spans="2:22" s="2" customFormat="1" ht="15" x14ac:dyDescent="0.25">
      <c r="B177" s="31"/>
      <c r="H177" s="20"/>
      <c r="L177" s="88"/>
      <c r="S177" s="11"/>
      <c r="T177" s="11"/>
      <c r="U177" s="11"/>
      <c r="V177" s="11"/>
    </row>
    <row r="178" spans="2:22" s="2" customFormat="1" ht="15" x14ac:dyDescent="0.25">
      <c r="B178" s="31"/>
      <c r="H178" s="20"/>
      <c r="L178" s="88"/>
      <c r="S178" s="11"/>
      <c r="T178" s="11"/>
      <c r="U178" s="11"/>
      <c r="V178" s="11"/>
    </row>
    <row r="179" spans="2:22" s="2" customFormat="1" ht="15" x14ac:dyDescent="0.25">
      <c r="B179" s="31"/>
      <c r="H179" s="20"/>
      <c r="L179" s="68"/>
      <c r="N179" s="99"/>
      <c r="O179" s="109"/>
      <c r="S179" s="11"/>
      <c r="T179" s="11"/>
      <c r="U179" s="11"/>
      <c r="V179" s="11"/>
    </row>
    <row r="180" spans="2:22" s="2" customFormat="1" ht="15" x14ac:dyDescent="0.25">
      <c r="B180" s="31"/>
      <c r="H180" s="20"/>
      <c r="L180" s="88"/>
      <c r="S180" s="11"/>
      <c r="T180" s="11"/>
      <c r="U180" s="11"/>
      <c r="V180" s="11"/>
    </row>
    <row r="181" spans="2:22" s="2" customFormat="1" ht="15" x14ac:dyDescent="0.25">
      <c r="B181" s="31"/>
      <c r="H181" s="20"/>
      <c r="S181" s="11"/>
      <c r="T181" s="11"/>
      <c r="U181" s="11"/>
      <c r="V181" s="11"/>
    </row>
    <row r="182" spans="2:22" s="2" customFormat="1" ht="15" x14ac:dyDescent="0.25">
      <c r="B182" s="31"/>
      <c r="H182" s="20"/>
      <c r="S182" s="11"/>
      <c r="T182" s="11"/>
      <c r="U182" s="11"/>
      <c r="V182" s="11"/>
    </row>
    <row r="183" spans="2:22" s="2" customFormat="1" ht="15" x14ac:dyDescent="0.25">
      <c r="B183" s="31"/>
      <c r="H183" s="20"/>
      <c r="S183" s="11"/>
      <c r="T183" s="11"/>
      <c r="U183" s="11"/>
      <c r="V183" s="11"/>
    </row>
    <row r="184" spans="2:22" s="2" customFormat="1" ht="15" x14ac:dyDescent="0.25">
      <c r="B184" s="31"/>
      <c r="H184" s="20"/>
      <c r="S184" s="11"/>
      <c r="T184" s="11"/>
      <c r="U184" s="11"/>
      <c r="V184" s="11"/>
    </row>
    <row r="185" spans="2:22" s="2" customFormat="1" ht="15" x14ac:dyDescent="0.25">
      <c r="B185" s="31"/>
      <c r="H185" s="20"/>
      <c r="S185" s="11"/>
      <c r="T185" s="11"/>
      <c r="U185" s="11"/>
      <c r="V185" s="11"/>
    </row>
    <row r="186" spans="2:22" s="2" customFormat="1" ht="15" x14ac:dyDescent="0.25">
      <c r="B186" s="31"/>
      <c r="H186" s="20"/>
      <c r="S186" s="11"/>
      <c r="T186" s="11"/>
      <c r="U186" s="11"/>
      <c r="V186" s="11"/>
    </row>
  </sheetData>
  <mergeCells count="47">
    <mergeCell ref="C174:D174"/>
    <mergeCell ref="C144:D144"/>
    <mergeCell ref="C153:D153"/>
    <mergeCell ref="C161:D161"/>
    <mergeCell ref="C164:D164"/>
    <mergeCell ref="C170:D170"/>
    <mergeCell ref="C172:D172"/>
    <mergeCell ref="C147:D147"/>
    <mergeCell ref="C150:D150"/>
    <mergeCell ref="C138:D138"/>
    <mergeCell ref="C103:D103"/>
    <mergeCell ref="C106:D106"/>
    <mergeCell ref="C111:D111"/>
    <mergeCell ref="C114:D114"/>
    <mergeCell ref="C117:D117"/>
    <mergeCell ref="C119:D119"/>
    <mergeCell ref="C122:D122"/>
    <mergeCell ref="C124:D124"/>
    <mergeCell ref="C128:D128"/>
    <mergeCell ref="C131:D131"/>
    <mergeCell ref="C135:D135"/>
    <mergeCell ref="C99:D99"/>
    <mergeCell ref="C42:D42"/>
    <mergeCell ref="C47:D47"/>
    <mergeCell ref="C50:D50"/>
    <mergeCell ref="C69:D69"/>
    <mergeCell ref="C72:D72"/>
    <mergeCell ref="C75:D75"/>
    <mergeCell ref="C81:D81"/>
    <mergeCell ref="C83:D83"/>
    <mergeCell ref="C86:D86"/>
    <mergeCell ref="C88:D88"/>
    <mergeCell ref="C96:D96"/>
    <mergeCell ref="C77:D77"/>
    <mergeCell ref="C39:D39"/>
    <mergeCell ref="B1:R1"/>
    <mergeCell ref="U4:V4"/>
    <mergeCell ref="U5:V5"/>
    <mergeCell ref="U6:V6"/>
    <mergeCell ref="U7:V7"/>
    <mergeCell ref="C13:D13"/>
    <mergeCell ref="C15:D15"/>
    <mergeCell ref="C18:D18"/>
    <mergeCell ref="C20:D20"/>
    <mergeCell ref="C30:D30"/>
    <mergeCell ref="C33:D33"/>
    <mergeCell ref="B2:R2"/>
  </mergeCells>
  <phoneticPr fontId="27" type="noConversion"/>
  <pageMargins left="0.7" right="0.7" top="1" bottom="0.75" header="0.25" footer="0.3"/>
  <pageSetup scale="66" fitToHeight="0" orientation="landscape" r:id="rId1"/>
  <headerFooter scaleWithDoc="0">
    <oddHeader>&amp;L&amp;"-,Bold"Summit View Water Works LLC
TYE 12/31/23&amp;R&amp;"-,Bold"Exhibit AML-02
Schedule 2.0
Pg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AFE4-F453-4539-9067-3589ADEE1F8B}">
  <sheetPr>
    <pageSetUpPr fitToPage="1"/>
  </sheetPr>
  <dimension ref="B1:X47"/>
  <sheetViews>
    <sheetView workbookViewId="0">
      <selection activeCell="B1" sqref="B1:R1"/>
    </sheetView>
  </sheetViews>
  <sheetFormatPr defaultColWidth="9.140625" defaultRowHeight="12" x14ac:dyDescent="0.2"/>
  <cols>
    <col min="1" max="1" width="2.7109375" style="22" customWidth="1"/>
    <col min="2" max="2" width="10.28515625" style="17" bestFit="1" customWidth="1"/>
    <col min="3" max="3" width="9.140625" style="22" bestFit="1" customWidth="1"/>
    <col min="4" max="4" width="16.42578125" style="22" bestFit="1" customWidth="1"/>
    <col min="5" max="5" width="10.42578125" style="22" bestFit="1" customWidth="1"/>
    <col min="6" max="6" width="4.28515625" style="22" bestFit="1" customWidth="1"/>
    <col min="7" max="7" width="4.42578125" style="22" bestFit="1" customWidth="1"/>
    <col min="8" max="8" width="7.85546875" style="89" bestFit="1" customWidth="1"/>
    <col min="9" max="9" width="7.85546875" style="22" bestFit="1" customWidth="1"/>
    <col min="10" max="10" width="4.42578125" style="22" bestFit="1" customWidth="1"/>
    <col min="11" max="11" width="12.140625" style="22" bestFit="1" customWidth="1"/>
    <col min="12" max="12" width="10.5703125" style="22" bestFit="1" customWidth="1"/>
    <col min="13" max="13" width="12.7109375" style="22" bestFit="1" customWidth="1"/>
    <col min="14" max="14" width="16.42578125" style="22" bestFit="1" customWidth="1"/>
    <col min="15" max="15" width="5.5703125" style="22" bestFit="1" customWidth="1"/>
    <col min="16" max="17" width="12.7109375" style="22" bestFit="1" customWidth="1"/>
    <col min="18" max="18" width="11.28515625" style="22" bestFit="1" customWidth="1"/>
    <col min="19" max="22" width="6.5703125" style="11" bestFit="1" customWidth="1"/>
    <col min="23" max="23" width="2.7109375" style="22" customWidth="1"/>
    <col min="24" max="24" width="28.85546875" style="22" bestFit="1" customWidth="1"/>
    <col min="25" max="16384" width="9.140625" style="22"/>
  </cols>
  <sheetData>
    <row r="1" spans="2:23" s="2" customFormat="1" ht="15.75" x14ac:dyDescent="0.25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"/>
      <c r="T1" s="1"/>
      <c r="U1" s="1"/>
      <c r="V1" s="1"/>
      <c r="W1" s="1"/>
    </row>
    <row r="2" spans="2:23" s="2" customFormat="1" ht="15.75" x14ac:dyDescent="0.25">
      <c r="B2" s="116" t="s">
        <v>118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"/>
      <c r="T2" s="1"/>
      <c r="U2" s="1"/>
      <c r="V2" s="1"/>
      <c r="W2" s="1"/>
    </row>
    <row r="3" spans="2:23" s="2" customFormat="1" ht="1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</row>
    <row r="4" spans="2:23" s="11" customFormat="1" x14ac:dyDescent="0.2">
      <c r="B4" s="4"/>
      <c r="C4" s="4"/>
      <c r="D4" s="4"/>
      <c r="E4" s="5"/>
      <c r="F4" s="5"/>
      <c r="G4" s="5"/>
      <c r="H4" s="6"/>
      <c r="I4" s="5"/>
      <c r="J4" s="5"/>
      <c r="K4" s="5"/>
      <c r="L4" s="5"/>
      <c r="M4" s="7">
        <v>12</v>
      </c>
      <c r="N4" s="8" t="s">
        <v>1</v>
      </c>
      <c r="O4" s="9"/>
      <c r="P4" s="9"/>
      <c r="Q4" s="9"/>
      <c r="R4" s="9"/>
      <c r="S4" s="9"/>
      <c r="T4" s="10" t="s">
        <v>2</v>
      </c>
      <c r="U4" s="117" t="s">
        <v>3</v>
      </c>
      <c r="V4" s="117"/>
      <c r="W4" s="10"/>
    </row>
    <row r="5" spans="2:23" s="11" customFormat="1" x14ac:dyDescent="0.2">
      <c r="B5" s="12"/>
      <c r="D5" s="9"/>
      <c r="E5" s="13"/>
      <c r="F5" s="13"/>
      <c r="G5" s="13"/>
      <c r="H5" s="14"/>
      <c r="I5" s="13"/>
      <c r="J5" s="9"/>
      <c r="K5" s="9"/>
      <c r="L5" s="9"/>
      <c r="M5" s="7">
        <v>0</v>
      </c>
      <c r="N5" s="8" t="s">
        <v>4</v>
      </c>
      <c r="O5" s="9"/>
      <c r="P5" s="9"/>
      <c r="Q5" s="9"/>
      <c r="R5" s="9"/>
      <c r="S5" s="9"/>
      <c r="T5" s="10" t="s">
        <v>5</v>
      </c>
      <c r="U5" s="117" t="s">
        <v>6</v>
      </c>
      <c r="V5" s="117"/>
      <c r="W5" s="10"/>
    </row>
    <row r="6" spans="2:23" s="11" customFormat="1" x14ac:dyDescent="0.2">
      <c r="D6" s="15"/>
      <c r="E6" s="13"/>
      <c r="F6" s="13"/>
      <c r="G6" s="13"/>
      <c r="H6" s="14"/>
      <c r="I6" s="13"/>
      <c r="J6" s="9"/>
      <c r="K6" s="9"/>
      <c r="L6" s="9"/>
      <c r="M6" s="16">
        <v>2023</v>
      </c>
      <c r="N6" s="8" t="s">
        <v>7</v>
      </c>
      <c r="O6" s="9"/>
      <c r="P6" s="9"/>
      <c r="Q6" s="9"/>
      <c r="R6" s="9"/>
      <c r="S6" s="9"/>
      <c r="T6" s="10" t="s">
        <v>8</v>
      </c>
      <c r="U6" s="117" t="s">
        <v>9</v>
      </c>
      <c r="V6" s="117"/>
      <c r="W6" s="10"/>
    </row>
    <row r="7" spans="2:23" s="11" customFormat="1" x14ac:dyDescent="0.2">
      <c r="B7" s="12"/>
      <c r="D7" s="9"/>
      <c r="E7" s="13"/>
      <c r="F7" s="13"/>
      <c r="G7" s="13"/>
      <c r="H7" s="14"/>
      <c r="I7" s="13"/>
      <c r="J7" s="9"/>
      <c r="K7" s="9"/>
      <c r="L7" s="9"/>
      <c r="M7" s="16">
        <v>2024</v>
      </c>
      <c r="N7" s="8" t="s">
        <v>10</v>
      </c>
      <c r="O7" s="9"/>
      <c r="P7" s="9"/>
      <c r="Q7" s="9"/>
      <c r="R7" s="9"/>
      <c r="S7" s="9"/>
      <c r="T7" s="10" t="s">
        <v>11</v>
      </c>
      <c r="U7" s="117" t="s">
        <v>12</v>
      </c>
      <c r="V7" s="117"/>
      <c r="W7" s="10"/>
    </row>
    <row r="8" spans="2:23" ht="15" x14ac:dyDescent="0.25">
      <c r="C8" s="2"/>
      <c r="D8" s="1"/>
      <c r="E8" s="19"/>
      <c r="F8" s="19"/>
      <c r="G8" s="19"/>
      <c r="H8" s="20"/>
      <c r="I8" s="19"/>
      <c r="J8" s="1"/>
      <c r="K8" s="1"/>
      <c r="L8" s="1"/>
      <c r="M8" s="1"/>
      <c r="N8" s="1"/>
      <c r="O8" s="1"/>
      <c r="P8" s="18" t="s">
        <v>13</v>
      </c>
      <c r="Q8" s="18" t="s">
        <v>14</v>
      </c>
      <c r="R8" s="1"/>
      <c r="S8" s="9"/>
      <c r="T8" s="9"/>
      <c r="U8" s="10"/>
      <c r="V8" s="10"/>
      <c r="W8" s="21"/>
    </row>
    <row r="9" spans="2:23" ht="15" x14ac:dyDescent="0.25">
      <c r="C9" s="2"/>
      <c r="D9" s="23"/>
      <c r="E9" s="24" t="s">
        <v>15</v>
      </c>
      <c r="F9" s="24"/>
      <c r="G9" s="24"/>
      <c r="H9" s="25" t="s">
        <v>16</v>
      </c>
      <c r="I9" s="18"/>
      <c r="J9" s="23"/>
      <c r="K9" s="18" t="s">
        <v>17</v>
      </c>
      <c r="L9" s="23"/>
      <c r="M9" s="23"/>
      <c r="N9" s="23"/>
      <c r="O9" s="23"/>
      <c r="P9" s="18" t="s">
        <v>18</v>
      </c>
      <c r="Q9" s="18" t="s">
        <v>18</v>
      </c>
      <c r="R9" s="23"/>
      <c r="S9" s="9"/>
      <c r="T9" s="9"/>
      <c r="U9" s="9"/>
      <c r="V9" s="9"/>
      <c r="W9" s="1"/>
    </row>
    <row r="10" spans="2:23" ht="15" x14ac:dyDescent="0.25">
      <c r="B10" s="26" t="s">
        <v>19</v>
      </c>
      <c r="C10" s="27" t="s">
        <v>20</v>
      </c>
      <c r="D10" s="23"/>
      <c r="E10" s="28" t="s">
        <v>21</v>
      </c>
      <c r="F10" s="18"/>
      <c r="G10" s="18"/>
      <c r="H10" s="25" t="s">
        <v>22</v>
      </c>
      <c r="I10" s="18" t="s">
        <v>23</v>
      </c>
      <c r="J10" s="18" t="s">
        <v>24</v>
      </c>
      <c r="K10" s="18" t="s">
        <v>25</v>
      </c>
      <c r="L10" s="18" t="s">
        <v>20</v>
      </c>
      <c r="M10" s="18" t="s">
        <v>26</v>
      </c>
      <c r="N10" s="18" t="s">
        <v>27</v>
      </c>
      <c r="O10" s="18" t="s">
        <v>28</v>
      </c>
      <c r="P10" s="18" t="s">
        <v>29</v>
      </c>
      <c r="Q10" s="18" t="s">
        <v>29</v>
      </c>
      <c r="R10" s="18" t="s">
        <v>30</v>
      </c>
      <c r="S10" s="13"/>
      <c r="T10" s="13"/>
      <c r="U10" s="13"/>
      <c r="V10" s="9"/>
      <c r="W10" s="1"/>
    </row>
    <row r="11" spans="2:23" ht="15" x14ac:dyDescent="0.25">
      <c r="B11" s="26" t="s">
        <v>31</v>
      </c>
      <c r="C11" s="27" t="s">
        <v>32</v>
      </c>
      <c r="D11" s="18" t="s">
        <v>33</v>
      </c>
      <c r="E11" s="18" t="s">
        <v>17</v>
      </c>
      <c r="F11" s="18" t="s">
        <v>34</v>
      </c>
      <c r="G11" s="18" t="s">
        <v>35</v>
      </c>
      <c r="H11" s="25" t="s">
        <v>28</v>
      </c>
      <c r="I11" s="18"/>
      <c r="J11" s="18"/>
      <c r="K11" s="18" t="s">
        <v>36</v>
      </c>
      <c r="L11" s="18" t="s">
        <v>37</v>
      </c>
      <c r="M11" s="18" t="s">
        <v>29</v>
      </c>
      <c r="N11" s="18" t="s">
        <v>29</v>
      </c>
      <c r="O11" s="18" t="s">
        <v>38</v>
      </c>
      <c r="P11" s="29">
        <v>44927</v>
      </c>
      <c r="Q11" s="30">
        <v>45291</v>
      </c>
      <c r="R11" s="18" t="s">
        <v>39</v>
      </c>
      <c r="S11" s="13" t="s">
        <v>2</v>
      </c>
      <c r="T11" s="13" t="s">
        <v>40</v>
      </c>
      <c r="U11" s="13" t="s">
        <v>41</v>
      </c>
      <c r="V11" s="13" t="s">
        <v>11</v>
      </c>
      <c r="W11" s="19"/>
    </row>
    <row r="12" spans="2:23" s="2" customFormat="1" ht="15" x14ac:dyDescent="0.25">
      <c r="B12" s="31"/>
      <c r="D12" s="32"/>
      <c r="E12" s="33"/>
      <c r="F12" s="19"/>
      <c r="G12" s="19"/>
      <c r="H12" s="20"/>
      <c r="I12" s="19"/>
      <c r="J12" s="1"/>
      <c r="K12" s="34"/>
      <c r="L12" s="1"/>
      <c r="M12" s="1"/>
      <c r="N12" s="1"/>
      <c r="O12" s="1"/>
      <c r="P12" s="1"/>
      <c r="Q12" s="1"/>
      <c r="R12" s="1"/>
      <c r="S12" s="9"/>
      <c r="T12" s="9"/>
      <c r="U12" s="9"/>
      <c r="V12" s="35"/>
      <c r="W12" s="36"/>
    </row>
    <row r="13" spans="2:23" s="72" customFormat="1" ht="15" x14ac:dyDescent="0.25">
      <c r="B13" s="70"/>
      <c r="C13" s="112" t="s">
        <v>118</v>
      </c>
      <c r="D13" s="112"/>
      <c r="E13" s="70"/>
      <c r="F13" s="70"/>
      <c r="G13" s="70"/>
      <c r="H13" s="71"/>
      <c r="I13" s="70"/>
      <c r="J13" s="70"/>
      <c r="L13" s="78"/>
      <c r="M13" s="74"/>
      <c r="N13" s="78"/>
      <c r="O13" s="75"/>
      <c r="P13" s="78"/>
      <c r="Q13" s="78"/>
      <c r="R13" s="78"/>
      <c r="S13" s="76"/>
      <c r="T13" s="76"/>
      <c r="U13" s="76"/>
      <c r="V13" s="76"/>
      <c r="W13" s="77"/>
    </row>
    <row r="14" spans="2:23" s="2" customFormat="1" ht="15" x14ac:dyDescent="0.25">
      <c r="B14" s="31"/>
      <c r="E14" s="31"/>
      <c r="F14" s="31"/>
      <c r="G14" s="31"/>
      <c r="H14" s="20"/>
      <c r="I14" s="31"/>
      <c r="J14" s="31"/>
      <c r="L14" s="47"/>
      <c r="M14" s="47"/>
      <c r="N14" s="47"/>
      <c r="O14" s="48"/>
      <c r="P14" s="47"/>
      <c r="Q14" s="47"/>
      <c r="R14" s="47"/>
      <c r="S14" s="49"/>
      <c r="T14" s="49"/>
      <c r="U14" s="49"/>
      <c r="V14" s="49"/>
      <c r="W14" s="50"/>
    </row>
    <row r="15" spans="2:23" s="2" customFormat="1" ht="15" x14ac:dyDescent="0.25">
      <c r="B15" s="31"/>
      <c r="C15" s="113" t="s">
        <v>119</v>
      </c>
      <c r="D15" s="113"/>
      <c r="E15" s="31"/>
      <c r="F15" s="31"/>
      <c r="G15" s="31"/>
      <c r="H15" s="20"/>
      <c r="I15" s="31"/>
      <c r="J15" s="31"/>
      <c r="L15" s="47"/>
      <c r="M15" s="47"/>
      <c r="N15" s="47"/>
      <c r="O15" s="48"/>
      <c r="P15" s="47"/>
      <c r="Q15" s="47"/>
      <c r="R15" s="47"/>
      <c r="S15" s="49"/>
      <c r="T15" s="49"/>
      <c r="U15" s="49"/>
      <c r="V15" s="49"/>
      <c r="W15" s="50"/>
    </row>
    <row r="16" spans="2:23" s="2" customFormat="1" ht="15" x14ac:dyDescent="0.25">
      <c r="B16" s="31" t="s">
        <v>44</v>
      </c>
      <c r="D16" s="2" t="s">
        <v>120</v>
      </c>
      <c r="E16" s="31">
        <v>2009</v>
      </c>
      <c r="F16" s="31">
        <v>6</v>
      </c>
      <c r="G16" s="31">
        <v>30</v>
      </c>
      <c r="H16" s="20">
        <v>0</v>
      </c>
      <c r="I16" s="31" t="s">
        <v>46</v>
      </c>
      <c r="J16" s="31">
        <v>20</v>
      </c>
      <c r="K16" s="2">
        <f t="shared" ref="K16:K31" si="0">+E16+J16</f>
        <v>2029</v>
      </c>
      <c r="L16" s="47">
        <v>40500</v>
      </c>
      <c r="M16" s="47">
        <f t="shared" ref="M16:M31" si="1">L16/J16/12</f>
        <v>168.75</v>
      </c>
      <c r="N16" s="47">
        <f t="shared" ref="N16:N28" si="2">IF(U16&lt;=T16,0,L16/J16)</f>
        <v>2025</v>
      </c>
      <c r="O16" s="48">
        <v>1</v>
      </c>
      <c r="P16" s="47">
        <f t="shared" ref="P16:P31" si="3">IF(S16&gt;T16,0,IF(U16&lt;V16,L16,IF((AND((U16&gt;=V16),(U16&lt;=T16))),(L16-N16),IF((AND((V16&lt;=S16),(T16&gt;=S16))),0,IF(U16&gt;T16,((V16-S16)*12)*M16,0)))))</f>
        <v>27506.249999999847</v>
      </c>
      <c r="Q16" s="47">
        <f t="shared" ref="Q16:Q31" si="4">P16+N16</f>
        <v>29531.249999999847</v>
      </c>
      <c r="R16" s="47">
        <f t="shared" ref="R16:R31" si="5">+L16-Q16</f>
        <v>10968.750000000153</v>
      </c>
      <c r="S16" s="49">
        <f t="shared" ref="S16:S40" si="6">$E16+(($F16-1)/12)</f>
        <v>2009.4166666666667</v>
      </c>
      <c r="T16" s="49">
        <f t="shared" ref="T16:T40" si="7">($M$7+1)-($M$4/12)</f>
        <v>2024</v>
      </c>
      <c r="U16" s="49">
        <f t="shared" ref="U16:U40" si="8">$K16+(($F16-1)/12)</f>
        <v>2029.4166666666667</v>
      </c>
      <c r="V16" s="49">
        <f t="shared" ref="V16:V40" si="9">$M$6+($M$5/12)</f>
        <v>2023</v>
      </c>
      <c r="W16" s="50"/>
    </row>
    <row r="17" spans="2:24" s="2" customFormat="1" ht="15" x14ac:dyDescent="0.25">
      <c r="B17" s="31" t="s">
        <v>44</v>
      </c>
      <c r="D17" s="2" t="s">
        <v>121</v>
      </c>
      <c r="E17" s="31">
        <v>2010</v>
      </c>
      <c r="F17" s="31">
        <v>6</v>
      </c>
      <c r="G17" s="31">
        <v>30</v>
      </c>
      <c r="H17" s="20">
        <v>0</v>
      </c>
      <c r="I17" s="31" t="s">
        <v>46</v>
      </c>
      <c r="J17" s="31">
        <v>20</v>
      </c>
      <c r="K17" s="2">
        <f t="shared" si="0"/>
        <v>2030</v>
      </c>
      <c r="L17" s="47">
        <v>36000</v>
      </c>
      <c r="M17" s="47">
        <f t="shared" si="1"/>
        <v>150</v>
      </c>
      <c r="N17" s="47">
        <f t="shared" si="2"/>
        <v>1800</v>
      </c>
      <c r="O17" s="48">
        <v>1</v>
      </c>
      <c r="P17" s="47">
        <f t="shared" si="3"/>
        <v>22649.999999999862</v>
      </c>
      <c r="Q17" s="47">
        <f t="shared" si="4"/>
        <v>24449.999999999862</v>
      </c>
      <c r="R17" s="47">
        <f t="shared" si="5"/>
        <v>11550.000000000138</v>
      </c>
      <c r="S17" s="49">
        <f t="shared" si="6"/>
        <v>2010.4166666666667</v>
      </c>
      <c r="T17" s="49">
        <f t="shared" si="7"/>
        <v>2024</v>
      </c>
      <c r="U17" s="49">
        <f t="shared" si="8"/>
        <v>2030.4166666666667</v>
      </c>
      <c r="V17" s="49">
        <f t="shared" si="9"/>
        <v>2023</v>
      </c>
      <c r="W17" s="50"/>
    </row>
    <row r="18" spans="2:24" s="2" customFormat="1" ht="15" x14ac:dyDescent="0.25">
      <c r="B18" s="31" t="s">
        <v>44</v>
      </c>
      <c r="D18" s="2" t="s">
        <v>122</v>
      </c>
      <c r="E18" s="31">
        <v>2011</v>
      </c>
      <c r="F18" s="31">
        <v>6</v>
      </c>
      <c r="G18" s="31">
        <v>30</v>
      </c>
      <c r="H18" s="20">
        <v>0</v>
      </c>
      <c r="I18" s="31" t="s">
        <v>46</v>
      </c>
      <c r="J18" s="31">
        <v>20</v>
      </c>
      <c r="K18" s="2">
        <f t="shared" si="0"/>
        <v>2031</v>
      </c>
      <c r="L18" s="47">
        <v>1500</v>
      </c>
      <c r="M18" s="47">
        <f t="shared" si="1"/>
        <v>6.25</v>
      </c>
      <c r="N18" s="47">
        <f t="shared" si="2"/>
        <v>75</v>
      </c>
      <c r="O18" s="48">
        <v>1</v>
      </c>
      <c r="P18" s="47">
        <f t="shared" si="3"/>
        <v>868.74999999999432</v>
      </c>
      <c r="Q18" s="47">
        <f t="shared" si="4"/>
        <v>943.74999999999432</v>
      </c>
      <c r="R18" s="47">
        <f t="shared" si="5"/>
        <v>556.25000000000568</v>
      </c>
      <c r="S18" s="49">
        <f t="shared" si="6"/>
        <v>2011.4166666666667</v>
      </c>
      <c r="T18" s="49">
        <f t="shared" si="7"/>
        <v>2024</v>
      </c>
      <c r="U18" s="49">
        <f t="shared" si="8"/>
        <v>2031.4166666666667</v>
      </c>
      <c r="V18" s="49">
        <f t="shared" si="9"/>
        <v>2023</v>
      </c>
      <c r="W18" s="50"/>
    </row>
    <row r="19" spans="2:24" s="2" customFormat="1" ht="15" x14ac:dyDescent="0.25">
      <c r="B19" s="31" t="s">
        <v>44</v>
      </c>
      <c r="D19" s="2" t="s">
        <v>123</v>
      </c>
      <c r="E19" s="31">
        <v>2012</v>
      </c>
      <c r="F19" s="31">
        <v>6</v>
      </c>
      <c r="G19" s="31">
        <v>30</v>
      </c>
      <c r="H19" s="20">
        <v>0</v>
      </c>
      <c r="I19" s="31" t="s">
        <v>46</v>
      </c>
      <c r="J19" s="31">
        <v>20</v>
      </c>
      <c r="K19" s="2">
        <f t="shared" si="0"/>
        <v>2032</v>
      </c>
      <c r="L19" s="47">
        <v>21010</v>
      </c>
      <c r="M19" s="47">
        <f t="shared" si="1"/>
        <v>87.541666666666671</v>
      </c>
      <c r="N19" s="47">
        <f t="shared" si="2"/>
        <v>1050.5</v>
      </c>
      <c r="O19" s="48">
        <v>1</v>
      </c>
      <c r="P19" s="47">
        <f t="shared" si="3"/>
        <v>11117.791666666588</v>
      </c>
      <c r="Q19" s="47">
        <f t="shared" si="4"/>
        <v>12168.291666666588</v>
      </c>
      <c r="R19" s="47">
        <f t="shared" si="5"/>
        <v>8841.7083333334122</v>
      </c>
      <c r="S19" s="49">
        <f t="shared" si="6"/>
        <v>2012.4166666666667</v>
      </c>
      <c r="T19" s="49">
        <f t="shared" si="7"/>
        <v>2024</v>
      </c>
      <c r="U19" s="49">
        <f t="shared" si="8"/>
        <v>2032.4166666666667</v>
      </c>
      <c r="V19" s="49">
        <f t="shared" si="9"/>
        <v>2023</v>
      </c>
      <c r="W19" s="50"/>
    </row>
    <row r="20" spans="2:24" s="2" customFormat="1" ht="15" x14ac:dyDescent="0.25">
      <c r="B20" s="31" t="s">
        <v>44</v>
      </c>
      <c r="D20" s="2" t="s">
        <v>124</v>
      </c>
      <c r="E20" s="31">
        <v>2012</v>
      </c>
      <c r="F20" s="31">
        <v>6</v>
      </c>
      <c r="G20" s="31">
        <v>30</v>
      </c>
      <c r="H20" s="20">
        <v>0</v>
      </c>
      <c r="I20" s="31" t="s">
        <v>46</v>
      </c>
      <c r="J20" s="31">
        <v>20</v>
      </c>
      <c r="K20" s="2">
        <f t="shared" si="0"/>
        <v>2032</v>
      </c>
      <c r="L20" s="47">
        <v>14020</v>
      </c>
      <c r="M20" s="47">
        <f t="shared" si="1"/>
        <v>58.416666666666664</v>
      </c>
      <c r="N20" s="47">
        <f t="shared" si="2"/>
        <v>701</v>
      </c>
      <c r="O20" s="48">
        <v>1</v>
      </c>
      <c r="P20" s="47">
        <f t="shared" si="3"/>
        <v>7418.9166666666133</v>
      </c>
      <c r="Q20" s="47">
        <f t="shared" si="4"/>
        <v>8119.9166666666133</v>
      </c>
      <c r="R20" s="47">
        <f t="shared" si="5"/>
        <v>5900.0833333333867</v>
      </c>
      <c r="S20" s="49">
        <f t="shared" si="6"/>
        <v>2012.4166666666667</v>
      </c>
      <c r="T20" s="49">
        <f t="shared" si="7"/>
        <v>2024</v>
      </c>
      <c r="U20" s="49">
        <f t="shared" si="8"/>
        <v>2032.4166666666667</v>
      </c>
      <c r="V20" s="49">
        <f t="shared" si="9"/>
        <v>2023</v>
      </c>
      <c r="W20" s="50"/>
    </row>
    <row r="21" spans="2:24" s="2" customFormat="1" ht="15" x14ac:dyDescent="0.25">
      <c r="B21" s="31" t="s">
        <v>44</v>
      </c>
      <c r="D21" s="2" t="s">
        <v>125</v>
      </c>
      <c r="E21" s="31">
        <v>2013</v>
      </c>
      <c r="F21" s="31">
        <v>6</v>
      </c>
      <c r="G21" s="31">
        <v>30</v>
      </c>
      <c r="H21" s="20">
        <v>0</v>
      </c>
      <c r="I21" s="31" t="s">
        <v>46</v>
      </c>
      <c r="J21" s="31">
        <v>20</v>
      </c>
      <c r="K21" s="2">
        <f t="shared" si="0"/>
        <v>2033</v>
      </c>
      <c r="L21" s="47">
        <v>21000</v>
      </c>
      <c r="M21" s="47">
        <f t="shared" si="1"/>
        <v>87.5</v>
      </c>
      <c r="N21" s="47">
        <f t="shared" si="2"/>
        <v>1050</v>
      </c>
      <c r="O21" s="48">
        <v>1</v>
      </c>
      <c r="P21" s="47">
        <f t="shared" si="3"/>
        <v>10062.49999999992</v>
      </c>
      <c r="Q21" s="47">
        <f t="shared" si="4"/>
        <v>11112.49999999992</v>
      </c>
      <c r="R21" s="47">
        <f t="shared" si="5"/>
        <v>9887.50000000008</v>
      </c>
      <c r="S21" s="49">
        <f t="shared" si="6"/>
        <v>2013.4166666666667</v>
      </c>
      <c r="T21" s="49">
        <f t="shared" si="7"/>
        <v>2024</v>
      </c>
      <c r="U21" s="49">
        <f t="shared" si="8"/>
        <v>2033.4166666666667</v>
      </c>
      <c r="V21" s="49">
        <f t="shared" si="9"/>
        <v>2023</v>
      </c>
      <c r="W21" s="50"/>
    </row>
    <row r="22" spans="2:24" s="2" customFormat="1" ht="15" x14ac:dyDescent="0.25">
      <c r="B22" s="31" t="s">
        <v>44</v>
      </c>
      <c r="D22" s="2" t="s">
        <v>126</v>
      </c>
      <c r="E22" s="31">
        <v>2013</v>
      </c>
      <c r="F22" s="31">
        <v>6</v>
      </c>
      <c r="G22" s="31">
        <v>30</v>
      </c>
      <c r="H22" s="20">
        <v>0</v>
      </c>
      <c r="I22" s="31" t="s">
        <v>46</v>
      </c>
      <c r="J22" s="31">
        <v>20</v>
      </c>
      <c r="K22" s="2">
        <f t="shared" si="0"/>
        <v>2033</v>
      </c>
      <c r="L22" s="47">
        <v>38246</v>
      </c>
      <c r="M22" s="47">
        <f t="shared" si="1"/>
        <v>159.35833333333332</v>
      </c>
      <c r="N22" s="47">
        <f t="shared" si="2"/>
        <v>1912.3</v>
      </c>
      <c r="O22" s="48">
        <v>1</v>
      </c>
      <c r="P22" s="47">
        <f t="shared" si="3"/>
        <v>18326.208333333187</v>
      </c>
      <c r="Q22" s="47">
        <f t="shared" si="4"/>
        <v>20238.508333333186</v>
      </c>
      <c r="R22" s="47">
        <f t="shared" si="5"/>
        <v>18007.491666666814</v>
      </c>
      <c r="S22" s="49">
        <f t="shared" si="6"/>
        <v>2013.4166666666667</v>
      </c>
      <c r="T22" s="49">
        <f t="shared" si="7"/>
        <v>2024</v>
      </c>
      <c r="U22" s="49">
        <f t="shared" si="8"/>
        <v>2033.4166666666667</v>
      </c>
      <c r="V22" s="49">
        <f t="shared" si="9"/>
        <v>2023</v>
      </c>
      <c r="W22" s="50"/>
    </row>
    <row r="23" spans="2:24" s="2" customFormat="1" ht="15" x14ac:dyDescent="0.25">
      <c r="B23" s="31" t="s">
        <v>44</v>
      </c>
      <c r="D23" s="2" t="s">
        <v>127</v>
      </c>
      <c r="E23" s="31">
        <v>2014</v>
      </c>
      <c r="F23" s="31">
        <v>6</v>
      </c>
      <c r="G23" s="31">
        <v>30</v>
      </c>
      <c r="H23" s="20">
        <v>0</v>
      </c>
      <c r="I23" s="31" t="s">
        <v>46</v>
      </c>
      <c r="J23" s="31">
        <v>20</v>
      </c>
      <c r="K23" s="2">
        <f t="shared" si="0"/>
        <v>2034</v>
      </c>
      <c r="L23" s="47">
        <v>41135</v>
      </c>
      <c r="M23" s="47">
        <f t="shared" si="1"/>
        <v>171.39583333333334</v>
      </c>
      <c r="N23" s="47">
        <f t="shared" si="2"/>
        <v>2056.75</v>
      </c>
      <c r="O23" s="48">
        <v>1</v>
      </c>
      <c r="P23" s="47">
        <f t="shared" si="3"/>
        <v>17653.770833333179</v>
      </c>
      <c r="Q23" s="47">
        <f t="shared" si="4"/>
        <v>19710.520833333179</v>
      </c>
      <c r="R23" s="47">
        <f t="shared" si="5"/>
        <v>21424.479166666821</v>
      </c>
      <c r="S23" s="49">
        <f t="shared" si="6"/>
        <v>2014.4166666666667</v>
      </c>
      <c r="T23" s="49">
        <f t="shared" si="7"/>
        <v>2024</v>
      </c>
      <c r="U23" s="49">
        <f t="shared" si="8"/>
        <v>2034.4166666666667</v>
      </c>
      <c r="V23" s="49">
        <f t="shared" si="9"/>
        <v>2023</v>
      </c>
      <c r="W23" s="50"/>
    </row>
    <row r="24" spans="2:24" s="2" customFormat="1" ht="15" x14ac:dyDescent="0.25">
      <c r="B24" s="31" t="s">
        <v>44</v>
      </c>
      <c r="D24" s="2" t="s">
        <v>128</v>
      </c>
      <c r="E24" s="31">
        <v>2014</v>
      </c>
      <c r="F24" s="31">
        <v>6</v>
      </c>
      <c r="G24" s="31">
        <v>30</v>
      </c>
      <c r="H24" s="20">
        <v>0</v>
      </c>
      <c r="I24" s="31" t="s">
        <v>46</v>
      </c>
      <c r="J24" s="31">
        <v>20</v>
      </c>
      <c r="K24" s="2">
        <f t="shared" si="0"/>
        <v>2034</v>
      </c>
      <c r="L24" s="47">
        <v>70126</v>
      </c>
      <c r="M24" s="47">
        <f t="shared" si="1"/>
        <v>292.19166666666666</v>
      </c>
      <c r="N24" s="47">
        <f t="shared" si="2"/>
        <v>3506.3</v>
      </c>
      <c r="O24" s="48">
        <v>1</v>
      </c>
      <c r="P24" s="47">
        <f t="shared" si="3"/>
        <v>30095.741666666399</v>
      </c>
      <c r="Q24" s="47">
        <f t="shared" si="4"/>
        <v>33602.041666666402</v>
      </c>
      <c r="R24" s="47">
        <f t="shared" si="5"/>
        <v>36523.958333333598</v>
      </c>
      <c r="S24" s="49">
        <f t="shared" si="6"/>
        <v>2014.4166666666667</v>
      </c>
      <c r="T24" s="49">
        <f t="shared" si="7"/>
        <v>2024</v>
      </c>
      <c r="U24" s="49">
        <f t="shared" si="8"/>
        <v>2034.4166666666667</v>
      </c>
      <c r="V24" s="49">
        <f t="shared" si="9"/>
        <v>2023</v>
      </c>
      <c r="W24" s="50"/>
    </row>
    <row r="25" spans="2:24" s="2" customFormat="1" ht="15" x14ac:dyDescent="0.25">
      <c r="B25" s="31" t="s">
        <v>44</v>
      </c>
      <c r="D25" s="2" t="s">
        <v>129</v>
      </c>
      <c r="E25" s="31">
        <v>2015</v>
      </c>
      <c r="F25" s="31">
        <v>6</v>
      </c>
      <c r="G25" s="31">
        <v>30</v>
      </c>
      <c r="H25" s="20">
        <v>0</v>
      </c>
      <c r="I25" s="31" t="s">
        <v>46</v>
      </c>
      <c r="J25" s="31">
        <v>20</v>
      </c>
      <c r="K25" s="2">
        <f t="shared" si="0"/>
        <v>2035</v>
      </c>
      <c r="L25" s="47">
        <v>117142</v>
      </c>
      <c r="M25" s="47">
        <f t="shared" si="1"/>
        <v>488.0916666666667</v>
      </c>
      <c r="N25" s="47">
        <f t="shared" si="2"/>
        <v>5857.1</v>
      </c>
      <c r="O25" s="48">
        <v>1</v>
      </c>
      <c r="P25" s="47">
        <f t="shared" si="3"/>
        <v>44416.341666666223</v>
      </c>
      <c r="Q25" s="47">
        <f t="shared" si="4"/>
        <v>50273.441666666222</v>
      </c>
      <c r="R25" s="47">
        <f t="shared" si="5"/>
        <v>66868.558333333785</v>
      </c>
      <c r="S25" s="49">
        <f t="shared" si="6"/>
        <v>2015.4166666666667</v>
      </c>
      <c r="T25" s="49">
        <f t="shared" si="7"/>
        <v>2024</v>
      </c>
      <c r="U25" s="49">
        <f t="shared" si="8"/>
        <v>2035.4166666666667</v>
      </c>
      <c r="V25" s="49">
        <f t="shared" si="9"/>
        <v>2023</v>
      </c>
      <c r="W25" s="50"/>
    </row>
    <row r="26" spans="2:24" s="2" customFormat="1" ht="15" x14ac:dyDescent="0.25">
      <c r="B26" s="31" t="s">
        <v>44</v>
      </c>
      <c r="D26" s="2" t="s">
        <v>130</v>
      </c>
      <c r="E26" s="31">
        <v>2015</v>
      </c>
      <c r="F26" s="31">
        <v>6</v>
      </c>
      <c r="G26" s="31">
        <v>30</v>
      </c>
      <c r="H26" s="20">
        <v>0</v>
      </c>
      <c r="I26" s="31" t="s">
        <v>46</v>
      </c>
      <c r="J26" s="31">
        <v>20</v>
      </c>
      <c r="K26" s="2">
        <f t="shared" si="0"/>
        <v>2035</v>
      </c>
      <c r="L26" s="47">
        <v>114265</v>
      </c>
      <c r="M26" s="47">
        <f t="shared" si="1"/>
        <v>476.10416666666669</v>
      </c>
      <c r="N26" s="47">
        <f t="shared" si="2"/>
        <v>5713.25</v>
      </c>
      <c r="O26" s="48">
        <v>1</v>
      </c>
      <c r="P26" s="47">
        <f t="shared" si="3"/>
        <v>43325.479166666235</v>
      </c>
      <c r="Q26" s="47">
        <f t="shared" si="4"/>
        <v>49038.729166666235</v>
      </c>
      <c r="R26" s="47">
        <f t="shared" si="5"/>
        <v>65226.270833333765</v>
      </c>
      <c r="S26" s="49">
        <f t="shared" si="6"/>
        <v>2015.4166666666667</v>
      </c>
      <c r="T26" s="49">
        <f t="shared" si="7"/>
        <v>2024</v>
      </c>
      <c r="U26" s="49">
        <f t="shared" si="8"/>
        <v>2035.4166666666667</v>
      </c>
      <c r="V26" s="49">
        <f t="shared" si="9"/>
        <v>2023</v>
      </c>
      <c r="W26" s="50"/>
    </row>
    <row r="27" spans="2:24" s="2" customFormat="1" ht="15" x14ac:dyDescent="0.25">
      <c r="B27" s="31" t="s">
        <v>44</v>
      </c>
      <c r="D27" s="2" t="s">
        <v>131</v>
      </c>
      <c r="E27" s="31">
        <v>2016</v>
      </c>
      <c r="F27" s="31">
        <v>6</v>
      </c>
      <c r="G27" s="31">
        <v>30</v>
      </c>
      <c r="H27" s="20">
        <v>0</v>
      </c>
      <c r="I27" s="31" t="s">
        <v>46</v>
      </c>
      <c r="J27" s="31">
        <v>20</v>
      </c>
      <c r="K27" s="2">
        <f t="shared" si="0"/>
        <v>2036</v>
      </c>
      <c r="L27" s="47">
        <v>120000</v>
      </c>
      <c r="M27" s="47">
        <f t="shared" si="1"/>
        <v>500</v>
      </c>
      <c r="N27" s="47">
        <f t="shared" si="2"/>
        <v>6000</v>
      </c>
      <c r="O27" s="48">
        <v>1</v>
      </c>
      <c r="P27" s="47">
        <f t="shared" si="3"/>
        <v>39499.999999999549</v>
      </c>
      <c r="Q27" s="47">
        <f t="shared" si="4"/>
        <v>45499.999999999549</v>
      </c>
      <c r="R27" s="47">
        <f t="shared" si="5"/>
        <v>74500.000000000451</v>
      </c>
      <c r="S27" s="49">
        <f t="shared" si="6"/>
        <v>2016.4166666666667</v>
      </c>
      <c r="T27" s="49">
        <f t="shared" si="7"/>
        <v>2024</v>
      </c>
      <c r="U27" s="49">
        <f t="shared" si="8"/>
        <v>2036.4166666666667</v>
      </c>
      <c r="V27" s="49">
        <f t="shared" si="9"/>
        <v>2023</v>
      </c>
      <c r="W27" s="50"/>
      <c r="X27" s="68"/>
    </row>
    <row r="28" spans="2:24" s="2" customFormat="1" ht="15" x14ac:dyDescent="0.25">
      <c r="B28" s="31" t="s">
        <v>44</v>
      </c>
      <c r="D28" s="2" t="s">
        <v>132</v>
      </c>
      <c r="E28" s="31">
        <v>2016</v>
      </c>
      <c r="F28" s="31">
        <v>6</v>
      </c>
      <c r="G28" s="31">
        <v>30</v>
      </c>
      <c r="H28" s="20">
        <v>0</v>
      </c>
      <c r="I28" s="31" t="s">
        <v>46</v>
      </c>
      <c r="J28" s="31">
        <v>20</v>
      </c>
      <c r="K28" s="2">
        <f t="shared" si="0"/>
        <v>2036</v>
      </c>
      <c r="L28" s="47">
        <v>104622</v>
      </c>
      <c r="M28" s="47">
        <f t="shared" si="1"/>
        <v>435.92500000000001</v>
      </c>
      <c r="N28" s="47">
        <f t="shared" si="2"/>
        <v>5231.1000000000004</v>
      </c>
      <c r="O28" s="48">
        <v>1</v>
      </c>
      <c r="P28" s="47">
        <f t="shared" si="3"/>
        <v>34438.074999999604</v>
      </c>
      <c r="Q28" s="47">
        <f t="shared" si="4"/>
        <v>39669.174999999603</v>
      </c>
      <c r="R28" s="47">
        <f t="shared" si="5"/>
        <v>64952.825000000397</v>
      </c>
      <c r="S28" s="49">
        <f t="shared" si="6"/>
        <v>2016.4166666666667</v>
      </c>
      <c r="T28" s="49">
        <f t="shared" si="7"/>
        <v>2024</v>
      </c>
      <c r="U28" s="49">
        <f t="shared" si="8"/>
        <v>2036.4166666666667</v>
      </c>
      <c r="V28" s="49">
        <f t="shared" si="9"/>
        <v>2023</v>
      </c>
      <c r="W28" s="50"/>
    </row>
    <row r="29" spans="2:24" s="2" customFormat="1" ht="15" x14ac:dyDescent="0.25">
      <c r="B29" s="31" t="s">
        <v>44</v>
      </c>
      <c r="D29" s="2" t="s">
        <v>133</v>
      </c>
      <c r="E29" s="31">
        <v>2018</v>
      </c>
      <c r="F29" s="31">
        <v>6</v>
      </c>
      <c r="G29" s="31">
        <v>30</v>
      </c>
      <c r="H29" s="20">
        <v>0</v>
      </c>
      <c r="I29" s="31" t="s">
        <v>46</v>
      </c>
      <c r="J29" s="31">
        <v>20</v>
      </c>
      <c r="K29" s="2">
        <f t="shared" si="0"/>
        <v>2038</v>
      </c>
      <c r="L29" s="47">
        <v>51000</v>
      </c>
      <c r="M29" s="47">
        <f t="shared" si="1"/>
        <v>212.5</v>
      </c>
      <c r="N29" s="47">
        <f>IF(U29&lt;=T29,0,L29/J29)</f>
        <v>2550</v>
      </c>
      <c r="O29" s="48">
        <v>1</v>
      </c>
      <c r="P29" s="47">
        <f t="shared" si="3"/>
        <v>11687.499999999807</v>
      </c>
      <c r="Q29" s="47">
        <f t="shared" si="4"/>
        <v>14237.499999999807</v>
      </c>
      <c r="R29" s="47">
        <f t="shared" si="5"/>
        <v>36762.500000000189</v>
      </c>
      <c r="S29" s="49">
        <f t="shared" si="6"/>
        <v>2018.4166666666667</v>
      </c>
      <c r="T29" s="49">
        <f t="shared" si="7"/>
        <v>2024</v>
      </c>
      <c r="U29" s="49">
        <f t="shared" si="8"/>
        <v>2038.4166666666667</v>
      </c>
      <c r="V29" s="49">
        <f t="shared" si="9"/>
        <v>2023</v>
      </c>
      <c r="W29" s="50"/>
    </row>
    <row r="30" spans="2:24" s="2" customFormat="1" ht="15" x14ac:dyDescent="0.25">
      <c r="B30" s="31" t="s">
        <v>44</v>
      </c>
      <c r="D30" s="2" t="s">
        <v>134</v>
      </c>
      <c r="E30" s="31">
        <v>2018</v>
      </c>
      <c r="F30" s="31">
        <v>6</v>
      </c>
      <c r="G30" s="31">
        <v>30</v>
      </c>
      <c r="H30" s="20">
        <v>0</v>
      </c>
      <c r="I30" s="31" t="s">
        <v>46</v>
      </c>
      <c r="J30" s="31">
        <v>20</v>
      </c>
      <c r="K30" s="2">
        <f t="shared" si="0"/>
        <v>2038</v>
      </c>
      <c r="L30" s="47">
        <v>40823</v>
      </c>
      <c r="M30" s="47">
        <f t="shared" si="1"/>
        <v>170.09583333333333</v>
      </c>
      <c r="N30" s="47">
        <f>IF(U30&lt;=T30,0,L30/J30)</f>
        <v>2041.15</v>
      </c>
      <c r="O30" s="48">
        <v>1</v>
      </c>
      <c r="P30" s="47">
        <f t="shared" si="3"/>
        <v>9355.2708333331793</v>
      </c>
      <c r="Q30" s="47">
        <f t="shared" si="4"/>
        <v>11396.420833333179</v>
      </c>
      <c r="R30" s="47">
        <f t="shared" si="5"/>
        <v>29426.579166666823</v>
      </c>
      <c r="S30" s="49">
        <f t="shared" si="6"/>
        <v>2018.4166666666667</v>
      </c>
      <c r="T30" s="49">
        <f t="shared" si="7"/>
        <v>2024</v>
      </c>
      <c r="U30" s="49">
        <f t="shared" si="8"/>
        <v>2038.4166666666667</v>
      </c>
      <c r="V30" s="49">
        <f t="shared" si="9"/>
        <v>2023</v>
      </c>
      <c r="W30" s="50"/>
    </row>
    <row r="31" spans="2:24" s="2" customFormat="1" ht="15" x14ac:dyDescent="0.25">
      <c r="B31" s="31" t="s">
        <v>44</v>
      </c>
      <c r="D31" s="2" t="s">
        <v>135</v>
      </c>
      <c r="E31" s="31">
        <v>2019</v>
      </c>
      <c r="F31" s="31">
        <v>6</v>
      </c>
      <c r="G31" s="31">
        <v>30</v>
      </c>
      <c r="H31" s="20">
        <v>0</v>
      </c>
      <c r="I31" s="31" t="s">
        <v>46</v>
      </c>
      <c r="J31" s="31">
        <v>20</v>
      </c>
      <c r="K31" s="2">
        <f t="shared" si="0"/>
        <v>2039</v>
      </c>
      <c r="L31" s="47">
        <v>9000</v>
      </c>
      <c r="M31" s="47">
        <f t="shared" si="1"/>
        <v>37.5</v>
      </c>
      <c r="N31" s="47">
        <f>IF(U31&lt;=T31,0,L31/J31)</f>
        <v>450</v>
      </c>
      <c r="O31" s="48">
        <v>1</v>
      </c>
      <c r="P31" s="47">
        <f t="shared" si="3"/>
        <v>1612.4999999999659</v>
      </c>
      <c r="Q31" s="47">
        <f t="shared" si="4"/>
        <v>2062.4999999999659</v>
      </c>
      <c r="R31" s="47">
        <f t="shared" si="5"/>
        <v>6937.5000000000346</v>
      </c>
      <c r="S31" s="49">
        <f t="shared" si="6"/>
        <v>2019.4166666666667</v>
      </c>
      <c r="T31" s="49">
        <f t="shared" si="7"/>
        <v>2024</v>
      </c>
      <c r="U31" s="49">
        <f t="shared" si="8"/>
        <v>2039.4166666666667</v>
      </c>
      <c r="V31" s="49">
        <f t="shared" si="9"/>
        <v>2023</v>
      </c>
      <c r="W31" s="50"/>
    </row>
    <row r="32" spans="2:24" s="2" customFormat="1" ht="15" x14ac:dyDescent="0.25">
      <c r="B32" s="31" t="s">
        <v>44</v>
      </c>
      <c r="D32" s="2" t="s">
        <v>136</v>
      </c>
      <c r="E32" s="31">
        <v>2019</v>
      </c>
      <c r="F32" s="31">
        <v>6</v>
      </c>
      <c r="G32" s="31">
        <v>30</v>
      </c>
      <c r="H32" s="20">
        <v>0</v>
      </c>
      <c r="I32" s="31" t="s">
        <v>46</v>
      </c>
      <c r="J32" s="31">
        <v>20</v>
      </c>
      <c r="K32" s="2">
        <f>+E32+J32</f>
        <v>2039</v>
      </c>
      <c r="L32" s="47">
        <v>12562.54</v>
      </c>
      <c r="M32" s="47">
        <f>L32/J32/12</f>
        <v>52.343916666666672</v>
      </c>
      <c r="N32" s="47">
        <f>IF(U32&lt;=T32,0,L32/J32)</f>
        <v>628.12700000000007</v>
      </c>
      <c r="O32" s="48">
        <v>1</v>
      </c>
      <c r="P32" s="47">
        <f>IF(S32&gt;T32,0,IF(U32&lt;V32,L32,IF((AND((U32&gt;=V32),(U32&lt;=T32))),(L32-N32),IF((AND((V32&lt;=S32),(T32&gt;=S32))),0,IF(U32&gt;T32,((V32-S32)*12)*M32,0)))))</f>
        <v>2250.7884166666195</v>
      </c>
      <c r="Q32" s="47">
        <f>P32+N32</f>
        <v>2878.9154166666194</v>
      </c>
      <c r="R32" s="47">
        <f>+L32-Q32</f>
        <v>9683.6245833333815</v>
      </c>
      <c r="S32" s="49">
        <f t="shared" si="6"/>
        <v>2019.4166666666667</v>
      </c>
      <c r="T32" s="49">
        <f t="shared" si="7"/>
        <v>2024</v>
      </c>
      <c r="U32" s="49">
        <f t="shared" si="8"/>
        <v>2039.4166666666667</v>
      </c>
      <c r="V32" s="49">
        <f t="shared" si="9"/>
        <v>2023</v>
      </c>
      <c r="W32" s="50"/>
    </row>
    <row r="33" spans="2:24" s="2" customFormat="1" ht="15" x14ac:dyDescent="0.25">
      <c r="B33" s="31" t="s">
        <v>44</v>
      </c>
      <c r="D33" s="2" t="s">
        <v>137</v>
      </c>
      <c r="E33" s="31">
        <v>2020</v>
      </c>
      <c r="F33" s="31">
        <v>6</v>
      </c>
      <c r="G33" s="31">
        <v>30</v>
      </c>
      <c r="H33" s="20">
        <v>0</v>
      </c>
      <c r="I33" s="31" t="s">
        <v>46</v>
      </c>
      <c r="J33" s="31">
        <v>20</v>
      </c>
      <c r="K33" s="2">
        <f t="shared" ref="K33:K40" si="10">+E33+J33</f>
        <v>2040</v>
      </c>
      <c r="L33" s="47">
        <v>31500</v>
      </c>
      <c r="M33" s="47">
        <f t="shared" ref="M33:M40" si="11">L33/J33/12</f>
        <v>131.25</v>
      </c>
      <c r="N33" s="47">
        <f t="shared" ref="N33:N40" si="12">IF(U33&lt;=T33,0,L33/J33)</f>
        <v>1575</v>
      </c>
      <c r="O33" s="48">
        <v>1</v>
      </c>
      <c r="P33" s="47">
        <f t="shared" ref="P33:P40" si="13">IF(S33&gt;T33,0,IF(U33&lt;V33,L33,IF((AND((U33&gt;=V33),(U33&lt;=T33))),(L33-N33),IF((AND((V33&lt;=S33),(T33&gt;=S33))),0,IF(U33&gt;T33,((V33-S33)*12)*M33,0)))))</f>
        <v>4068.7499999998809</v>
      </c>
      <c r="Q33" s="47">
        <f t="shared" ref="Q33:Q40" si="14">P33+N33</f>
        <v>5643.7499999998809</v>
      </c>
      <c r="R33" s="47">
        <f t="shared" ref="R33:R40" si="15">+L33-Q33</f>
        <v>25856.25000000012</v>
      </c>
      <c r="S33" s="49">
        <f t="shared" si="6"/>
        <v>2020.4166666666667</v>
      </c>
      <c r="T33" s="49">
        <f t="shared" si="7"/>
        <v>2024</v>
      </c>
      <c r="U33" s="49">
        <f t="shared" si="8"/>
        <v>2040.4166666666667</v>
      </c>
      <c r="V33" s="49">
        <f t="shared" si="9"/>
        <v>2023</v>
      </c>
      <c r="W33" s="50"/>
    </row>
    <row r="34" spans="2:24" s="2" customFormat="1" ht="15" x14ac:dyDescent="0.25">
      <c r="B34" s="31" t="s">
        <v>44</v>
      </c>
      <c r="D34" s="2" t="s">
        <v>138</v>
      </c>
      <c r="E34" s="31">
        <v>2020</v>
      </c>
      <c r="F34" s="31">
        <v>6</v>
      </c>
      <c r="G34" s="31">
        <v>30</v>
      </c>
      <c r="H34" s="20">
        <v>0</v>
      </c>
      <c r="I34" s="31" t="s">
        <v>46</v>
      </c>
      <c r="J34" s="31">
        <v>20</v>
      </c>
      <c r="K34" s="2">
        <f t="shared" si="10"/>
        <v>2040</v>
      </c>
      <c r="L34" s="47">
        <v>30268</v>
      </c>
      <c r="M34" s="47">
        <f t="shared" si="11"/>
        <v>126.11666666666667</v>
      </c>
      <c r="N34" s="47">
        <f t="shared" si="12"/>
        <v>1513.4</v>
      </c>
      <c r="O34" s="48">
        <v>1</v>
      </c>
      <c r="P34" s="47">
        <f t="shared" si="13"/>
        <v>3909.6166666665522</v>
      </c>
      <c r="Q34" s="47">
        <f t="shared" si="14"/>
        <v>5423.0166666665518</v>
      </c>
      <c r="R34" s="47">
        <f t="shared" si="15"/>
        <v>24844.983333333446</v>
      </c>
      <c r="S34" s="49">
        <f t="shared" si="6"/>
        <v>2020.4166666666667</v>
      </c>
      <c r="T34" s="49">
        <f t="shared" si="7"/>
        <v>2024</v>
      </c>
      <c r="U34" s="49">
        <f t="shared" si="8"/>
        <v>2040.4166666666667</v>
      </c>
      <c r="V34" s="49">
        <f t="shared" si="9"/>
        <v>2023</v>
      </c>
      <c r="W34" s="50"/>
    </row>
    <row r="35" spans="2:24" s="2" customFormat="1" ht="15" x14ac:dyDescent="0.25">
      <c r="B35" s="31" t="s">
        <v>44</v>
      </c>
      <c r="D35" s="2" t="s">
        <v>139</v>
      </c>
      <c r="E35" s="31">
        <v>2021</v>
      </c>
      <c r="F35" s="31">
        <v>6</v>
      </c>
      <c r="G35" s="31">
        <v>30</v>
      </c>
      <c r="H35" s="20">
        <v>0</v>
      </c>
      <c r="I35" s="31" t="s">
        <v>46</v>
      </c>
      <c r="J35" s="31">
        <v>20</v>
      </c>
      <c r="K35" s="2">
        <f t="shared" si="10"/>
        <v>2041</v>
      </c>
      <c r="L35" s="47">
        <v>99527.85</v>
      </c>
      <c r="M35" s="47">
        <f t="shared" si="11"/>
        <v>414.69937499999997</v>
      </c>
      <c r="N35" s="47">
        <f t="shared" si="12"/>
        <v>4976.3924999999999</v>
      </c>
      <c r="O35" s="48">
        <v>1</v>
      </c>
      <c r="P35" s="47">
        <f t="shared" si="13"/>
        <v>7879.2881249996226</v>
      </c>
      <c r="Q35" s="47">
        <f t="shared" si="14"/>
        <v>12855.680624999623</v>
      </c>
      <c r="R35" s="47">
        <f t="shared" si="15"/>
        <v>86672.169375000376</v>
      </c>
      <c r="S35" s="49">
        <f t="shared" si="6"/>
        <v>2021.4166666666667</v>
      </c>
      <c r="T35" s="49">
        <f t="shared" si="7"/>
        <v>2024</v>
      </c>
      <c r="U35" s="49">
        <f t="shared" si="8"/>
        <v>2041.4166666666667</v>
      </c>
      <c r="V35" s="49">
        <f t="shared" si="9"/>
        <v>2023</v>
      </c>
      <c r="W35" s="50"/>
    </row>
    <row r="36" spans="2:24" s="2" customFormat="1" ht="15" x14ac:dyDescent="0.25">
      <c r="B36" s="31" t="s">
        <v>44</v>
      </c>
      <c r="D36" s="2" t="s">
        <v>140</v>
      </c>
      <c r="E36" s="31">
        <v>2021</v>
      </c>
      <c r="F36" s="31">
        <v>6</v>
      </c>
      <c r="G36" s="31">
        <v>30</v>
      </c>
      <c r="H36" s="20">
        <v>0</v>
      </c>
      <c r="I36" s="31" t="s">
        <v>46</v>
      </c>
      <c r="J36" s="31">
        <v>20</v>
      </c>
      <c r="K36" s="2">
        <f t="shared" si="10"/>
        <v>2041</v>
      </c>
      <c r="L36" s="47">
        <v>7015.17</v>
      </c>
      <c r="M36" s="47">
        <f t="shared" si="11"/>
        <v>29.229875000000003</v>
      </c>
      <c r="N36" s="47">
        <f t="shared" si="12"/>
        <v>350.75850000000003</v>
      </c>
      <c r="O36" s="48">
        <v>1</v>
      </c>
      <c r="P36" s="47">
        <f t="shared" si="13"/>
        <v>555.36762499997349</v>
      </c>
      <c r="Q36" s="47">
        <f t="shared" si="14"/>
        <v>906.12612499997351</v>
      </c>
      <c r="R36" s="47">
        <f t="shared" si="15"/>
        <v>6109.0438750000267</v>
      </c>
      <c r="S36" s="49">
        <f t="shared" si="6"/>
        <v>2021.4166666666667</v>
      </c>
      <c r="T36" s="49">
        <f t="shared" si="7"/>
        <v>2024</v>
      </c>
      <c r="U36" s="49">
        <f t="shared" si="8"/>
        <v>2041.4166666666667</v>
      </c>
      <c r="V36" s="49">
        <f t="shared" si="9"/>
        <v>2023</v>
      </c>
      <c r="W36" s="50"/>
    </row>
    <row r="37" spans="2:24" s="2" customFormat="1" ht="15" x14ac:dyDescent="0.25">
      <c r="B37" s="31" t="s">
        <v>44</v>
      </c>
      <c r="D37" s="2" t="s">
        <v>141</v>
      </c>
      <c r="E37" s="31">
        <v>2022</v>
      </c>
      <c r="F37" s="31">
        <v>6</v>
      </c>
      <c r="G37" s="31">
        <v>30</v>
      </c>
      <c r="H37" s="20">
        <v>0</v>
      </c>
      <c r="I37" s="31" t="s">
        <v>46</v>
      </c>
      <c r="J37" s="31">
        <v>20</v>
      </c>
      <c r="K37" s="2">
        <f t="shared" si="10"/>
        <v>2042</v>
      </c>
      <c r="L37" s="47">
        <v>13692</v>
      </c>
      <c r="M37" s="47">
        <f t="shared" si="11"/>
        <v>57.050000000000004</v>
      </c>
      <c r="N37" s="47">
        <f t="shared" si="12"/>
        <v>684.6</v>
      </c>
      <c r="O37" s="48">
        <v>1</v>
      </c>
      <c r="P37" s="47">
        <f t="shared" si="13"/>
        <v>399.34999999994812</v>
      </c>
      <c r="Q37" s="47">
        <f t="shared" si="14"/>
        <v>1083.9499999999482</v>
      </c>
      <c r="R37" s="47">
        <f t="shared" si="15"/>
        <v>12608.050000000052</v>
      </c>
      <c r="S37" s="49">
        <f t="shared" si="6"/>
        <v>2022.4166666666667</v>
      </c>
      <c r="T37" s="49">
        <f t="shared" si="7"/>
        <v>2024</v>
      </c>
      <c r="U37" s="49">
        <f t="shared" si="8"/>
        <v>2042.4166666666667</v>
      </c>
      <c r="V37" s="49">
        <f t="shared" si="9"/>
        <v>2023</v>
      </c>
      <c r="W37" s="50"/>
    </row>
    <row r="38" spans="2:24" s="2" customFormat="1" ht="15" x14ac:dyDescent="0.25">
      <c r="B38" s="31" t="s">
        <v>44</v>
      </c>
      <c r="D38" s="2" t="s">
        <v>142</v>
      </c>
      <c r="E38" s="31">
        <v>2017</v>
      </c>
      <c r="F38" s="31">
        <v>6</v>
      </c>
      <c r="G38" s="31">
        <v>30</v>
      </c>
      <c r="H38" s="20">
        <v>0</v>
      </c>
      <c r="I38" s="31" t="s">
        <v>46</v>
      </c>
      <c r="J38" s="31">
        <v>20</v>
      </c>
      <c r="K38" s="2">
        <f t="shared" si="10"/>
        <v>2037</v>
      </c>
      <c r="L38" s="47">
        <v>115360.91</v>
      </c>
      <c r="M38" s="47">
        <f t="shared" si="11"/>
        <v>480.67045833333333</v>
      </c>
      <c r="N38" s="47">
        <f t="shared" si="12"/>
        <v>5768.0455000000002</v>
      </c>
      <c r="O38" s="48">
        <v>1</v>
      </c>
      <c r="P38" s="47">
        <f t="shared" si="13"/>
        <v>32204.920708332895</v>
      </c>
      <c r="Q38" s="47">
        <f t="shared" si="14"/>
        <v>37972.966208332895</v>
      </c>
      <c r="R38" s="47">
        <f t="shared" si="15"/>
        <v>77387.943791667116</v>
      </c>
      <c r="S38" s="49">
        <f t="shared" si="6"/>
        <v>2017.4166666666667</v>
      </c>
      <c r="T38" s="49">
        <f t="shared" si="7"/>
        <v>2024</v>
      </c>
      <c r="U38" s="49">
        <f t="shared" si="8"/>
        <v>2037.4166666666667</v>
      </c>
      <c r="V38" s="49">
        <f t="shared" si="9"/>
        <v>2023</v>
      </c>
      <c r="W38" s="50"/>
    </row>
    <row r="39" spans="2:24" s="2" customFormat="1" ht="15" x14ac:dyDescent="0.25">
      <c r="B39" s="31" t="s">
        <v>44</v>
      </c>
      <c r="D39" s="2" t="s">
        <v>143</v>
      </c>
      <c r="E39" s="31">
        <v>2017</v>
      </c>
      <c r="F39" s="31">
        <v>6</v>
      </c>
      <c r="G39" s="31">
        <v>30</v>
      </c>
      <c r="H39" s="20">
        <v>0</v>
      </c>
      <c r="I39" s="31" t="s">
        <v>46</v>
      </c>
      <c r="J39" s="31">
        <v>20</v>
      </c>
      <c r="K39" s="2">
        <f t="shared" si="10"/>
        <v>2037</v>
      </c>
      <c r="L39" s="47">
        <v>98638.99</v>
      </c>
      <c r="M39" s="47">
        <f t="shared" si="11"/>
        <v>410.99579166666672</v>
      </c>
      <c r="N39" s="47">
        <f t="shared" si="12"/>
        <v>4931.9495000000006</v>
      </c>
      <c r="O39" s="48">
        <v>1</v>
      </c>
      <c r="P39" s="47">
        <f t="shared" si="13"/>
        <v>27536.718041666296</v>
      </c>
      <c r="Q39" s="47">
        <f t="shared" si="14"/>
        <v>32468.667541666298</v>
      </c>
      <c r="R39" s="47">
        <f t="shared" si="15"/>
        <v>66170.322458333714</v>
      </c>
      <c r="S39" s="49">
        <f t="shared" si="6"/>
        <v>2017.4166666666667</v>
      </c>
      <c r="T39" s="49">
        <f t="shared" si="7"/>
        <v>2024</v>
      </c>
      <c r="U39" s="49">
        <f t="shared" si="8"/>
        <v>2037.4166666666667</v>
      </c>
      <c r="V39" s="49">
        <f t="shared" si="9"/>
        <v>2023</v>
      </c>
      <c r="W39" s="50"/>
      <c r="X39" s="68"/>
    </row>
    <row r="40" spans="2:24" s="2" customFormat="1" ht="15" x14ac:dyDescent="0.25">
      <c r="B40" s="31" t="s">
        <v>44</v>
      </c>
      <c r="D40" s="2" t="s">
        <v>144</v>
      </c>
      <c r="E40" s="31">
        <v>2023</v>
      </c>
      <c r="F40" s="31">
        <v>10</v>
      </c>
      <c r="G40" s="31">
        <v>5</v>
      </c>
      <c r="H40" s="20">
        <v>0</v>
      </c>
      <c r="I40" s="31" t="s">
        <v>46</v>
      </c>
      <c r="J40" s="31">
        <v>20</v>
      </c>
      <c r="K40" s="2">
        <f t="shared" si="10"/>
        <v>2043</v>
      </c>
      <c r="L40" s="47">
        <v>7596</v>
      </c>
      <c r="M40" s="47">
        <f t="shared" si="11"/>
        <v>31.650000000000002</v>
      </c>
      <c r="N40" s="47">
        <f t="shared" si="12"/>
        <v>379.8</v>
      </c>
      <c r="O40" s="48">
        <v>1</v>
      </c>
      <c r="P40" s="47">
        <f t="shared" si="13"/>
        <v>0</v>
      </c>
      <c r="Q40" s="47">
        <f t="shared" si="14"/>
        <v>379.8</v>
      </c>
      <c r="R40" s="47">
        <f t="shared" si="15"/>
        <v>7216.2</v>
      </c>
      <c r="S40" s="49">
        <f t="shared" si="6"/>
        <v>2023.75</v>
      </c>
      <c r="T40" s="49">
        <f t="shared" si="7"/>
        <v>2024</v>
      </c>
      <c r="U40" s="49">
        <f t="shared" si="8"/>
        <v>2043.75</v>
      </c>
      <c r="V40" s="49">
        <f t="shared" si="9"/>
        <v>2023</v>
      </c>
      <c r="W40" s="50"/>
    </row>
    <row r="41" spans="2:24" s="2" customFormat="1" ht="15" x14ac:dyDescent="0.25">
      <c r="B41" s="31"/>
      <c r="E41" s="31"/>
      <c r="F41" s="31"/>
      <c r="G41" s="31"/>
      <c r="H41" s="20"/>
      <c r="I41" s="31"/>
      <c r="J41" s="31"/>
      <c r="L41" s="47"/>
      <c r="M41" s="47"/>
      <c r="N41" s="47"/>
      <c r="O41" s="48"/>
      <c r="P41" s="47"/>
      <c r="Q41" s="47"/>
      <c r="R41" s="47"/>
      <c r="S41" s="49"/>
      <c r="T41" s="49"/>
      <c r="U41" s="49"/>
      <c r="V41" s="49"/>
      <c r="W41" s="50"/>
    </row>
    <row r="42" spans="2:24" s="53" customFormat="1" ht="15" x14ac:dyDescent="0.25">
      <c r="B42" s="27"/>
      <c r="C42" s="113" t="s">
        <v>145</v>
      </c>
      <c r="D42" s="113"/>
      <c r="E42" s="113"/>
      <c r="F42" s="113"/>
      <c r="G42" s="113"/>
      <c r="H42" s="52"/>
      <c r="I42" s="27"/>
      <c r="J42" s="27"/>
      <c r="L42" s="55">
        <f>SUM(L16:L41)</f>
        <v>1256550.46</v>
      </c>
      <c r="M42" s="54"/>
      <c r="N42" s="55">
        <f>SUM(N16:N41)</f>
        <v>62827.523000000008</v>
      </c>
      <c r="O42" s="56"/>
      <c r="P42" s="55">
        <f>SUM(P16:P41)</f>
        <v>408839.89541666198</v>
      </c>
      <c r="Q42" s="55">
        <f>SUM(Q16:Q41)</f>
        <v>471667.41841666185</v>
      </c>
      <c r="R42" s="55">
        <f>SUM(R16:R41)</f>
        <v>784883.04158333805</v>
      </c>
      <c r="S42" s="57"/>
      <c r="T42" s="57"/>
      <c r="U42" s="57"/>
      <c r="V42" s="57"/>
      <c r="W42" s="58"/>
    </row>
    <row r="43" spans="2:24" s="53" customFormat="1" ht="15" x14ac:dyDescent="0.25">
      <c r="B43" s="27"/>
      <c r="C43" s="51"/>
      <c r="D43" s="51"/>
      <c r="E43" s="27"/>
      <c r="F43" s="27"/>
      <c r="G43" s="27"/>
      <c r="H43" s="52"/>
      <c r="I43" s="27"/>
      <c r="J43" s="27"/>
      <c r="L43" s="59"/>
      <c r="M43" s="54"/>
      <c r="N43" s="59"/>
      <c r="O43" s="56"/>
      <c r="P43" s="59"/>
      <c r="Q43" s="59"/>
      <c r="R43" s="59"/>
      <c r="S43" s="57"/>
      <c r="T43" s="57"/>
      <c r="U43" s="57"/>
      <c r="V43" s="57"/>
      <c r="W43" s="58"/>
    </row>
    <row r="44" spans="2:24" s="72" customFormat="1" ht="15" x14ac:dyDescent="0.25">
      <c r="B44" s="70"/>
      <c r="C44" s="112" t="s">
        <v>146</v>
      </c>
      <c r="D44" s="112"/>
      <c r="E44" s="70"/>
      <c r="F44" s="70"/>
      <c r="G44" s="70"/>
      <c r="H44" s="71"/>
      <c r="I44" s="70"/>
      <c r="J44" s="70"/>
      <c r="L44" s="73">
        <f>L42</f>
        <v>1256550.46</v>
      </c>
      <c r="M44" s="74"/>
      <c r="N44" s="73">
        <f>N42</f>
        <v>62827.523000000008</v>
      </c>
      <c r="O44" s="75"/>
      <c r="P44" s="73">
        <f>P42</f>
        <v>408839.89541666198</v>
      </c>
      <c r="Q44" s="73">
        <f>Q42</f>
        <v>471667.41841666185</v>
      </c>
      <c r="R44" s="73">
        <f>R42</f>
        <v>784883.04158333805</v>
      </c>
      <c r="S44" s="76"/>
      <c r="T44" s="76"/>
      <c r="U44" s="76"/>
      <c r="V44" s="76"/>
      <c r="W44" s="77"/>
    </row>
    <row r="45" spans="2:24" s="53" customFormat="1" ht="15" x14ac:dyDescent="0.25">
      <c r="B45" s="27"/>
      <c r="C45" s="51"/>
      <c r="D45" s="51"/>
      <c r="E45" s="27"/>
      <c r="F45" s="27"/>
      <c r="G45" s="27"/>
      <c r="H45" s="52"/>
      <c r="I45" s="27"/>
      <c r="J45" s="27"/>
      <c r="L45" s="59"/>
      <c r="M45" s="54"/>
      <c r="N45" s="59"/>
      <c r="O45" s="56"/>
      <c r="P45" s="59"/>
      <c r="Q45" s="59"/>
      <c r="R45" s="59"/>
      <c r="S45" s="57"/>
      <c r="T45" s="57"/>
      <c r="U45" s="57"/>
      <c r="V45" s="57"/>
      <c r="W45" s="58"/>
    </row>
    <row r="46" spans="2:24" s="2" customFormat="1" ht="15" x14ac:dyDescent="0.25">
      <c r="B46" s="31"/>
      <c r="H46" s="20"/>
      <c r="S46" s="11"/>
      <c r="T46" s="11"/>
      <c r="U46" s="11"/>
      <c r="V46" s="11"/>
    </row>
    <row r="47" spans="2:24" s="2" customFormat="1" ht="15" x14ac:dyDescent="0.25">
      <c r="B47" s="31"/>
      <c r="H47" s="20"/>
      <c r="S47" s="11"/>
      <c r="T47" s="11"/>
      <c r="U47" s="11"/>
      <c r="V47" s="11"/>
    </row>
  </sheetData>
  <mergeCells count="10">
    <mergeCell ref="U7:V7"/>
    <mergeCell ref="C44:D44"/>
    <mergeCell ref="C13:D13"/>
    <mergeCell ref="C15:D15"/>
    <mergeCell ref="C42:G42"/>
    <mergeCell ref="B1:R1"/>
    <mergeCell ref="B2:R2"/>
    <mergeCell ref="U4:V4"/>
    <mergeCell ref="U5:V5"/>
    <mergeCell ref="U6:V6"/>
  </mergeCells>
  <pageMargins left="0.7" right="0.7" top="1" bottom="0.75" header="0.25" footer="0.3"/>
  <pageSetup scale="72" fitToHeight="0" orientation="landscape" r:id="rId1"/>
  <headerFooter scaleWithDoc="0">
    <oddHeader>&amp;L&amp;"-,Bold"Summit View Water Works LLC
TYE 12/31/23&amp;R&amp;"-,Bold"Exhibit AML-02
Schedule 3.0
Pg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Suspended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6D7C034-3850-4A33-BCB7-578C7B71C7B8}"/>
</file>

<file path=customXml/itemProps2.xml><?xml version="1.0" encoding="utf-8"?>
<ds:datastoreItem xmlns:ds="http://schemas.openxmlformats.org/officeDocument/2006/customXml" ds:itemID="{0E0F4824-01FA-4547-97DC-B1364C67DA76}">
  <ds:schemaRefs>
    <ds:schemaRef ds:uri="http://schemas.microsoft.com/office/2006/metadata/properties"/>
    <ds:schemaRef ds:uri="http://schemas.microsoft.com/office/infopath/2007/PartnerControls"/>
    <ds:schemaRef ds:uri="e14ca882-627e-462d-8ad2-61b9f9914f92"/>
  </ds:schemaRefs>
</ds:datastoreItem>
</file>

<file path=customXml/itemProps3.xml><?xml version="1.0" encoding="utf-8"?>
<ds:datastoreItem xmlns:ds="http://schemas.openxmlformats.org/officeDocument/2006/customXml" ds:itemID="{A5062A4C-EA52-4FDC-9A9F-C7F95DFBE0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A4744A-F3FC-4352-8ADE-F58BC5AFC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 1.0 - TY Reg Depr</vt:lpstr>
      <vt:lpstr>Sch 2.0 - RY Reg Depr</vt:lpstr>
      <vt:lpstr>Sch 3.0 - CIAC</vt:lpstr>
      <vt:lpstr>'Sch 1.0 - TY Reg Depr'!Print_Area</vt:lpstr>
      <vt:lpstr>'Sch 2.0 - RY Reg Depr'!Print_Area</vt:lpstr>
      <vt:lpstr>'Sch 3.0 - CIAC'!Print_Area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LaRue</dc:creator>
  <cp:keywords/>
  <dc:description/>
  <cp:lastModifiedBy>Ann LaRue</cp:lastModifiedBy>
  <cp:revision/>
  <cp:lastPrinted>2024-07-16T22:12:08Z</cp:lastPrinted>
  <dcterms:created xsi:type="dcterms:W3CDTF">2024-06-28T19:54:37Z</dcterms:created>
  <dcterms:modified xsi:type="dcterms:W3CDTF">2024-07-27T00:50:37Z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