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34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4.xml" ContentType="application/vnd.openxmlformats-officedocument.spreadsheetml.comments+xml"/>
  <Override PartName="/xl/externalLinks/externalLink2.xml" ContentType="application/vnd.openxmlformats-officedocument.spreadsheetml.externalLink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00 Western Region Office\WUTC\WUTC-Waste Control 2032\General Rate Filings\Rate Filing 03-01-2023\Non Confidential\"/>
    </mc:Choice>
  </mc:AlternateContent>
  <xr:revisionPtr revIDLastSave="0" documentId="13_ncr:1_{96D79665-797B-4E6F-BEF5-0DEB3290F39F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Depr Summary" sheetId="2" r:id="rId1"/>
    <sheet name="Post-Acquistion Dep Summary" sheetId="15" r:id="rId2"/>
    <sheet name="Bud Capital Input" sheetId="16" r:id="rId3"/>
    <sheet name="FAR 10.2022 Assets 2032" sheetId="17" r:id="rId4"/>
    <sheet name="Trks" sheetId="3" r:id="rId5"/>
    <sheet name="Cont, DB" sheetId="5" r:id="rId6"/>
    <sheet name="Shop,Serv" sheetId="6" r:id="rId7"/>
    <sheet name="Other" sheetId="7" r:id="rId8"/>
    <sheet name="Land Alloc" sheetId="9" r:id="rId9"/>
    <sheet name="Pre Acquisition" sheetId="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[3]Hidden!$P$11</definedName>
    <definedName name="__LYA10">[3]Hidden!$G$11</definedName>
    <definedName name="__LYA11">[3]Hidden!$F$11</definedName>
    <definedName name="__LYA12">[1]Hidden!$O$11</definedName>
    <definedName name="__LYA2">[3]Hidden!$O$11</definedName>
    <definedName name="__LYA3">[3]Hidden!$N$11</definedName>
    <definedName name="__LYA4">[3]Hidden!$M$11</definedName>
    <definedName name="__LYA5">[3]Hidden!$L$11</definedName>
    <definedName name="__LYA6">[3]Hidden!$K$11</definedName>
    <definedName name="__LYA7">[3]Hidden!$J$11</definedName>
    <definedName name="__LYA8">[3]Hidden!$I$11</definedName>
    <definedName name="__LYA9">[3]Hidden!$H$11</definedName>
    <definedName name="_123Graph_g" hidden="1">'[4]#REF'!$F$9:$F$83</definedName>
    <definedName name="_132" hidden="1">[5]XXXXXX!$B$10:$B$10</definedName>
    <definedName name="_132Graph_h" hidden="1">#REF!</definedName>
    <definedName name="_ACT1">[2]Hidden!#REF!</definedName>
    <definedName name="_ACT2">[2]Hidden!#REF!</definedName>
    <definedName name="_ACT3">[2]Hidden!#REF!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5" hidden="1">'Cont, DB'!$A$11:$S$242</definedName>
    <definedName name="_xlnm._FilterDatabase" localSheetId="3" hidden="1">'FAR 10.2022 Assets 2032'!$B$13:$AW$280</definedName>
    <definedName name="_Key1" hidden="1">#REF!</definedName>
    <definedName name="_Key2" hidden="1">'[4]#REF'!$D$12</definedName>
    <definedName name="_key5" hidden="1">[5]XXXXXX!$H$10</definedName>
    <definedName name="_LYA1">[3]Hidden!$P$11</definedName>
    <definedName name="_LYA10">[3]Hidden!$G$11</definedName>
    <definedName name="_LYA11">[3]Hidden!$F$11</definedName>
    <definedName name="_LYA12">[1]Hidden!$O$11</definedName>
    <definedName name="_LYA2">[3]Hidden!$O$11</definedName>
    <definedName name="_LYA3">[3]Hidden!$N$11</definedName>
    <definedName name="_LYA4">[3]Hidden!$M$11</definedName>
    <definedName name="_LYA5">[3]Hidden!$L$11</definedName>
    <definedName name="_LYA6">[3]Hidden!$K$11</definedName>
    <definedName name="_LYA7">[3]Hidden!$J$11</definedName>
    <definedName name="_LYA8">[3]Hidden!$I$11</definedName>
    <definedName name="_LYA9">[3]Hidden!$H$11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'[4]#REF'!$A$10:$Z$281</definedName>
    <definedName name="_sort3" hidden="1">[5]XXXXXX!$G$10:$J$11</definedName>
    <definedName name="a">#REF!</definedName>
    <definedName name="Accounts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fsdfsdfsd">#REF!</definedName>
    <definedName name="AmountCount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>#REF!</definedName>
    <definedName name="BUD_CUR">[2]Hidden!#REF!</definedName>
    <definedName name="BUD_YTD">[2]Hidden!#REF!</definedName>
    <definedName name="CalRecyTons">'[7]Recycl Tons, Commodity Value'!$L$23</definedName>
    <definedName name="CanCartTons">[8]CanCartTonsAllocate!$E$3</definedName>
    <definedName name="CheckTotals">#REF!</definedName>
    <definedName name="CoCanTons">[9]Cust_Count1!$M$28</definedName>
    <definedName name="CoComYd">'[9]Gross Yardage Worksheet'!$L$16</definedName>
    <definedName name="CoCustCnt">#REF!</definedName>
    <definedName name="colgroup">[1]Orientation!$G$6</definedName>
    <definedName name="colsegment">[1]Orientation!$F$6</definedName>
    <definedName name="CommlStaffPriceOut">'[10]Price Out-Reg EASTSIDE-Resi'!#REF!</definedName>
    <definedName name="CoMultiYd">'[9]Gross Yardage Worksheet'!$L$31</definedName>
    <definedName name="ContainerTons">[8]ContainerTonsAllocation!$E$2</definedName>
    <definedName name="ControlNumber">[11]Summary!$J$8</definedName>
    <definedName name="COST_OF_SERVICE_STUDY">#REF!</definedName>
    <definedName name="CoXtraYds">#REF!</definedName>
    <definedName name="CR">#REF!</definedName>
    <definedName name="CRCTable">#REF!</definedName>
    <definedName name="CRCTableOLD">#REF!</definedName>
    <definedName name="CriteriaType">[12]ControlPanel!$Z$2:$Z$5</definedName>
    <definedName name="CtyCanTons">[9]Cust_Count1!$N$28</definedName>
    <definedName name="CtyComYd">'[9]Gross Yardage Worksheet'!$L$49</definedName>
    <definedName name="CtyCustCnt">#REF!</definedName>
    <definedName name="CtyMultiYd">'[9]Gross Yardage Worksheet'!$L$64</definedName>
    <definedName name="CtyXtraYds">#REF!</definedName>
    <definedName name="CurrentMonth">#REF!</definedName>
    <definedName name="Cutomers">#REF!</definedName>
    <definedName name="_xlnm.Database">#REF!</definedName>
    <definedName name="Database1">#REF!</definedName>
    <definedName name="DateFrom">'[13]38000 Other Rev'!$G$12</definedName>
    <definedName name="DateTo">'[13]38000 Other Rev'!$G$13</definedName>
    <definedName name="DBxStaffPriceOut">'[10]Price Out-Reg EASTSIDE-Resi'!#REF!</definedName>
    <definedName name="debtP">#REF!</definedName>
    <definedName name="DeleteCMReconBook">[11]Summary!$J$10</definedName>
    <definedName name="DEPT">[2]Hidden!#REF!</definedName>
    <definedName name="DetailBudYear" localSheetId="2">'Bud Capital Input'!$H$24</definedName>
    <definedName name="DetailBudYear">#REF!</definedName>
    <definedName name="DetailDistrict" localSheetId="2">'Bud Capital Input'!$H$23</definedName>
    <definedName name="DetailDistrict">#REF!</definedName>
    <definedName name="Dist">[14]Data!$E$3</definedName>
    <definedName name="District">#REF!</definedName>
    <definedName name="DistrictName">[11]Summary!$M$8</definedName>
    <definedName name="DistrictNum">#REF!</definedName>
    <definedName name="Districts">#REF!</definedName>
    <definedName name="DistStaffSignOffStatus">[11]Summary!$N$19</definedName>
    <definedName name="DivisionSignOffReq">[11]Summary!$M$11</definedName>
    <definedName name="DivSignOffStatus">[11]Summary!$N$18</definedName>
    <definedName name="dOG">#REF!</definedName>
    <definedName name="drlFilter">[1]Settings!$D$27</definedName>
    <definedName name="End">#REF!</definedName>
    <definedName name="EntrieShownLimit">'[13]38000 Other Rev'!$D$6</definedName>
    <definedName name="ExcludeIC">#REF!</definedName>
    <definedName name="ExpensesPF1">'[15]LG County Area'!$K$8</definedName>
    <definedName name="EXT">#REF!</definedName>
    <definedName name="FBTable">#REF!</definedName>
    <definedName name="FBTableOld">#REF!</definedName>
    <definedName name="filter">[1]Settings!$B$14:$H$25</definedName>
    <definedName name="FromMonth">#REF!</definedName>
    <definedName name="FundsApprPend">[14]Data!#REF!</definedName>
    <definedName name="FundsBudUnbud">[14]Data!#REF!</definedName>
    <definedName name="GLMappingStart">#REF!</definedName>
    <definedName name="GLMappingStart1">#REF!</definedName>
    <definedName name="GRETABLE">[16]Gresham!$E$12:$AI$261</definedName>
    <definedName name="HeaderReturnMessage">[11]Summary!$Q$16</definedName>
    <definedName name="Import_Range">[14]Data!#REF!</definedName>
    <definedName name="IncomeStmnt">#REF!</definedName>
    <definedName name="INPUT">#REF!</definedName>
    <definedName name="INPUTc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[14]Invoice_Drill!#REF!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>#REF!</definedName>
    <definedName name="JEDetail1">#REF!</definedName>
    <definedName name="JEType">#REF!</definedName>
    <definedName name="JEType1">#REF!</definedName>
    <definedName name="Juris1CanCount">[8]Cust_Count1!$C$60</definedName>
    <definedName name="Juris1CanTons">[8]Cust_Count1!$C$30</definedName>
    <definedName name="Juris1ComYd">'[8]Gross Yardage Worksheet'!$L$16</definedName>
    <definedName name="Juris1CustCnt">[8]Cust_Count2!$E$39</definedName>
    <definedName name="Juris1MultiYd">'[8]Gross Yardage Worksheet'!$X$16</definedName>
    <definedName name="Juris1SeasonalYds">'[8]Gross Yardage Worksheet'!$R$18</definedName>
    <definedName name="Juris1XtraYds">[8]Cust_Count2!$E$28</definedName>
    <definedName name="Juris2CanCount">[8]Cust_Count1!$D$60</definedName>
    <definedName name="Juris2CanTons">[8]Cust_Count1!$D$30</definedName>
    <definedName name="Juris2ComYd">'[8]Gross Yardage Worksheet'!$L$33</definedName>
    <definedName name="Juris2CustCnt">[8]Cust_Count2!$F$39</definedName>
    <definedName name="Juris2MultiYd">'[8]Gross Yardage Worksheet'!$X$33</definedName>
    <definedName name="Juris2SeasonalYds">'[8]Gross Yardage Worksheet'!$R$35</definedName>
    <definedName name="Juris2XtraYds">[8]Cust_Count2!$F$28</definedName>
    <definedName name="Juris3CanCount">[8]Cust_Count1!$E$60</definedName>
    <definedName name="Juris3CanTons">[8]Cust_Count1!$E$30</definedName>
    <definedName name="Juris3ComYd">'[8]Gross Yardage Worksheet'!$L$51</definedName>
    <definedName name="Juris3CustCnt">[8]Cust_Count2!$G$39</definedName>
    <definedName name="Juris3MultiYd">'[8]Gross Yardage Worksheet'!$X$51</definedName>
    <definedName name="Juris3SeasonalYds">'[8]Gross Yardage Worksheet'!$R$53</definedName>
    <definedName name="Juris3XtraYds">[8]Cust_Count2!$G$28</definedName>
    <definedName name="Juris4CanCount">[8]Cust_Count1!$F$60</definedName>
    <definedName name="Juris4CanTons">[8]Cust_Count1!$F$30</definedName>
    <definedName name="Juris4ComYd">'[8]Gross Yardage Worksheet'!$L$68</definedName>
    <definedName name="Juris4CustCnt">[8]Cust_Count2!$H$39</definedName>
    <definedName name="Juris4MultiYd">'[8]Gross Yardage Worksheet'!$X$68</definedName>
    <definedName name="Juris4SeasonalYds">'[8]Gross Yardage Worksheet'!$R$70</definedName>
    <definedName name="Juris4XtraYds">[8]Cust_Count2!$H$28</definedName>
    <definedName name="Juris5CanCount">[8]Cust_Count1!$G$60</definedName>
    <definedName name="Juris5CanTons">[8]Cust_Count1!$G$30</definedName>
    <definedName name="Juris5ComYD">'[8]Gross Yardage Worksheet'!$L$85</definedName>
    <definedName name="Juris5CustCnt">[8]Cust_Count2!$I$39</definedName>
    <definedName name="Juris5MultiYd">'[8]Gross Yardage Worksheet'!$X$85</definedName>
    <definedName name="Juris5SeasonalYds">'[8]Gross Yardage Worksheet'!$R$87</definedName>
    <definedName name="Juris5XtraYds">[8]Cust_Count2!$I$28</definedName>
    <definedName name="Jurisdiction_1">'[8]Title Inputs'!$C$5</definedName>
    <definedName name="Jurisdiction_2">'[8]Title Inputs'!$C$6</definedName>
    <definedName name="Jurisdiction_3">'[8]Title Inputs'!$C$7</definedName>
    <definedName name="Jurisdiction_4">'[8]Title Inputs'!$C$8</definedName>
    <definedName name="Jurisdiction_5">'[8]Title Inputs'!$C$9</definedName>
    <definedName name="LastExecutedFor">[11]Summary!$Q$17</definedName>
    <definedName name="LastSavedOn">[11]Summary!$Q$19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[17]DropDownRanges!$B$4:$B$37</definedName>
    <definedName name="LU_Line">#REF!</definedName>
    <definedName name="MainDataEnd">#REF!</definedName>
    <definedName name="MainDataStart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'[10]Price Out-Reg EASTSIDE-Resi'!#REF!</definedName>
    <definedName name="MILTON">#REF!</definedName>
    <definedName name="MissingAccountList">[11]Summary!$Q$18</definedName>
    <definedName name="Month">#REF!</definedName>
    <definedName name="MonthList">'[14]Lookup Tables'!$A$1:$A$13</definedName>
    <definedName name="NewAccountCheck">[11]Summary!$L$18</definedName>
    <definedName name="NewLob">[17]DropDownRanges!$B$4:$B$37</definedName>
    <definedName name="NewOnlyOrg">#N/A</definedName>
    <definedName name="NewSource">[17]DropDownRanges!$D$4:$D$7</definedName>
    <definedName name="nn">#REF!</definedName>
    <definedName name="NOTES">Trks!#REF!</definedName>
    <definedName name="NR">#REF!</definedName>
    <definedName name="OfficerSalary">#N/A</definedName>
    <definedName name="OffsetAcctBil">[18]JEexport!$L$10</definedName>
    <definedName name="OffsetAcctPmt">[18]JEexport!$L$9</definedName>
    <definedName name="Org11_13">#N/A</definedName>
    <definedName name="Org7_10">#N/A</definedName>
    <definedName name="OthCanTons">[9]Cust_Count1!$O$28</definedName>
    <definedName name="OthComYd">'[9]Gross Yardage Worksheet'!$L$82</definedName>
    <definedName name="OthCustCnt">#REF!</definedName>
    <definedName name="OthMultiYd">'[9]Gross Yardage Worksheet'!$L$98</definedName>
    <definedName name="OthXtraYds">#REF!</definedName>
    <definedName name="p">#REF!</definedName>
    <definedName name="PAGE_1">Trks!$C$1:$U$11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OTruckSubTypeLookup">[19]TruckCenterReference!$B$26:$D$74</definedName>
    <definedName name="primtbl">[1]Orientation!$C$23</definedName>
    <definedName name="_xlnm.Print_Area" localSheetId="2">'Bud Capital Input'!$E$22:$AP$79</definedName>
    <definedName name="_xlnm.Print_Area" localSheetId="5">'Cont, DB'!$A$1:$S$241</definedName>
    <definedName name="_xlnm.Print_Area" localSheetId="0">'Depr Summary'!$A$1:$H$55,'Depr Summary'!$J$1:$Q$55,'Depr Summary'!$S$1:$Z$57,'Depr Summary'!$AB$1:$AI$56</definedName>
    <definedName name="_xlnm.Print_Area" localSheetId="7">Other!$A$1:$T$68</definedName>
    <definedName name="_xlnm.Print_Area" localSheetId="9">'Pre Acquisition'!$A$1:$Y$348</definedName>
    <definedName name="_xlnm.Print_Area" localSheetId="6">'Shop,Serv'!$A$1:$S$48</definedName>
    <definedName name="_xlnm.Print_Area" localSheetId="4">Trks!$A$1:$U$86</definedName>
    <definedName name="_xlnm.Print_Area">#REF!</definedName>
    <definedName name="Print_Area_MI" localSheetId="4">Trks!$C$1:$U$11</definedName>
    <definedName name="Print_Area_MI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'Bud Capital Input'!$H:$H,'Bud Capital Input'!$28:$28</definedName>
    <definedName name="_xlnm.Print_Titles" localSheetId="5">'Cont, DB'!$C:$C,'Cont, DB'!$9:$11</definedName>
    <definedName name="_xlnm.Print_Titles" localSheetId="3">'FAR 10.2022 Assets 2032'!$E:$E,'FAR 10.2022 Assets 2032'!$13:$13</definedName>
    <definedName name="_xlnm.Print_Titles" localSheetId="7">Other!$9:$11</definedName>
    <definedName name="_xlnm.Print_Titles" localSheetId="6">'Shop,Serv'!$9:$11</definedName>
    <definedName name="Print1">#REF!</definedName>
    <definedName name="Print2">#REF!</definedName>
    <definedName name="Print5">#REF!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onMonth">[11]Summary!$J$18</definedName>
    <definedName name="RecyDisposal">#N/A</definedName>
    <definedName name="Reg_Cust_Billed_Percent">'[20]Consolidated IS 2009 2010'!$AK$20</definedName>
    <definedName name="Reg_Cust_Percent">'[20]Consolidated IS 2009 2010'!$AC$20</definedName>
    <definedName name="Reg_Drive_Percent">'[20]Consolidated IS 2009 2010'!$AC$40</definedName>
    <definedName name="Reg_Haul_Rev_Percent">'[20]Consolidated IS 2009 2010'!$Z$18</definedName>
    <definedName name="Reg_Lab_Percent">'[20]Consolidated IS 2009 2010'!$AC$39</definedName>
    <definedName name="Reg_Steel_Cont_Percent">'[20]Consolidated IS 2009 2010'!$AE$120</definedName>
    <definedName name="RegionSignOffReq">[11]Summary!$M$10</definedName>
    <definedName name="RegionSignOffStatus">[11]Summary!$N$17</definedName>
    <definedName name="RegulatedIS">'[20]2009 IS'!$A$12:$Q$655</definedName>
    <definedName name="RelatedSalary">#N/A</definedName>
    <definedName name="report_type">[1]Orientation!$C$24</definedName>
    <definedName name="Reporting_Jurisdiction">'[8]Title Inputs'!$C$4</definedName>
    <definedName name="ReportNames">[21]ControlPanel!$S$2:$S$16</definedName>
    <definedName name="ReportVersion">[1]Settings!$D$5</definedName>
    <definedName name="ReslStaffPriceOut">'[10]Price Out-Reg EASTSIDE-Resi'!#REF!</definedName>
    <definedName name="RetainedEarnings">#REF!</definedName>
    <definedName name="RevCust">[22]RevenuesCust!#REF!</definedName>
    <definedName name="RevCustomer">#REF!</definedName>
    <definedName name="RevenuePF1">'[15]LG County Area'!$K$7</definedName>
    <definedName name="rngBodyText">[3]Delivery!$B$15</definedName>
    <definedName name="RngBottomRight">[3]Delivery!$B$23</definedName>
    <definedName name="rngColDelChars">[3]Delivery!$B$26</definedName>
    <definedName name="rngColumnDelete">[3]Delivery!$B$26</definedName>
    <definedName name="rngCreateLog">[1]Delivery!$B$12</definedName>
    <definedName name="rngDeleteColumns">[3]Delivery!$A$29:$A$38</definedName>
    <definedName name="rngDeleteRows">[3]Delivery!$B$29:$B$38</definedName>
    <definedName name="rngEmail">[3]Delivery!$B$9</definedName>
    <definedName name="rngFileDir">[3]Delivery!$B$6</definedName>
    <definedName name="rngFileFormat">[3]Delivery!$B$4</definedName>
    <definedName name="rngFileName">[3]Delivery!$B$5</definedName>
    <definedName name="rngFilePassword">[1]Delivery!$B$6</definedName>
    <definedName name="rngPassword">[3]Delivery!$B$21</definedName>
    <definedName name="rngPasswordProtect">[3]Delivery!$B$20</definedName>
    <definedName name="rngPrint">[3]Delivery!$B$11</definedName>
    <definedName name="rngRetainFormulas">[3]Delivery!$B$19</definedName>
    <definedName name="rngSaveFile">[3]Delivery!$B$10</definedName>
    <definedName name="rngSourceTab">[1]Delivery!$E$8</definedName>
    <definedName name="rngSubjectLine">[3]Delivery!$B$14</definedName>
    <definedName name="rngTabName">[3]Delivery!$B$18</definedName>
    <definedName name="rngTopLeft">[3]Delivery!$B$22</definedName>
    <definedName name="rowgroup">[1]Orientation!$C$17</definedName>
    <definedName name="rowsegment">[1]Orientation!$B$17</definedName>
    <definedName name="RptEmailAddress">[3]Delivery!$D$4:$D$1005</definedName>
    <definedName name="seffasfasdfsd">[23]Hidden!#REF!</definedName>
    <definedName name="Sequential_Group">[1]Settings!$J$6</definedName>
    <definedName name="Sequential_Segment">[1]Settings!$I$6</definedName>
    <definedName name="Sequential_sort">[1]Settings!$I$10:$J$11</definedName>
    <definedName name="SIC_Table">#REF!</definedName>
    <definedName name="slope">'[24]LG Nonpublic 2018 V5.0'!$X$58</definedName>
    <definedName name="sortcol">#REF!</definedName>
    <definedName name="Source">[17]DropDownRanges!$D$4:$D$7</definedName>
    <definedName name="SPWS_WBID">"115966228744984"</definedName>
    <definedName name="sSRCDate">'[25]2008'!$C$3</definedName>
    <definedName name="SubSystem">#REF!</definedName>
    <definedName name="SubSystems">#REF!</definedName>
    <definedName name="SubtypeToTruckType">[26]TruckCenterReference!$C$33:$D$83</definedName>
    <definedName name="Supplemental_filter">[1]Settings!$C$31</definedName>
    <definedName name="SWDisposal">#N/A</definedName>
    <definedName name="System">[27]BS_Close!$V$8</definedName>
    <definedName name="Systems">#REF!</definedName>
    <definedName name="Table_SIC">#REF!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>#REF!</definedName>
    <definedName name="Tons">#REF!</definedName>
    <definedName name="Total_Comm">'[7]Tariff Rate Sheet'!$L$214</definedName>
    <definedName name="Total_DB">'[7]Tariff Rate Sheet'!$L$278</definedName>
    <definedName name="Total_Resi">'[7]Tariff Rate Sheet'!$L$107</definedName>
    <definedName name="TotalYards">'[9]Gross Yardage Worksheet'!$N$101</definedName>
    <definedName name="TOTCONT">'[16]Sorted Master'!$K$9</definedName>
    <definedName name="TOTCRECCONT">'[16]Sorted Master'!$Z$9</definedName>
    <definedName name="TOTCRECCUST">'[28]Master IS (C)'!#REF!</definedName>
    <definedName name="TOTCRECDH">'[28]Master IS (C)'!#REF!</definedName>
    <definedName name="TOTCRECREV">'[28]Master IS (C)'!#REF!</definedName>
    <definedName name="TOTCRECTDEP">'[28]Master IS (C)'!#REF!</definedName>
    <definedName name="TOTCRECTH">'[16]Sorted Master'!$Z$8</definedName>
    <definedName name="TOTCRECTV">'[28]Master IS (C)'!#REF!</definedName>
    <definedName name="TOTCUST">'[28]Master IS (C)'!#REF!</definedName>
    <definedName name="TOTDBCONT">'[28]Master IS (C)'!#REF!</definedName>
    <definedName name="TOTDBCUST">'[28]Master IS (C)'!#REF!</definedName>
    <definedName name="TOTDBDH">'[28]Master IS (C)'!#REF!</definedName>
    <definedName name="TOTDBREV">'[28]Master IS (C)'!#REF!</definedName>
    <definedName name="TOTDBTDEP">'[28]Master IS (C)'!#REF!</definedName>
    <definedName name="TOTDBTH">'[28]Master IS (C)'!#REF!</definedName>
    <definedName name="TOTDBTV">'[28]Master IS (C)'!#REF!</definedName>
    <definedName name="TOTDEBCONT">'[28]Master IS (C)'!#REF!</definedName>
    <definedName name="TOTDEBCUST">'[28]Master IS (C)'!#REF!</definedName>
    <definedName name="TOTDEBDH">'[28]Master IS (C)'!#REF!</definedName>
    <definedName name="TOTDEBREV">'[28]Master IS (C)'!#REF!</definedName>
    <definedName name="TOTDEBTH">'[16]Sorted Master'!$AD$8</definedName>
    <definedName name="TOTDH">'[28]Master IS (C)'!#REF!</definedName>
    <definedName name="TOTFELCONT">'[28]Master IS (C)'!#REF!</definedName>
    <definedName name="TOTFELCUST">'[28]Master IS (C)'!#REF!</definedName>
    <definedName name="TOTFELDH">'[28]Master IS (C)'!#REF!</definedName>
    <definedName name="TOTFELREV">'[28]Master IS (C)'!#REF!</definedName>
    <definedName name="TOTFELTDEP">'[28]Master IS (C)'!#REF!</definedName>
    <definedName name="TOTFELTH">'[28]Master IS (C)'!#REF!</definedName>
    <definedName name="TOTFELTV">'[28]Master IS (C)'!#REF!</definedName>
    <definedName name="TOTRESCONT">'[28]Master IS (C)'!#REF!</definedName>
    <definedName name="TOTRESCUST">'[28]Master IS (C)'!#REF!</definedName>
    <definedName name="TOTRESDH">'[28]Master IS (C)'!#REF!</definedName>
    <definedName name="TOTRESRCONT">'[28]Master IS (C)'!#REF!</definedName>
    <definedName name="TOTRESRCUST">'[28]Master IS (C)'!#REF!</definedName>
    <definedName name="TOTRESRDH">'[28]Master IS (C)'!#REF!</definedName>
    <definedName name="TOTRESREV">'[28]Master IS (C)'!#REF!</definedName>
    <definedName name="TOTRESRREV">'[28]Master IS (C)'!#REF!</definedName>
    <definedName name="TOTRESRTDEP">'[28]Master IS (C)'!#REF!</definedName>
    <definedName name="TOTRESRTH">'[28]Master IS (C)'!#REF!</definedName>
    <definedName name="TOTRESRTV">'[28]Master IS (C)'!#REF!</definedName>
    <definedName name="TOTRESTDEP">'[28]Master IS (C)'!#REF!</definedName>
    <definedName name="TOTRESTH">'[28]Master IS (C)'!#REF!</definedName>
    <definedName name="TOTRESTV">'[28]Master IS (C)'!#REF!</definedName>
    <definedName name="TOTREV">'[28]Master IS (C)'!#REF!</definedName>
    <definedName name="TOTTDEP">'[28]Master IS (C)'!#REF!</definedName>
    <definedName name="TOTTH">'[28]Master IS (C)'!#REF!</definedName>
    <definedName name="TOTTV">'[28]Master IS (C)'!#REF!</definedName>
    <definedName name="Transactions">#REF!</definedName>
    <definedName name="UnformattedIS">#REF!</definedName>
    <definedName name="UnregulatedIS">'[20]2010 IS'!$A$12:$Q$654</definedName>
    <definedName name="UserTestMode">[11]Summary!$J$9</definedName>
    <definedName name="ValidFormats">[3]Delivery!$AA$4:$AA$10</definedName>
    <definedName name="VarianceStatus">[11]Summary!$L$17</definedName>
    <definedName name="VarianceTolerance">[11]Summary!$U$21</definedName>
    <definedName name="VendorCode">#REF!</definedName>
    <definedName name="Version">[14]Data!#REF!</definedName>
    <definedName name="WksInYr">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_inter1">'[24]LG Nonpublic 2018 V5.0'!$W$55</definedName>
    <definedName name="y_inter2">'[24]LG Nonpublic 2018 V5.0'!$W$56</definedName>
    <definedName name="y_inter3">'[24]LG Nonpublic 2018 V5.0'!$Y$55</definedName>
    <definedName name="y_inter4">'[24]LG Nonpublic 2018 V5.0'!$Y$56</definedName>
    <definedName name="Year">'[29]Aug Av. Fuel Price'!$E$15</definedName>
    <definedName name="Year_of_Review">'[8]Title Inputs'!$C$3</definedName>
    <definedName name="YearMonth">#REF!</definedName>
    <definedName name="YWMedWasteDisp">#N/A</definedName>
    <definedName name="yy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9" l="1"/>
  <c r="P35" i="9"/>
  <c r="K36" i="9" l="1"/>
  <c r="J36" i="9"/>
  <c r="AF74" i="16"/>
  <c r="B43" i="15"/>
  <c r="C10" i="2"/>
  <c r="B25" i="15"/>
  <c r="K12" i="2" s="1"/>
  <c r="D1" i="7"/>
  <c r="D1" i="6"/>
  <c r="C1" i="5"/>
  <c r="AH74" i="16" l="1"/>
  <c r="AI74" i="16" s="1"/>
  <c r="AK74" i="16" s="1"/>
  <c r="M12" i="2"/>
  <c r="N5" i="3"/>
  <c r="L12" i="2" l="1"/>
  <c r="AF67" i="16"/>
  <c r="AH67" i="16" s="1"/>
  <c r="AI67" i="16" s="1"/>
  <c r="C47" i="15"/>
  <c r="B47" i="15"/>
  <c r="K50" i="9"/>
  <c r="J50" i="9"/>
  <c r="K41" i="9"/>
  <c r="J41" i="9"/>
  <c r="K40" i="9"/>
  <c r="J40" i="9"/>
  <c r="AK67" i="16" l="1"/>
  <c r="J15" i="9" l="1"/>
  <c r="Q16" i="2" l="1"/>
  <c r="P16" i="2"/>
  <c r="O16" i="2"/>
  <c r="N16" i="2"/>
  <c r="K16" i="2"/>
  <c r="Q31" i="2"/>
  <c r="P31" i="2"/>
  <c r="O31" i="2"/>
  <c r="N31" i="2"/>
  <c r="K31" i="2"/>
  <c r="Q33" i="2"/>
  <c r="P33" i="2"/>
  <c r="O33" i="2"/>
  <c r="N33" i="2"/>
  <c r="K33" i="2"/>
  <c r="Q41" i="2"/>
  <c r="P41" i="2"/>
  <c r="O41" i="2"/>
  <c r="N41" i="2"/>
  <c r="K41" i="2"/>
  <c r="M41" i="2" s="1"/>
  <c r="Q49" i="2"/>
  <c r="P49" i="2"/>
  <c r="O49" i="2"/>
  <c r="N49" i="2"/>
  <c r="K49" i="2"/>
  <c r="M49" i="2" s="1"/>
  <c r="M16" i="2" l="1"/>
  <c r="L16" i="2" s="1"/>
  <c r="M31" i="2"/>
  <c r="L31" i="2" s="1"/>
  <c r="M33" i="2"/>
  <c r="L33" i="2" s="1"/>
  <c r="L41" i="2"/>
  <c r="L49" i="2"/>
  <c r="D25" i="9" l="1"/>
  <c r="G19" i="9" s="1"/>
  <c r="H19" i="9" s="1"/>
  <c r="H2" i="9"/>
  <c r="K13" i="9"/>
  <c r="G13" i="9" l="1"/>
  <c r="M78" i="3"/>
  <c r="R78" i="3"/>
  <c r="AQ57" i="17" l="1"/>
  <c r="AR57" i="17" s="1"/>
  <c r="Z53" i="2"/>
  <c r="Y53" i="2"/>
  <c r="X53" i="2"/>
  <c r="W53" i="2"/>
  <c r="T53" i="2"/>
  <c r="V53" i="2" s="1"/>
  <c r="X35" i="2"/>
  <c r="X20" i="2"/>
  <c r="X51" i="2" l="1"/>
  <c r="X55" i="2" s="1"/>
  <c r="U53" i="2"/>
  <c r="P53" i="2" l="1"/>
  <c r="B24" i="15"/>
  <c r="K10" i="2" s="1"/>
  <c r="B26" i="15"/>
  <c r="K14" i="2" s="1"/>
  <c r="B27" i="15"/>
  <c r="B28" i="15"/>
  <c r="K23" i="2" s="1"/>
  <c r="M23" i="2" s="1"/>
  <c r="L23" i="2" s="1"/>
  <c r="B29" i="15"/>
  <c r="K25" i="2" s="1"/>
  <c r="B30" i="15"/>
  <c r="K27" i="2" s="1"/>
  <c r="M27" i="2" s="1"/>
  <c r="L27" i="2" s="1"/>
  <c r="B31" i="15"/>
  <c r="K29" i="2" s="1"/>
  <c r="B32" i="15"/>
  <c r="K43" i="2" s="1"/>
  <c r="B33" i="15"/>
  <c r="K37" i="2" s="1"/>
  <c r="M37" i="2" s="1"/>
  <c r="L37" i="2" s="1"/>
  <c r="B34" i="15"/>
  <c r="K39" i="2" s="1"/>
  <c r="B39" i="15"/>
  <c r="B23" i="15"/>
  <c r="AM34" i="17"/>
  <c r="AN34" i="17"/>
  <c r="AO34" i="17" s="1"/>
  <c r="AQ34" i="17"/>
  <c r="AR34" i="17" s="1"/>
  <c r="AM54" i="17"/>
  <c r="AN54" i="17"/>
  <c r="AO54" i="17" s="1"/>
  <c r="AQ54" i="17"/>
  <c r="AR54" i="17" s="1"/>
  <c r="AM14" i="17"/>
  <c r="AN14" i="17"/>
  <c r="AQ14" i="17"/>
  <c r="AR14" i="17" s="1"/>
  <c r="AM15" i="17"/>
  <c r="AN15" i="17"/>
  <c r="AO15" i="17" s="1"/>
  <c r="AQ15" i="17"/>
  <c r="AR15" i="17" s="1"/>
  <c r="AM16" i="17"/>
  <c r="AN16" i="17"/>
  <c r="AO16" i="17" s="1"/>
  <c r="AQ16" i="17"/>
  <c r="AR16" i="17" s="1"/>
  <c r="AM17" i="17"/>
  <c r="AN17" i="17"/>
  <c r="AO17" i="17" s="1"/>
  <c r="AQ17" i="17"/>
  <c r="AR17" i="17" s="1"/>
  <c r="AM18" i="17"/>
  <c r="AN18" i="17"/>
  <c r="AO18" i="17" s="1"/>
  <c r="AQ18" i="17"/>
  <c r="AR18" i="17" s="1"/>
  <c r="AM19" i="17"/>
  <c r="AN19" i="17"/>
  <c r="AO19" i="17" s="1"/>
  <c r="AQ19" i="17"/>
  <c r="AR19" i="17" s="1"/>
  <c r="AQ20" i="17"/>
  <c r="AR20" i="17" s="1"/>
  <c r="AN20" i="17"/>
  <c r="AO20" i="17" s="1"/>
  <c r="AM20" i="17"/>
  <c r="AQ25" i="17"/>
  <c r="AR25" i="17" s="1"/>
  <c r="AN25" i="17"/>
  <c r="AO25" i="17" s="1"/>
  <c r="AM25" i="17"/>
  <c r="AQ24" i="17"/>
  <c r="AR24" i="17" s="1"/>
  <c r="AN24" i="17"/>
  <c r="AO24" i="17" s="1"/>
  <c r="AM24" i="17"/>
  <c r="AQ28" i="17"/>
  <c r="AR28" i="17" s="1"/>
  <c r="AN28" i="17"/>
  <c r="AO28" i="17" s="1"/>
  <c r="AM28" i="17"/>
  <c r="AQ41" i="17"/>
  <c r="AR41" i="17" s="1"/>
  <c r="AN41" i="17"/>
  <c r="AO41" i="17" s="1"/>
  <c r="AM41" i="17"/>
  <c r="AQ40" i="17"/>
  <c r="AR40" i="17" s="1"/>
  <c r="AN40" i="17"/>
  <c r="AO40" i="17" s="1"/>
  <c r="AM40" i="17"/>
  <c r="AQ39" i="17"/>
  <c r="AR39" i="17" s="1"/>
  <c r="AN39" i="17"/>
  <c r="AO39" i="17" s="1"/>
  <c r="AM39" i="17"/>
  <c r="AQ43" i="17"/>
  <c r="AR43" i="17" s="1"/>
  <c r="AN43" i="17"/>
  <c r="AO43" i="17" s="1"/>
  <c r="AM43" i="17"/>
  <c r="M10" i="2" l="1"/>
  <c r="AP24" i="17"/>
  <c r="AO14" i="17"/>
  <c r="AP54" i="17"/>
  <c r="AP40" i="17"/>
  <c r="AP34" i="17"/>
  <c r="AP41" i="17"/>
  <c r="AP16" i="17"/>
  <c r="AP17" i="17"/>
  <c r="AP19" i="17"/>
  <c r="AP15" i="17"/>
  <c r="AP18" i="17"/>
  <c r="M29" i="2"/>
  <c r="L29" i="2" s="1"/>
  <c r="M43" i="2"/>
  <c r="L43" i="2" s="1"/>
  <c r="M25" i="2"/>
  <c r="L25" i="2" s="1"/>
  <c r="K8" i="2"/>
  <c r="K18" i="2"/>
  <c r="M39" i="2"/>
  <c r="L39" i="2" s="1"/>
  <c r="M14" i="2"/>
  <c r="L14" i="2" s="1"/>
  <c r="AP28" i="17"/>
  <c r="AP25" i="17"/>
  <c r="AP39" i="17"/>
  <c r="AP43" i="17"/>
  <c r="AP20" i="17"/>
  <c r="AQ23" i="17"/>
  <c r="AR23" i="17" s="1"/>
  <c r="AN23" i="17"/>
  <c r="AO23" i="17" s="1"/>
  <c r="AM23" i="17"/>
  <c r="AQ22" i="17"/>
  <c r="AR22" i="17" s="1"/>
  <c r="AN22" i="17"/>
  <c r="AO22" i="17" s="1"/>
  <c r="AM22" i="17"/>
  <c r="AQ21" i="17"/>
  <c r="AR21" i="17" s="1"/>
  <c r="AN21" i="17"/>
  <c r="AO21" i="17" s="1"/>
  <c r="AM21" i="17"/>
  <c r="AQ27" i="17"/>
  <c r="AR27" i="17" s="1"/>
  <c r="AN27" i="17"/>
  <c r="AO27" i="17" s="1"/>
  <c r="AM27" i="17"/>
  <c r="AQ26" i="17"/>
  <c r="AR26" i="17" s="1"/>
  <c r="AN26" i="17"/>
  <c r="AO26" i="17" s="1"/>
  <c r="AM26" i="17"/>
  <c r="AQ33" i="17"/>
  <c r="AR33" i="17" s="1"/>
  <c r="AN33" i="17"/>
  <c r="AO33" i="17" s="1"/>
  <c r="AM33" i="17"/>
  <c r="AQ32" i="17"/>
  <c r="AR32" i="17" s="1"/>
  <c r="AN32" i="17"/>
  <c r="AO32" i="17" s="1"/>
  <c r="AM32" i="17"/>
  <c r="AQ31" i="17"/>
  <c r="AR31" i="17" s="1"/>
  <c r="AN31" i="17"/>
  <c r="AO31" i="17" s="1"/>
  <c r="AM31" i="17"/>
  <c r="AQ30" i="17"/>
  <c r="AR30" i="17" s="1"/>
  <c r="AN30" i="17"/>
  <c r="AO30" i="17" s="1"/>
  <c r="AM30" i="17"/>
  <c r="AQ29" i="17"/>
  <c r="AR29" i="17" s="1"/>
  <c r="AN29" i="17"/>
  <c r="AO29" i="17" s="1"/>
  <c r="AM29" i="17"/>
  <c r="AQ38" i="17"/>
  <c r="AR38" i="17" s="1"/>
  <c r="AN38" i="17"/>
  <c r="AO38" i="17" s="1"/>
  <c r="AM38" i="17"/>
  <c r="AQ37" i="17"/>
  <c r="AR37" i="17" s="1"/>
  <c r="AN37" i="17"/>
  <c r="AO37" i="17" s="1"/>
  <c r="AM37" i="17"/>
  <c r="AQ36" i="17"/>
  <c r="AR36" i="17" s="1"/>
  <c r="AN36" i="17"/>
  <c r="AO36" i="17" s="1"/>
  <c r="AM36" i="17"/>
  <c r="AQ35" i="17"/>
  <c r="AR35" i="17" s="1"/>
  <c r="AN35" i="17"/>
  <c r="AO35" i="17" s="1"/>
  <c r="AM35" i="17"/>
  <c r="AQ42" i="17"/>
  <c r="AR42" i="17" s="1"/>
  <c r="AN42" i="17"/>
  <c r="AO42" i="17" s="1"/>
  <c r="AM42" i="17"/>
  <c r="AQ53" i="17"/>
  <c r="AR53" i="17" s="1"/>
  <c r="AN53" i="17"/>
  <c r="AO53" i="17" s="1"/>
  <c r="AM53" i="17"/>
  <c r="AQ52" i="17"/>
  <c r="AR52" i="17" s="1"/>
  <c r="AN52" i="17"/>
  <c r="AO52" i="17" s="1"/>
  <c r="AM52" i="17"/>
  <c r="AQ51" i="17"/>
  <c r="AR51" i="17" s="1"/>
  <c r="AN51" i="17"/>
  <c r="AO51" i="17" s="1"/>
  <c r="AM51" i="17"/>
  <c r="AQ50" i="17"/>
  <c r="AR50" i="17" s="1"/>
  <c r="AN50" i="17"/>
  <c r="AO50" i="17" s="1"/>
  <c r="AM50" i="17"/>
  <c r="AQ49" i="17"/>
  <c r="AR49" i="17" s="1"/>
  <c r="AN49" i="17"/>
  <c r="AO49" i="17" s="1"/>
  <c r="AM49" i="17"/>
  <c r="AQ48" i="17"/>
  <c r="AR48" i="17" s="1"/>
  <c r="AN48" i="17"/>
  <c r="AO48" i="17" s="1"/>
  <c r="AM48" i="17"/>
  <c r="AQ47" i="17"/>
  <c r="AR47" i="17" s="1"/>
  <c r="AN47" i="17"/>
  <c r="AO47" i="17" s="1"/>
  <c r="AM47" i="17"/>
  <c r="AQ46" i="17"/>
  <c r="AR46" i="17" s="1"/>
  <c r="AN46" i="17"/>
  <c r="AO46" i="17" s="1"/>
  <c r="AM46" i="17"/>
  <c r="AQ45" i="17"/>
  <c r="AR45" i="17" s="1"/>
  <c r="AN45" i="17"/>
  <c r="AO45" i="17" s="1"/>
  <c r="AM45" i="17"/>
  <c r="AQ44" i="17"/>
  <c r="AR44" i="17" s="1"/>
  <c r="AN44" i="17"/>
  <c r="AO44" i="17" s="1"/>
  <c r="AM44" i="17"/>
  <c r="AQ61" i="17"/>
  <c r="AR61" i="17" s="1"/>
  <c r="AN61" i="17"/>
  <c r="AO61" i="17" s="1"/>
  <c r="AM61" i="17"/>
  <c r="AQ60" i="17"/>
  <c r="AR60" i="17" s="1"/>
  <c r="AN60" i="17"/>
  <c r="AO60" i="17" s="1"/>
  <c r="AM60" i="17"/>
  <c r="AQ59" i="17"/>
  <c r="AR59" i="17" s="1"/>
  <c r="AN59" i="17"/>
  <c r="AO59" i="17" s="1"/>
  <c r="AM59" i="17"/>
  <c r="AQ58" i="17"/>
  <c r="AR58" i="17" s="1"/>
  <c r="AN58" i="17"/>
  <c r="AO58" i="17" s="1"/>
  <c r="AM58" i="17"/>
  <c r="AN57" i="17"/>
  <c r="AO57" i="17" s="1"/>
  <c r="AM57" i="17"/>
  <c r="AQ56" i="17"/>
  <c r="AR56" i="17" s="1"/>
  <c r="AN56" i="17"/>
  <c r="AO56" i="17" s="1"/>
  <c r="AM56" i="17"/>
  <c r="AQ55" i="17"/>
  <c r="AR55" i="17" s="1"/>
  <c r="AN55" i="17"/>
  <c r="AO55" i="17" s="1"/>
  <c r="AM55" i="17"/>
  <c r="AM63" i="17"/>
  <c r="AN63" i="17"/>
  <c r="AO63" i="17" s="1"/>
  <c r="AQ63" i="17"/>
  <c r="AR63" i="17" s="1"/>
  <c r="AM64" i="17"/>
  <c r="AN64" i="17"/>
  <c r="AO64" i="17" s="1"/>
  <c r="AQ64" i="17"/>
  <c r="AR64" i="17" s="1"/>
  <c r="AM65" i="17"/>
  <c r="AN65" i="17"/>
  <c r="AO65" i="17" s="1"/>
  <c r="AQ65" i="17"/>
  <c r="AR65" i="17" s="1"/>
  <c r="AM66" i="17"/>
  <c r="AN66" i="17"/>
  <c r="AO66" i="17" s="1"/>
  <c r="AQ66" i="17"/>
  <c r="AR66" i="17" s="1"/>
  <c r="AM67" i="17"/>
  <c r="AN67" i="17"/>
  <c r="AO67" i="17" s="1"/>
  <c r="AQ67" i="17"/>
  <c r="AR67" i="17" s="1"/>
  <c r="AM68" i="17"/>
  <c r="AN68" i="17"/>
  <c r="AO68" i="17" s="1"/>
  <c r="AQ68" i="17"/>
  <c r="AR68" i="17" s="1"/>
  <c r="AM69" i="17"/>
  <c r="AN69" i="17"/>
  <c r="AO69" i="17" s="1"/>
  <c r="AQ69" i="17"/>
  <c r="AR69" i="17" s="1"/>
  <c r="AM70" i="17"/>
  <c r="AN70" i="17"/>
  <c r="AO70" i="17" s="1"/>
  <c r="AQ70" i="17"/>
  <c r="AR70" i="17" s="1"/>
  <c r="AM71" i="17"/>
  <c r="AN71" i="17"/>
  <c r="AO71" i="17" s="1"/>
  <c r="AQ71" i="17"/>
  <c r="AR71" i="17" s="1"/>
  <c r="AM72" i="17"/>
  <c r="AN72" i="17"/>
  <c r="AO72" i="17" s="1"/>
  <c r="AQ72" i="17"/>
  <c r="AR72" i="17" s="1"/>
  <c r="AM73" i="17"/>
  <c r="AN73" i="17"/>
  <c r="AO73" i="17" s="1"/>
  <c r="AQ73" i="17"/>
  <c r="AR73" i="17" s="1"/>
  <c r="AM74" i="17"/>
  <c r="AN74" i="17"/>
  <c r="AO74" i="17" s="1"/>
  <c r="AQ74" i="17"/>
  <c r="AR74" i="17" s="1"/>
  <c r="AM75" i="17"/>
  <c r="AN75" i="17"/>
  <c r="AO75" i="17" s="1"/>
  <c r="AQ75" i="17"/>
  <c r="AR75" i="17" s="1"/>
  <c r="AM76" i="17"/>
  <c r="AN76" i="17"/>
  <c r="AO76" i="17" s="1"/>
  <c r="AQ76" i="17"/>
  <c r="AR76" i="17" s="1"/>
  <c r="AM77" i="17"/>
  <c r="AN77" i="17"/>
  <c r="AO77" i="17" s="1"/>
  <c r="AQ77" i="17"/>
  <c r="AR77" i="17" s="1"/>
  <c r="AM78" i="17"/>
  <c r="AN78" i="17"/>
  <c r="AO78" i="17" s="1"/>
  <c r="AQ78" i="17"/>
  <c r="AR78" i="17" s="1"/>
  <c r="AM79" i="17"/>
  <c r="AN79" i="17"/>
  <c r="AO79" i="17" s="1"/>
  <c r="AQ79" i="17"/>
  <c r="AR79" i="17" s="1"/>
  <c r="AM80" i="17"/>
  <c r="AN80" i="17"/>
  <c r="AO80" i="17" s="1"/>
  <c r="AQ80" i="17"/>
  <c r="AR80" i="17" s="1"/>
  <c r="AM81" i="17"/>
  <c r="AN81" i="17"/>
  <c r="AO81" i="17" s="1"/>
  <c r="AQ81" i="17"/>
  <c r="AR81" i="17" s="1"/>
  <c r="AM82" i="17"/>
  <c r="AN82" i="17"/>
  <c r="AO82" i="17" s="1"/>
  <c r="AQ82" i="17"/>
  <c r="AR82" i="17" s="1"/>
  <c r="AM83" i="17"/>
  <c r="AN83" i="17"/>
  <c r="AO83" i="17" s="1"/>
  <c r="AQ83" i="17"/>
  <c r="AR83" i="17" s="1"/>
  <c r="AM84" i="17"/>
  <c r="AN84" i="17"/>
  <c r="AO84" i="17" s="1"/>
  <c r="AQ84" i="17"/>
  <c r="AR84" i="17" s="1"/>
  <c r="AM85" i="17"/>
  <c r="AN85" i="17"/>
  <c r="AO85" i="17" s="1"/>
  <c r="AQ85" i="17"/>
  <c r="AR85" i="17" s="1"/>
  <c r="AM86" i="17"/>
  <c r="AN86" i="17"/>
  <c r="AO86" i="17" s="1"/>
  <c r="AQ86" i="17"/>
  <c r="AR86" i="17" s="1"/>
  <c r="AM87" i="17"/>
  <c r="AN87" i="17"/>
  <c r="AO87" i="17" s="1"/>
  <c r="AQ87" i="17"/>
  <c r="AR87" i="17" s="1"/>
  <c r="AM88" i="17"/>
  <c r="AN88" i="17"/>
  <c r="AO88" i="17" s="1"/>
  <c r="AQ88" i="17"/>
  <c r="AR88" i="17" s="1"/>
  <c r="AM89" i="17"/>
  <c r="AN89" i="17"/>
  <c r="AO89" i="17" s="1"/>
  <c r="AQ89" i="17"/>
  <c r="AR89" i="17" s="1"/>
  <c r="AM90" i="17"/>
  <c r="AN90" i="17"/>
  <c r="AO90" i="17" s="1"/>
  <c r="AQ90" i="17"/>
  <c r="AR90" i="17" s="1"/>
  <c r="AM91" i="17"/>
  <c r="AN91" i="17"/>
  <c r="AO91" i="17" s="1"/>
  <c r="AQ91" i="17"/>
  <c r="AR91" i="17" s="1"/>
  <c r="AM92" i="17"/>
  <c r="AN92" i="17"/>
  <c r="AO92" i="17" s="1"/>
  <c r="AQ92" i="17"/>
  <c r="AR92" i="17" s="1"/>
  <c r="AM93" i="17"/>
  <c r="AN93" i="17"/>
  <c r="AO93" i="17" s="1"/>
  <c r="AQ93" i="17"/>
  <c r="AR93" i="17" s="1"/>
  <c r="AM94" i="17"/>
  <c r="AN94" i="17"/>
  <c r="AO94" i="17" s="1"/>
  <c r="AQ94" i="17"/>
  <c r="AR94" i="17" s="1"/>
  <c r="AM95" i="17"/>
  <c r="AN95" i="17"/>
  <c r="AO95" i="17" s="1"/>
  <c r="AQ95" i="17"/>
  <c r="AR95" i="17" s="1"/>
  <c r="AM96" i="17"/>
  <c r="AN96" i="17"/>
  <c r="AO96" i="17" s="1"/>
  <c r="AQ96" i="17"/>
  <c r="AR96" i="17" s="1"/>
  <c r="AM97" i="17"/>
  <c r="AN97" i="17"/>
  <c r="AO97" i="17" s="1"/>
  <c r="AQ97" i="17"/>
  <c r="AR97" i="17" s="1"/>
  <c r="AM98" i="17"/>
  <c r="AN98" i="17"/>
  <c r="AO98" i="17" s="1"/>
  <c r="AQ98" i="17"/>
  <c r="AR98" i="17" s="1"/>
  <c r="AM99" i="17"/>
  <c r="AN99" i="17"/>
  <c r="AO99" i="17" s="1"/>
  <c r="AQ99" i="17"/>
  <c r="AR99" i="17" s="1"/>
  <c r="AM100" i="17"/>
  <c r="AN100" i="17"/>
  <c r="AO100" i="17" s="1"/>
  <c r="AQ100" i="17"/>
  <c r="AR100" i="17" s="1"/>
  <c r="AM101" i="17"/>
  <c r="AN101" i="17"/>
  <c r="AO101" i="17" s="1"/>
  <c r="AQ101" i="17"/>
  <c r="AR101" i="17" s="1"/>
  <c r="AM102" i="17"/>
  <c r="AN102" i="17"/>
  <c r="AO102" i="17" s="1"/>
  <c r="AQ102" i="17"/>
  <c r="AR102" i="17" s="1"/>
  <c r="AM103" i="17"/>
  <c r="AN103" i="17"/>
  <c r="AO103" i="17" s="1"/>
  <c r="AQ103" i="17"/>
  <c r="AR103" i="17" s="1"/>
  <c r="AM104" i="17"/>
  <c r="AN104" i="17"/>
  <c r="AO104" i="17" s="1"/>
  <c r="AQ104" i="17"/>
  <c r="AR104" i="17" s="1"/>
  <c r="AM105" i="17"/>
  <c r="AN105" i="17"/>
  <c r="AO105" i="17" s="1"/>
  <c r="AQ105" i="17"/>
  <c r="AR105" i="17" s="1"/>
  <c r="AM106" i="17"/>
  <c r="AN106" i="17"/>
  <c r="AO106" i="17" s="1"/>
  <c r="AQ106" i="17"/>
  <c r="AR106" i="17" s="1"/>
  <c r="AM107" i="17"/>
  <c r="AN107" i="17"/>
  <c r="AO107" i="17" s="1"/>
  <c r="AQ107" i="17"/>
  <c r="AR107" i="17" s="1"/>
  <c r="AM108" i="17"/>
  <c r="AN108" i="17"/>
  <c r="AO108" i="17" s="1"/>
  <c r="AQ108" i="17"/>
  <c r="AR108" i="17" s="1"/>
  <c r="AM109" i="17"/>
  <c r="AN109" i="17"/>
  <c r="AO109" i="17" s="1"/>
  <c r="AQ109" i="17"/>
  <c r="AR109" i="17" s="1"/>
  <c r="AM110" i="17"/>
  <c r="AN110" i="17"/>
  <c r="AO110" i="17" s="1"/>
  <c r="AQ110" i="17"/>
  <c r="AR110" i="17" s="1"/>
  <c r="AM111" i="17"/>
  <c r="AN111" i="17"/>
  <c r="AO111" i="17" s="1"/>
  <c r="AQ111" i="17"/>
  <c r="AR111" i="17" s="1"/>
  <c r="AM112" i="17"/>
  <c r="AN112" i="17"/>
  <c r="AO112" i="17" s="1"/>
  <c r="AQ112" i="17"/>
  <c r="AR112" i="17" s="1"/>
  <c r="AM113" i="17"/>
  <c r="AN113" i="17"/>
  <c r="AO113" i="17" s="1"/>
  <c r="AQ113" i="17"/>
  <c r="AR113" i="17" s="1"/>
  <c r="AM114" i="17"/>
  <c r="AN114" i="17"/>
  <c r="AO114" i="17" s="1"/>
  <c r="AQ114" i="17"/>
  <c r="AR114" i="17" s="1"/>
  <c r="AM115" i="17"/>
  <c r="AN115" i="17"/>
  <c r="AO115" i="17" s="1"/>
  <c r="AQ115" i="17"/>
  <c r="AR115" i="17" s="1"/>
  <c r="AM116" i="17"/>
  <c r="AN116" i="17"/>
  <c r="AO116" i="17" s="1"/>
  <c r="AQ116" i="17"/>
  <c r="AR116" i="17" s="1"/>
  <c r="AM117" i="17"/>
  <c r="AN117" i="17"/>
  <c r="AO117" i="17" s="1"/>
  <c r="AQ117" i="17"/>
  <c r="AR117" i="17" s="1"/>
  <c r="AM118" i="17"/>
  <c r="AN118" i="17"/>
  <c r="AO118" i="17" s="1"/>
  <c r="AQ118" i="17"/>
  <c r="AR118" i="17" s="1"/>
  <c r="AM119" i="17"/>
  <c r="AN119" i="17"/>
  <c r="AO119" i="17" s="1"/>
  <c r="AQ119" i="17"/>
  <c r="AR119" i="17" s="1"/>
  <c r="AM120" i="17"/>
  <c r="AN120" i="17"/>
  <c r="AO120" i="17" s="1"/>
  <c r="AQ120" i="17"/>
  <c r="AR120" i="17" s="1"/>
  <c r="AM121" i="17"/>
  <c r="AN121" i="17"/>
  <c r="AO121" i="17" s="1"/>
  <c r="AQ121" i="17"/>
  <c r="AR121" i="17" s="1"/>
  <c r="AM122" i="17"/>
  <c r="AN122" i="17"/>
  <c r="AO122" i="17" s="1"/>
  <c r="AQ122" i="17"/>
  <c r="AR122" i="17" s="1"/>
  <c r="AM123" i="17"/>
  <c r="AN123" i="17"/>
  <c r="AO123" i="17" s="1"/>
  <c r="AQ123" i="17"/>
  <c r="AR123" i="17" s="1"/>
  <c r="AM124" i="17"/>
  <c r="AN124" i="17"/>
  <c r="AO124" i="17" s="1"/>
  <c r="AQ124" i="17"/>
  <c r="AR124" i="17" s="1"/>
  <c r="AM125" i="17"/>
  <c r="AN125" i="17"/>
  <c r="AO125" i="17" s="1"/>
  <c r="AQ125" i="17"/>
  <c r="AR125" i="17" s="1"/>
  <c r="AM126" i="17"/>
  <c r="AN126" i="17"/>
  <c r="AO126" i="17" s="1"/>
  <c r="AQ126" i="17"/>
  <c r="AR126" i="17" s="1"/>
  <c r="AM127" i="17"/>
  <c r="AN127" i="17"/>
  <c r="AO127" i="17" s="1"/>
  <c r="AQ127" i="17"/>
  <c r="AR127" i="17" s="1"/>
  <c r="AM128" i="17"/>
  <c r="AN128" i="17"/>
  <c r="AO128" i="17" s="1"/>
  <c r="AQ128" i="17"/>
  <c r="AR128" i="17" s="1"/>
  <c r="AM129" i="17"/>
  <c r="AN129" i="17"/>
  <c r="AO129" i="17" s="1"/>
  <c r="AQ129" i="17"/>
  <c r="AR129" i="17" s="1"/>
  <c r="AM130" i="17"/>
  <c r="AN130" i="17"/>
  <c r="AO130" i="17" s="1"/>
  <c r="AQ130" i="17"/>
  <c r="AR130" i="17" s="1"/>
  <c r="AM131" i="17"/>
  <c r="AN131" i="17"/>
  <c r="AO131" i="17" s="1"/>
  <c r="AQ131" i="17"/>
  <c r="AR131" i="17" s="1"/>
  <c r="AM132" i="17"/>
  <c r="AN132" i="17"/>
  <c r="AO132" i="17" s="1"/>
  <c r="AQ132" i="17"/>
  <c r="AR132" i="17" s="1"/>
  <c r="AM133" i="17"/>
  <c r="AN133" i="17"/>
  <c r="AO133" i="17" s="1"/>
  <c r="AQ133" i="17"/>
  <c r="AR133" i="17" s="1"/>
  <c r="AM134" i="17"/>
  <c r="AN134" i="17"/>
  <c r="AO134" i="17" s="1"/>
  <c r="AQ134" i="17"/>
  <c r="AR134" i="17" s="1"/>
  <c r="AM135" i="17"/>
  <c r="AN135" i="17"/>
  <c r="AO135" i="17" s="1"/>
  <c r="AQ135" i="17"/>
  <c r="AR135" i="17" s="1"/>
  <c r="AM136" i="17"/>
  <c r="AN136" i="17"/>
  <c r="AO136" i="17" s="1"/>
  <c r="AQ136" i="17"/>
  <c r="AR136" i="17" s="1"/>
  <c r="AM137" i="17"/>
  <c r="AN137" i="17"/>
  <c r="AO137" i="17" s="1"/>
  <c r="AQ137" i="17"/>
  <c r="AR137" i="17" s="1"/>
  <c r="AM138" i="17"/>
  <c r="AN138" i="17"/>
  <c r="AO138" i="17" s="1"/>
  <c r="AQ138" i="17"/>
  <c r="AR138" i="17" s="1"/>
  <c r="AM139" i="17"/>
  <c r="AN139" i="17"/>
  <c r="AO139" i="17" s="1"/>
  <c r="AQ139" i="17"/>
  <c r="AR139" i="17" s="1"/>
  <c r="AM140" i="17"/>
  <c r="AN140" i="17"/>
  <c r="AO140" i="17" s="1"/>
  <c r="AQ140" i="17"/>
  <c r="AR140" i="17" s="1"/>
  <c r="AQ62" i="17"/>
  <c r="AR62" i="17" s="1"/>
  <c r="AN62" i="17"/>
  <c r="AO62" i="17" s="1"/>
  <c r="AM62" i="17"/>
  <c r="AK8" i="17"/>
  <c r="V2" i="17"/>
  <c r="M3" i="17"/>
  <c r="M4" i="17" s="1"/>
  <c r="I5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5" i="17"/>
  <c r="V196" i="17"/>
  <c r="V197" i="17"/>
  <c r="V198" i="17"/>
  <c r="V199" i="17"/>
  <c r="V200" i="17"/>
  <c r="V201" i="17"/>
  <c r="V202" i="17"/>
  <c r="V203" i="17"/>
  <c r="V204" i="17"/>
  <c r="V205" i="17"/>
  <c r="V206" i="17"/>
  <c r="V207" i="17"/>
  <c r="V208" i="17"/>
  <c r="V209" i="17"/>
  <c r="V210" i="17"/>
  <c r="V211" i="17"/>
  <c r="V212" i="17"/>
  <c r="V213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38" i="17"/>
  <c r="V239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V264" i="17"/>
  <c r="V265" i="17"/>
  <c r="V266" i="17"/>
  <c r="V267" i="17"/>
  <c r="V268" i="17"/>
  <c r="V269" i="17"/>
  <c r="V270" i="17"/>
  <c r="V271" i="17"/>
  <c r="V272" i="17"/>
  <c r="V273" i="17"/>
  <c r="V274" i="17"/>
  <c r="V275" i="17"/>
  <c r="V276" i="17"/>
  <c r="V277" i="17"/>
  <c r="V278" i="17"/>
  <c r="V279" i="17"/>
  <c r="V280" i="17"/>
  <c r="B6" i="16"/>
  <c r="A6" i="16" s="1"/>
  <c r="AE6" i="16"/>
  <c r="AS6" i="16"/>
  <c r="BA6" i="16" s="1"/>
  <c r="AU6" i="16"/>
  <c r="AX6" i="16"/>
  <c r="AZ6" i="16"/>
  <c r="BB6" i="16"/>
  <c r="BH6" i="16"/>
  <c r="B30" i="16"/>
  <c r="A30" i="16" s="1"/>
  <c r="AE30" i="16"/>
  <c r="AS30" i="16"/>
  <c r="AW30" i="16" s="1"/>
  <c r="AX30" i="16" s="1"/>
  <c r="AZ30" i="16"/>
  <c r="B31" i="16"/>
  <c r="A31" i="16" s="1"/>
  <c r="AE31" i="16"/>
  <c r="AS31" i="16"/>
  <c r="AW31" i="16" s="1"/>
  <c r="AU31" i="16"/>
  <c r="AX31" i="16"/>
  <c r="AZ31" i="16"/>
  <c r="BB31" i="16"/>
  <c r="BH31" i="16"/>
  <c r="B32" i="16"/>
  <c r="A32" i="16" s="1"/>
  <c r="AE32" i="16"/>
  <c r="AS32" i="16"/>
  <c r="AW32" i="16" s="1"/>
  <c r="AX32" i="16" s="1"/>
  <c r="AZ32" i="16"/>
  <c r="B33" i="16"/>
  <c r="A33" i="16" s="1"/>
  <c r="AE33" i="16"/>
  <c r="AF71" i="16" s="1"/>
  <c r="AS33" i="16"/>
  <c r="AW33" i="16" s="1"/>
  <c r="AU33" i="16"/>
  <c r="AX33" i="16"/>
  <c r="AZ33" i="16"/>
  <c r="BB33" i="16"/>
  <c r="BH33" i="16"/>
  <c r="B34" i="16"/>
  <c r="A34" i="16" s="1"/>
  <c r="AE34" i="16"/>
  <c r="AF69" i="16" s="1"/>
  <c r="AS34" i="16"/>
  <c r="AW34" i="16" s="1"/>
  <c r="AX34" i="16" s="1"/>
  <c r="AZ34" i="16"/>
  <c r="B35" i="16"/>
  <c r="A35" i="16" s="1"/>
  <c r="AE35" i="16"/>
  <c r="AS35" i="16"/>
  <c r="AW35" i="16" s="1"/>
  <c r="AU35" i="16"/>
  <c r="AX35" i="16"/>
  <c r="AZ35" i="16"/>
  <c r="BA35" i="16"/>
  <c r="BB35" i="16"/>
  <c r="BH35" i="16"/>
  <c r="B36" i="16"/>
  <c r="A36" i="16" s="1"/>
  <c r="AE36" i="16"/>
  <c r="AS36" i="16"/>
  <c r="AW36" i="16" s="1"/>
  <c r="AU36" i="16"/>
  <c r="AX36" i="16"/>
  <c r="AZ36" i="16"/>
  <c r="BB36" i="16"/>
  <c r="BH36" i="16"/>
  <c r="B37" i="16"/>
  <c r="A37" i="16" s="1"/>
  <c r="AE37" i="16"/>
  <c r="AS37" i="16"/>
  <c r="AW37" i="16" s="1"/>
  <c r="AU37" i="16"/>
  <c r="AX37" i="16"/>
  <c r="AZ37" i="16"/>
  <c r="BB37" i="16"/>
  <c r="BH37" i="16"/>
  <c r="B38" i="16"/>
  <c r="A38" i="16" s="1"/>
  <c r="AE38" i="16"/>
  <c r="AS38" i="16"/>
  <c r="AW38" i="16" s="1"/>
  <c r="AU38" i="16"/>
  <c r="AX38" i="16"/>
  <c r="AZ38" i="16"/>
  <c r="BB38" i="16"/>
  <c r="BH38" i="16"/>
  <c r="B39" i="16"/>
  <c r="A39" i="16" s="1"/>
  <c r="AE39" i="16"/>
  <c r="AS39" i="16"/>
  <c r="AW39" i="16" s="1"/>
  <c r="AU39" i="16"/>
  <c r="AX39" i="16"/>
  <c r="AZ39" i="16"/>
  <c r="BB39" i="16"/>
  <c r="BH39" i="16"/>
  <c r="B40" i="16"/>
  <c r="A40" i="16" s="1"/>
  <c r="AE40" i="16"/>
  <c r="AS40" i="16"/>
  <c r="AW40" i="16" s="1"/>
  <c r="AU40" i="16"/>
  <c r="AX40" i="16"/>
  <c r="AZ40" i="16"/>
  <c r="BB40" i="16"/>
  <c r="BH40" i="16"/>
  <c r="B41" i="16"/>
  <c r="A41" i="16" s="1"/>
  <c r="AE41" i="16"/>
  <c r="AS41" i="16"/>
  <c r="AW41" i="16" s="1"/>
  <c r="AU41" i="16"/>
  <c r="AX41" i="16"/>
  <c r="AZ41" i="16"/>
  <c r="BB41" i="16"/>
  <c r="BH41" i="16"/>
  <c r="B42" i="16"/>
  <c r="A42" i="16" s="1"/>
  <c r="AE42" i="16"/>
  <c r="AS42" i="16"/>
  <c r="AW42" i="16" s="1"/>
  <c r="AU42" i="16"/>
  <c r="AX42" i="16"/>
  <c r="AZ42" i="16"/>
  <c r="BB42" i="16"/>
  <c r="BH42" i="16"/>
  <c r="B43" i="16"/>
  <c r="A43" i="16" s="1"/>
  <c r="AE43" i="16"/>
  <c r="AS43" i="16"/>
  <c r="AW43" i="16" s="1"/>
  <c r="AU43" i="16"/>
  <c r="AX43" i="16"/>
  <c r="AZ43" i="16"/>
  <c r="BB43" i="16"/>
  <c r="BH43" i="16"/>
  <c r="B44" i="16"/>
  <c r="A44" i="16" s="1"/>
  <c r="AE44" i="16"/>
  <c r="AS44" i="16"/>
  <c r="AW44" i="16" s="1"/>
  <c r="AU44" i="16"/>
  <c r="AX44" i="16"/>
  <c r="AZ44" i="16"/>
  <c r="BB44" i="16"/>
  <c r="BH44" i="16"/>
  <c r="B45" i="16"/>
  <c r="A45" i="16" s="1"/>
  <c r="AE45" i="16"/>
  <c r="AS45" i="16"/>
  <c r="AW45" i="16" s="1"/>
  <c r="AU45" i="16"/>
  <c r="AX45" i="16"/>
  <c r="AZ45" i="16"/>
  <c r="BB45" i="16"/>
  <c r="BH45" i="16"/>
  <c r="B46" i="16"/>
  <c r="A46" i="16" s="1"/>
  <c r="AE46" i="16"/>
  <c r="AS46" i="16"/>
  <c r="AW46" i="16" s="1"/>
  <c r="AU46" i="16"/>
  <c r="AX46" i="16"/>
  <c r="AZ46" i="16"/>
  <c r="BB46" i="16"/>
  <c r="BH46" i="16"/>
  <c r="B47" i="16"/>
  <c r="A47" i="16" s="1"/>
  <c r="AE47" i="16"/>
  <c r="AS47" i="16"/>
  <c r="AW47" i="16" s="1"/>
  <c r="AU47" i="16"/>
  <c r="AX47" i="16"/>
  <c r="AZ47" i="16"/>
  <c r="BB47" i="16"/>
  <c r="BH47" i="16"/>
  <c r="B48" i="16"/>
  <c r="A48" i="16" s="1"/>
  <c r="AE48" i="16"/>
  <c r="AS48" i="16"/>
  <c r="AW48" i="16" s="1"/>
  <c r="AU48" i="16"/>
  <c r="AX48" i="16"/>
  <c r="AZ48" i="16"/>
  <c r="BB48" i="16"/>
  <c r="BH48" i="16"/>
  <c r="B49" i="16"/>
  <c r="A49" i="16" s="1"/>
  <c r="AE49" i="16"/>
  <c r="AS49" i="16"/>
  <c r="AW49" i="16" s="1"/>
  <c r="AU49" i="16"/>
  <c r="AX49" i="16"/>
  <c r="AZ49" i="16"/>
  <c r="BB49" i="16"/>
  <c r="BH49" i="16"/>
  <c r="B50" i="16"/>
  <c r="A50" i="16" s="1"/>
  <c r="AE50" i="16"/>
  <c r="AS50" i="16"/>
  <c r="AW50" i="16" s="1"/>
  <c r="AU50" i="16"/>
  <c r="AX50" i="16"/>
  <c r="AZ50" i="16"/>
  <c r="BB50" i="16"/>
  <c r="BH50" i="16"/>
  <c r="B51" i="16"/>
  <c r="A51" i="16" s="1"/>
  <c r="AE51" i="16"/>
  <c r="AS51" i="16"/>
  <c r="AW51" i="16" s="1"/>
  <c r="AU51" i="16"/>
  <c r="AX51" i="16"/>
  <c r="AZ51" i="16"/>
  <c r="BB51" i="16"/>
  <c r="BH51" i="16"/>
  <c r="B52" i="16"/>
  <c r="A52" i="16" s="1"/>
  <c r="AE52" i="16"/>
  <c r="AS52" i="16"/>
  <c r="AW52" i="16" s="1"/>
  <c r="AU52" i="16"/>
  <c r="AX52" i="16"/>
  <c r="AZ52" i="16"/>
  <c r="BB52" i="16"/>
  <c r="BH52" i="16"/>
  <c r="B53" i="16"/>
  <c r="A53" i="16" s="1"/>
  <c r="AE53" i="16"/>
  <c r="AS53" i="16"/>
  <c r="AW53" i="16" s="1"/>
  <c r="AU53" i="16"/>
  <c r="AX53" i="16"/>
  <c r="AZ53" i="16"/>
  <c r="BB53" i="16"/>
  <c r="BH53" i="16"/>
  <c r="B54" i="16"/>
  <c r="A54" i="16" s="1"/>
  <c r="AE54" i="16"/>
  <c r="AS54" i="16"/>
  <c r="AW54" i="16" s="1"/>
  <c r="AU54" i="16"/>
  <c r="AX54" i="16"/>
  <c r="AZ54" i="16"/>
  <c r="BB54" i="16"/>
  <c r="BH54" i="16"/>
  <c r="R56" i="16"/>
  <c r="S56" i="16"/>
  <c r="T56" i="16"/>
  <c r="U56" i="16"/>
  <c r="V56" i="16"/>
  <c r="W56" i="16"/>
  <c r="X56" i="16"/>
  <c r="Y56" i="16"/>
  <c r="Z56" i="16"/>
  <c r="AA56" i="16"/>
  <c r="AB56" i="16"/>
  <c r="AC56" i="16"/>
  <c r="L9" i="16"/>
  <c r="F12" i="16"/>
  <c r="X4" i="17"/>
  <c r="F15" i="16"/>
  <c r="F11" i="16"/>
  <c r="F9" i="16"/>
  <c r="B3" i="17"/>
  <c r="U4" i="17"/>
  <c r="Y3" i="17"/>
  <c r="L8" i="16"/>
  <c r="S3" i="17"/>
  <c r="AB3" i="17"/>
  <c r="AP128" i="17" l="1"/>
  <c r="BD52" i="16"/>
  <c r="BG52" i="16" s="1"/>
  <c r="AF68" i="16"/>
  <c r="BE6" i="16"/>
  <c r="AS24" i="17"/>
  <c r="AT24" i="17" s="1"/>
  <c r="AU24" i="17" s="1"/>
  <c r="AV24" i="17" s="1"/>
  <c r="L10" i="2"/>
  <c r="BD44" i="16"/>
  <c r="BG44" i="16" s="1"/>
  <c r="BD33" i="16"/>
  <c r="BG33" i="16" s="1"/>
  <c r="BA44" i="16"/>
  <c r="BF43" i="16"/>
  <c r="BD6" i="16"/>
  <c r="BG6" i="16" s="1"/>
  <c r="BF44" i="16"/>
  <c r="AP129" i="17"/>
  <c r="AS129" i="17" s="1"/>
  <c r="AT129" i="17" s="1"/>
  <c r="AU129" i="17" s="1"/>
  <c r="AV129" i="17" s="1"/>
  <c r="AP124" i="17"/>
  <c r="AP116" i="17"/>
  <c r="AS116" i="17" s="1"/>
  <c r="AT116" i="17" s="1"/>
  <c r="AU116" i="17" s="1"/>
  <c r="AV116" i="17" s="1"/>
  <c r="AP108" i="17"/>
  <c r="AS108" i="17" s="1"/>
  <c r="AT108" i="17" s="1"/>
  <c r="AU108" i="17" s="1"/>
  <c r="AV108" i="17" s="1"/>
  <c r="AP76" i="17"/>
  <c r="AS76" i="17" s="1"/>
  <c r="AT76" i="17" s="1"/>
  <c r="AU76" i="17" s="1"/>
  <c r="AV76" i="17" s="1"/>
  <c r="AP136" i="17"/>
  <c r="AS136" i="17" s="1"/>
  <c r="AT136" i="17" s="1"/>
  <c r="AU136" i="17" s="1"/>
  <c r="AV136" i="17" s="1"/>
  <c r="AP91" i="17"/>
  <c r="AS91" i="17" s="1"/>
  <c r="AT91" i="17" s="1"/>
  <c r="AU91" i="17" s="1"/>
  <c r="AV91" i="17" s="1"/>
  <c r="AP75" i="17"/>
  <c r="AS75" i="17" s="1"/>
  <c r="AT75" i="17" s="1"/>
  <c r="AU75" i="17" s="1"/>
  <c r="AV75" i="17" s="1"/>
  <c r="AP67" i="17"/>
  <c r="D47" i="15"/>
  <c r="E47" i="15"/>
  <c r="AP14" i="17"/>
  <c r="AS14" i="17" s="1"/>
  <c r="F47" i="15"/>
  <c r="AP89" i="17"/>
  <c r="AS89" i="17" s="1"/>
  <c r="AT89" i="17" s="1"/>
  <c r="AU89" i="17" s="1"/>
  <c r="AV89" i="17" s="1"/>
  <c r="AP81" i="17"/>
  <c r="AS81" i="17" s="1"/>
  <c r="AT81" i="17" s="1"/>
  <c r="AU81" i="17" s="1"/>
  <c r="AV81" i="17" s="1"/>
  <c r="BA52" i="16"/>
  <c r="BF51" i="16"/>
  <c r="BF42" i="16"/>
  <c r="AH71" i="16"/>
  <c r="AI71" i="16" s="1"/>
  <c r="AK71" i="16" s="1"/>
  <c r="BA42" i="16"/>
  <c r="BF40" i="16"/>
  <c r="AF66" i="16"/>
  <c r="AH69" i="16"/>
  <c r="AI69" i="16" s="1"/>
  <c r="AK69" i="16" s="1"/>
  <c r="BD51" i="16"/>
  <c r="BG51" i="16" s="1"/>
  <c r="BA51" i="16"/>
  <c r="BD39" i="16"/>
  <c r="BG39" i="16" s="1"/>
  <c r="BA32" i="16"/>
  <c r="AW6" i="16"/>
  <c r="BA45" i="16"/>
  <c r="BD35" i="16"/>
  <c r="BG35" i="16" s="1"/>
  <c r="BA33" i="16"/>
  <c r="B51" i="15"/>
  <c r="AP123" i="17"/>
  <c r="AS123" i="17" s="1"/>
  <c r="AT123" i="17" s="1"/>
  <c r="AU123" i="17" s="1"/>
  <c r="AV123" i="17" s="1"/>
  <c r="AP104" i="17"/>
  <c r="AS104" i="17" s="1"/>
  <c r="AT104" i="17" s="1"/>
  <c r="AU104" i="17" s="1"/>
  <c r="AV104" i="17" s="1"/>
  <c r="AP85" i="17"/>
  <c r="AS85" i="17" s="1"/>
  <c r="AP77" i="17"/>
  <c r="AS77" i="17" s="1"/>
  <c r="AT77" i="17" s="1"/>
  <c r="AU77" i="17" s="1"/>
  <c r="AV77" i="17" s="1"/>
  <c r="AP79" i="17"/>
  <c r="AS79" i="17" s="1"/>
  <c r="AT79" i="17" s="1"/>
  <c r="AU79" i="17" s="1"/>
  <c r="AV79" i="17" s="1"/>
  <c r="AP63" i="17"/>
  <c r="AS63" i="17" s="1"/>
  <c r="AP102" i="17"/>
  <c r="AS102" i="17" s="1"/>
  <c r="AT102" i="17" s="1"/>
  <c r="AU102" i="17" s="1"/>
  <c r="AV102" i="17" s="1"/>
  <c r="AP94" i="17"/>
  <c r="AS94" i="17" s="1"/>
  <c r="AT94" i="17" s="1"/>
  <c r="AU94" i="17" s="1"/>
  <c r="AV94" i="17" s="1"/>
  <c r="AP49" i="17"/>
  <c r="AS49" i="17" s="1"/>
  <c r="AT49" i="17" s="1"/>
  <c r="AU49" i="17" s="1"/>
  <c r="AV49" i="17" s="1"/>
  <c r="AP37" i="17"/>
  <c r="AS37" i="17" s="1"/>
  <c r="AT37" i="17" s="1"/>
  <c r="AU37" i="17" s="1"/>
  <c r="AV37" i="17" s="1"/>
  <c r="AP27" i="17"/>
  <c r="AS27" i="17" s="1"/>
  <c r="AT27" i="17" s="1"/>
  <c r="AU27" i="17" s="1"/>
  <c r="AV27" i="17" s="1"/>
  <c r="AP103" i="17"/>
  <c r="AS103" i="17" s="1"/>
  <c r="AT103" i="17" s="1"/>
  <c r="AU103" i="17" s="1"/>
  <c r="AV103" i="17" s="1"/>
  <c r="AP95" i="17"/>
  <c r="AS95" i="17" s="1"/>
  <c r="AT95" i="17" s="1"/>
  <c r="AU95" i="17" s="1"/>
  <c r="AV95" i="17" s="1"/>
  <c r="AP74" i="17"/>
  <c r="AS74" i="17" s="1"/>
  <c r="AT74" i="17" s="1"/>
  <c r="AU74" i="17" s="1"/>
  <c r="AV74" i="17" s="1"/>
  <c r="AP44" i="17"/>
  <c r="AS44" i="17" s="1"/>
  <c r="AT44" i="17" s="1"/>
  <c r="AU44" i="17" s="1"/>
  <c r="AV44" i="17" s="1"/>
  <c r="AP30" i="17"/>
  <c r="AS30" i="17" s="1"/>
  <c r="AT30" i="17" s="1"/>
  <c r="AU30" i="17" s="1"/>
  <c r="AV30" i="17" s="1"/>
  <c r="AP23" i="17"/>
  <c r="AS23" i="17" s="1"/>
  <c r="AP57" i="17"/>
  <c r="AS57" i="17" s="1"/>
  <c r="AP53" i="17"/>
  <c r="AS53" i="17" s="1"/>
  <c r="AT53" i="17" s="1"/>
  <c r="AU53" i="17" s="1"/>
  <c r="AV53" i="17" s="1"/>
  <c r="AP31" i="17"/>
  <c r="AS31" i="17" s="1"/>
  <c r="AT31" i="17" s="1"/>
  <c r="AU31" i="17" s="1"/>
  <c r="AV31" i="17" s="1"/>
  <c r="AP55" i="17"/>
  <c r="AS55" i="17" s="1"/>
  <c r="AT55" i="17" s="1"/>
  <c r="AU55" i="17" s="1"/>
  <c r="AV55" i="17" s="1"/>
  <c r="AP58" i="17"/>
  <c r="AS58" i="17" s="1"/>
  <c r="AT58" i="17" s="1"/>
  <c r="AU58" i="17" s="1"/>
  <c r="AP48" i="17"/>
  <c r="AS48" i="17" s="1"/>
  <c r="AT48" i="17" s="1"/>
  <c r="AU48" i="17" s="1"/>
  <c r="AV48" i="17" s="1"/>
  <c r="AP62" i="17"/>
  <c r="AS62" i="17" s="1"/>
  <c r="AP51" i="17"/>
  <c r="AS51" i="17" s="1"/>
  <c r="AT51" i="17" s="1"/>
  <c r="AU51" i="17" s="1"/>
  <c r="AV51" i="17" s="1"/>
  <c r="AP130" i="17"/>
  <c r="AS130" i="17" s="1"/>
  <c r="AT130" i="17" s="1"/>
  <c r="AU130" i="17" s="1"/>
  <c r="AV130" i="17" s="1"/>
  <c r="AP125" i="17"/>
  <c r="AS125" i="17" s="1"/>
  <c r="AT125" i="17" s="1"/>
  <c r="AU125" i="17" s="1"/>
  <c r="AV125" i="17" s="1"/>
  <c r="AP117" i="17"/>
  <c r="AS117" i="17" s="1"/>
  <c r="AT117" i="17" s="1"/>
  <c r="AU117" i="17" s="1"/>
  <c r="AV117" i="17" s="1"/>
  <c r="AP80" i="17"/>
  <c r="AS80" i="17" s="1"/>
  <c r="AT80" i="17" s="1"/>
  <c r="AU80" i="17" s="1"/>
  <c r="AV80" i="17" s="1"/>
  <c r="AP121" i="17"/>
  <c r="AS121" i="17" s="1"/>
  <c r="AT121" i="17" s="1"/>
  <c r="AU121" i="17" s="1"/>
  <c r="AV121" i="17" s="1"/>
  <c r="AP100" i="17"/>
  <c r="AS100" i="17" s="1"/>
  <c r="AT100" i="17" s="1"/>
  <c r="AU100" i="17" s="1"/>
  <c r="AV100" i="17" s="1"/>
  <c r="AP92" i="17"/>
  <c r="AS92" i="17" s="1"/>
  <c r="AT92" i="17" s="1"/>
  <c r="AU92" i="17" s="1"/>
  <c r="AV92" i="17" s="1"/>
  <c r="AP64" i="17"/>
  <c r="AS64" i="17" s="1"/>
  <c r="AT64" i="17" s="1"/>
  <c r="AU64" i="17" s="1"/>
  <c r="AV64" i="17" s="1"/>
  <c r="AP42" i="17"/>
  <c r="AS42" i="17" s="1"/>
  <c r="AT42" i="17" s="1"/>
  <c r="AU42" i="17" s="1"/>
  <c r="AV42" i="17" s="1"/>
  <c r="AP110" i="17"/>
  <c r="AS110" i="17" s="1"/>
  <c r="AT110" i="17" s="1"/>
  <c r="AU110" i="17" s="1"/>
  <c r="AV110" i="17" s="1"/>
  <c r="AP97" i="17"/>
  <c r="AS97" i="17" s="1"/>
  <c r="AT97" i="17" s="1"/>
  <c r="AU97" i="17" s="1"/>
  <c r="AV97" i="17" s="1"/>
  <c r="AP69" i="17"/>
  <c r="AS69" i="17" s="1"/>
  <c r="AT69" i="17" s="1"/>
  <c r="AU69" i="17" s="1"/>
  <c r="AV69" i="17" s="1"/>
  <c r="AP120" i="17"/>
  <c r="AS120" i="17" s="1"/>
  <c r="AT120" i="17" s="1"/>
  <c r="AU120" i="17" s="1"/>
  <c r="AV120" i="17" s="1"/>
  <c r="AP112" i="17"/>
  <c r="AS112" i="17" s="1"/>
  <c r="AT112" i="17" s="1"/>
  <c r="AU112" i="17" s="1"/>
  <c r="AV112" i="17" s="1"/>
  <c r="AP84" i="17"/>
  <c r="AS84" i="17" s="1"/>
  <c r="AT84" i="17" s="1"/>
  <c r="AU84" i="17" s="1"/>
  <c r="AV84" i="17" s="1"/>
  <c r="AP47" i="17"/>
  <c r="AS47" i="17" s="1"/>
  <c r="AT47" i="17" s="1"/>
  <c r="AU47" i="17" s="1"/>
  <c r="AV47" i="17" s="1"/>
  <c r="AP33" i="17"/>
  <c r="AS33" i="17" s="1"/>
  <c r="AT33" i="17" s="1"/>
  <c r="AU33" i="17" s="1"/>
  <c r="AV33" i="17" s="1"/>
  <c r="AP105" i="17"/>
  <c r="AS105" i="17" s="1"/>
  <c r="AT105" i="17" s="1"/>
  <c r="AU105" i="17" s="1"/>
  <c r="AV105" i="17" s="1"/>
  <c r="AP96" i="17"/>
  <c r="AS96" i="17" s="1"/>
  <c r="AT96" i="17" s="1"/>
  <c r="AU96" i="17" s="1"/>
  <c r="AV96" i="17" s="1"/>
  <c r="AP68" i="17"/>
  <c r="AS68" i="17" s="1"/>
  <c r="AT68" i="17" s="1"/>
  <c r="AU68" i="17" s="1"/>
  <c r="AV68" i="17" s="1"/>
  <c r="AP21" i="17"/>
  <c r="AS21" i="17" s="1"/>
  <c r="AP140" i="17"/>
  <c r="AS140" i="17" s="1"/>
  <c r="AP122" i="17"/>
  <c r="AS122" i="17" s="1"/>
  <c r="AT122" i="17" s="1"/>
  <c r="AU122" i="17" s="1"/>
  <c r="AV122" i="17" s="1"/>
  <c r="AP101" i="17"/>
  <c r="AS101" i="17" s="1"/>
  <c r="AT101" i="17" s="1"/>
  <c r="AU101" i="17" s="1"/>
  <c r="AV101" i="17" s="1"/>
  <c r="AP88" i="17"/>
  <c r="AS88" i="17" s="1"/>
  <c r="AT88" i="17" s="1"/>
  <c r="AU88" i="17" s="1"/>
  <c r="AV88" i="17" s="1"/>
  <c r="AP73" i="17"/>
  <c r="AS73" i="17" s="1"/>
  <c r="AT73" i="17" s="1"/>
  <c r="AU73" i="17" s="1"/>
  <c r="AV73" i="17" s="1"/>
  <c r="AP65" i="17"/>
  <c r="AS65" i="17" s="1"/>
  <c r="AT65" i="17" s="1"/>
  <c r="AU65" i="17" s="1"/>
  <c r="AV65" i="17" s="1"/>
  <c r="AP132" i="17"/>
  <c r="AS132" i="17" s="1"/>
  <c r="AT132" i="17" s="1"/>
  <c r="AU132" i="17" s="1"/>
  <c r="AV132" i="17" s="1"/>
  <c r="AP127" i="17"/>
  <c r="AS127" i="17" s="1"/>
  <c r="AT127" i="17" s="1"/>
  <c r="AU127" i="17" s="1"/>
  <c r="AV127" i="17" s="1"/>
  <c r="AP119" i="17"/>
  <c r="AS119" i="17" s="1"/>
  <c r="AT119" i="17" s="1"/>
  <c r="AU119" i="17" s="1"/>
  <c r="AV119" i="17" s="1"/>
  <c r="AP111" i="17"/>
  <c r="AS111" i="17" s="1"/>
  <c r="AT111" i="17" s="1"/>
  <c r="AU111" i="17" s="1"/>
  <c r="AV111" i="17" s="1"/>
  <c r="AP90" i="17"/>
  <c r="AS90" i="17" s="1"/>
  <c r="AT90" i="17" s="1"/>
  <c r="AU90" i="17" s="1"/>
  <c r="AV90" i="17" s="1"/>
  <c r="AP70" i="17"/>
  <c r="AS70" i="17" s="1"/>
  <c r="AT70" i="17" s="1"/>
  <c r="AU70" i="17" s="1"/>
  <c r="AV70" i="17" s="1"/>
  <c r="AP61" i="17"/>
  <c r="AS61" i="17" s="1"/>
  <c r="AT61" i="17" s="1"/>
  <c r="AU61" i="17" s="1"/>
  <c r="AV61" i="17" s="1"/>
  <c r="AP50" i="17"/>
  <c r="AS50" i="17" s="1"/>
  <c r="AP52" i="17"/>
  <c r="AS52" i="17" s="1"/>
  <c r="AT52" i="17" s="1"/>
  <c r="AU52" i="17" s="1"/>
  <c r="AV52" i="17" s="1"/>
  <c r="AP32" i="17"/>
  <c r="AS32" i="17" s="1"/>
  <c r="AT32" i="17" s="1"/>
  <c r="AU32" i="17" s="1"/>
  <c r="AV32" i="17" s="1"/>
  <c r="AP22" i="17"/>
  <c r="AS22" i="17" s="1"/>
  <c r="AT22" i="17" s="1"/>
  <c r="AU22" i="17" s="1"/>
  <c r="AV22" i="17" s="1"/>
  <c r="AP35" i="17"/>
  <c r="AS35" i="17" s="1"/>
  <c r="AT35" i="17" s="1"/>
  <c r="AU35" i="17" s="1"/>
  <c r="AV35" i="17" s="1"/>
  <c r="AP59" i="17"/>
  <c r="AS59" i="17" s="1"/>
  <c r="AT59" i="17" s="1"/>
  <c r="AU59" i="17" s="1"/>
  <c r="AV59" i="17" s="1"/>
  <c r="AP60" i="17"/>
  <c r="AS60" i="17" s="1"/>
  <c r="AP133" i="17"/>
  <c r="AS133" i="17" s="1"/>
  <c r="AT133" i="17" s="1"/>
  <c r="AU133" i="17" s="1"/>
  <c r="AV133" i="17" s="1"/>
  <c r="AP126" i="17"/>
  <c r="AS126" i="17" s="1"/>
  <c r="AT126" i="17" s="1"/>
  <c r="AU126" i="17" s="1"/>
  <c r="AV126" i="17" s="1"/>
  <c r="AP115" i="17"/>
  <c r="AS115" i="17" s="1"/>
  <c r="AT115" i="17" s="1"/>
  <c r="AU115" i="17" s="1"/>
  <c r="AV115" i="17" s="1"/>
  <c r="AP106" i="17"/>
  <c r="AS106" i="17" s="1"/>
  <c r="AT106" i="17" s="1"/>
  <c r="AU106" i="17" s="1"/>
  <c r="AV106" i="17" s="1"/>
  <c r="AP99" i="17"/>
  <c r="AS99" i="17" s="1"/>
  <c r="AT99" i="17" s="1"/>
  <c r="AU99" i="17" s="1"/>
  <c r="AV99" i="17" s="1"/>
  <c r="AP83" i="17"/>
  <c r="AS83" i="17" s="1"/>
  <c r="AT83" i="17" s="1"/>
  <c r="AU83" i="17" s="1"/>
  <c r="AV83" i="17" s="1"/>
  <c r="AP71" i="17"/>
  <c r="AS71" i="17" s="1"/>
  <c r="AT71" i="17" s="1"/>
  <c r="AU71" i="17" s="1"/>
  <c r="AV71" i="17" s="1"/>
  <c r="AP66" i="17"/>
  <c r="AS66" i="17" s="1"/>
  <c r="AT66" i="17" s="1"/>
  <c r="AU66" i="17" s="1"/>
  <c r="AV66" i="17" s="1"/>
  <c r="AP45" i="17"/>
  <c r="AS45" i="17" s="1"/>
  <c r="AT45" i="17" s="1"/>
  <c r="AU45" i="17" s="1"/>
  <c r="AV45" i="17" s="1"/>
  <c r="AS18" i="17"/>
  <c r="AT18" i="17" s="1"/>
  <c r="AU18" i="17" s="1"/>
  <c r="AV18" i="17" s="1"/>
  <c r="AS15" i="17"/>
  <c r="AT15" i="17" s="1"/>
  <c r="AU15" i="17" s="1"/>
  <c r="AV15" i="17" s="1"/>
  <c r="AS54" i="17"/>
  <c r="AS16" i="17"/>
  <c r="AT16" i="17" s="1"/>
  <c r="AU16" i="17" s="1"/>
  <c r="AV16" i="17" s="1"/>
  <c r="AS67" i="17"/>
  <c r="AT67" i="17" s="1"/>
  <c r="AU67" i="17" s="1"/>
  <c r="AV67" i="17" s="1"/>
  <c r="AS19" i="17"/>
  <c r="AT19" i="17" s="1"/>
  <c r="AU19" i="17" s="1"/>
  <c r="AV19" i="17" s="1"/>
  <c r="AS34" i="17"/>
  <c r="AT34" i="17" s="1"/>
  <c r="AU34" i="17" s="1"/>
  <c r="AV34" i="17" s="1"/>
  <c r="AS17" i="17"/>
  <c r="AT17" i="17" s="1"/>
  <c r="AU17" i="17" s="1"/>
  <c r="AV17" i="17" s="1"/>
  <c r="M8" i="2"/>
  <c r="L8" i="2" s="1"/>
  <c r="M18" i="2"/>
  <c r="L18" i="2" s="1"/>
  <c r="BD37" i="16"/>
  <c r="BG37" i="16" s="1"/>
  <c r="BF50" i="16"/>
  <c r="BD43" i="16"/>
  <c r="BG43" i="16" s="1"/>
  <c r="BA37" i="16"/>
  <c r="BF36" i="16"/>
  <c r="AE56" i="16"/>
  <c r="Z37" i="2" s="1"/>
  <c r="BA53" i="16"/>
  <c r="BF52" i="16"/>
  <c r="BA50" i="16"/>
  <c r="BF48" i="16"/>
  <c r="BD36" i="16"/>
  <c r="BG36" i="16" s="1"/>
  <c r="BD47" i="16"/>
  <c r="BG47" i="16" s="1"/>
  <c r="BA43" i="16"/>
  <c r="BD31" i="16"/>
  <c r="BG31" i="16" s="1"/>
  <c r="BF30" i="16"/>
  <c r="BA36" i="16"/>
  <c r="BF35" i="16"/>
  <c r="BD32" i="16"/>
  <c r="BA30" i="16"/>
  <c r="BB30" i="16" s="1"/>
  <c r="AS20" i="17"/>
  <c r="AT20" i="17" s="1"/>
  <c r="AP93" i="17"/>
  <c r="AS93" i="17" s="1"/>
  <c r="AT93" i="17" s="1"/>
  <c r="AU93" i="17" s="1"/>
  <c r="AV93" i="17" s="1"/>
  <c r="AP87" i="17"/>
  <c r="AS87" i="17" s="1"/>
  <c r="AT87" i="17" s="1"/>
  <c r="AU87" i="17" s="1"/>
  <c r="AV87" i="17" s="1"/>
  <c r="AP72" i="17"/>
  <c r="AS72" i="17" s="1"/>
  <c r="AT72" i="17" s="1"/>
  <c r="AU72" i="17" s="1"/>
  <c r="AV72" i="17" s="1"/>
  <c r="AP56" i="17"/>
  <c r="AS56" i="17" s="1"/>
  <c r="AT56" i="17" s="1"/>
  <c r="AU56" i="17" s="1"/>
  <c r="AV56" i="17" s="1"/>
  <c r="AP46" i="17"/>
  <c r="AS46" i="17" s="1"/>
  <c r="AT46" i="17" s="1"/>
  <c r="AU46" i="17" s="1"/>
  <c r="AV46" i="17" s="1"/>
  <c r="AP36" i="17"/>
  <c r="AS36" i="17" s="1"/>
  <c r="AT36" i="17" s="1"/>
  <c r="AU36" i="17" s="1"/>
  <c r="AV36" i="17" s="1"/>
  <c r="AP38" i="17"/>
  <c r="AS38" i="17" s="1"/>
  <c r="AT38" i="17" s="1"/>
  <c r="AU38" i="17" s="1"/>
  <c r="AV38" i="17" s="1"/>
  <c r="AS43" i="17"/>
  <c r="AT43" i="17" s="1"/>
  <c r="AU43" i="17" s="1"/>
  <c r="AV43" i="17" s="1"/>
  <c r="AP98" i="17"/>
  <c r="AS98" i="17" s="1"/>
  <c r="AT98" i="17" s="1"/>
  <c r="AU98" i="17" s="1"/>
  <c r="AV98" i="17" s="1"/>
  <c r="AS40" i="17"/>
  <c r="AT40" i="17" s="1"/>
  <c r="AU40" i="17" s="1"/>
  <c r="AV40" i="17" s="1"/>
  <c r="AS39" i="17"/>
  <c r="AT39" i="17" s="1"/>
  <c r="AU39" i="17" s="1"/>
  <c r="AV39" i="17" s="1"/>
  <c r="AS124" i="17"/>
  <c r="AT124" i="17" s="1"/>
  <c r="AU124" i="17" s="1"/>
  <c r="AV124" i="17" s="1"/>
  <c r="AP113" i="17"/>
  <c r="AS113" i="17" s="1"/>
  <c r="AT113" i="17" s="1"/>
  <c r="AU113" i="17" s="1"/>
  <c r="AV113" i="17" s="1"/>
  <c r="AP107" i="17"/>
  <c r="AS107" i="17" s="1"/>
  <c r="AT107" i="17" s="1"/>
  <c r="AU107" i="17" s="1"/>
  <c r="AV107" i="17" s="1"/>
  <c r="AS41" i="17"/>
  <c r="AT41" i="17" s="1"/>
  <c r="AU41" i="17" s="1"/>
  <c r="AV41" i="17" s="1"/>
  <c r="AP109" i="17"/>
  <c r="AS109" i="17" s="1"/>
  <c r="AT109" i="17" s="1"/>
  <c r="AU109" i="17" s="1"/>
  <c r="AV109" i="17" s="1"/>
  <c r="AP86" i="17"/>
  <c r="AS86" i="17" s="1"/>
  <c r="AT86" i="17" s="1"/>
  <c r="AU86" i="17" s="1"/>
  <c r="AV86" i="17" s="1"/>
  <c r="AP29" i="17"/>
  <c r="AS29" i="17" s="1"/>
  <c r="AT29" i="17" s="1"/>
  <c r="AU29" i="17" s="1"/>
  <c r="AV29" i="17" s="1"/>
  <c r="AS25" i="17"/>
  <c r="AT25" i="17" s="1"/>
  <c r="AU25" i="17" s="1"/>
  <c r="AV25" i="17" s="1"/>
  <c r="AP139" i="17"/>
  <c r="AS139" i="17" s="1"/>
  <c r="AT139" i="17" s="1"/>
  <c r="AU139" i="17" s="1"/>
  <c r="AV139" i="17" s="1"/>
  <c r="AP135" i="17"/>
  <c r="AS135" i="17" s="1"/>
  <c r="AT135" i="17" s="1"/>
  <c r="AU135" i="17" s="1"/>
  <c r="AV135" i="17" s="1"/>
  <c r="AP114" i="17"/>
  <c r="AS114" i="17" s="1"/>
  <c r="AT114" i="17" s="1"/>
  <c r="AU114" i="17" s="1"/>
  <c r="AV114" i="17" s="1"/>
  <c r="AP82" i="17"/>
  <c r="AS82" i="17" s="1"/>
  <c r="AT82" i="17" s="1"/>
  <c r="AU82" i="17" s="1"/>
  <c r="AV82" i="17" s="1"/>
  <c r="AP26" i="17"/>
  <c r="AS26" i="17" s="1"/>
  <c r="AS28" i="17"/>
  <c r="AT28" i="17" s="1"/>
  <c r="AU28" i="17" s="1"/>
  <c r="AV28" i="17" s="1"/>
  <c r="AP137" i="17"/>
  <c r="AS137" i="17" s="1"/>
  <c r="AT137" i="17" s="1"/>
  <c r="AU137" i="17" s="1"/>
  <c r="AV137" i="17" s="1"/>
  <c r="AP131" i="17"/>
  <c r="AS131" i="17" s="1"/>
  <c r="AT131" i="17" s="1"/>
  <c r="AU131" i="17" s="1"/>
  <c r="AV131" i="17" s="1"/>
  <c r="AP78" i="17"/>
  <c r="AS78" i="17" s="1"/>
  <c r="AT78" i="17" s="1"/>
  <c r="AU78" i="17" s="1"/>
  <c r="AV78" i="17" s="1"/>
  <c r="AP138" i="17"/>
  <c r="AS138" i="17" s="1"/>
  <c r="AT138" i="17" s="1"/>
  <c r="AU138" i="17" s="1"/>
  <c r="AV138" i="17" s="1"/>
  <c r="AS128" i="17"/>
  <c r="AT128" i="17" s="1"/>
  <c r="AU128" i="17" s="1"/>
  <c r="AV128" i="17" s="1"/>
  <c r="AP118" i="17"/>
  <c r="AS118" i="17" s="1"/>
  <c r="AT118" i="17" s="1"/>
  <c r="AU118" i="17" s="1"/>
  <c r="AV118" i="17" s="1"/>
  <c r="AP134" i="17"/>
  <c r="AS134" i="17" s="1"/>
  <c r="BD45" i="16"/>
  <c r="BG45" i="16" s="1"/>
  <c r="BD50" i="16"/>
  <c r="BG50" i="16" s="1"/>
  <c r="BA48" i="16"/>
  <c r="BF47" i="16"/>
  <c r="BD42" i="16"/>
  <c r="BG42" i="16" s="1"/>
  <c r="BA40" i="16"/>
  <c r="BF39" i="16"/>
  <c r="BA34" i="16"/>
  <c r="BB34" i="16" s="1"/>
  <c r="BF32" i="16"/>
  <c r="BF31" i="16"/>
  <c r="BF54" i="16"/>
  <c r="BD49" i="16"/>
  <c r="BG49" i="16" s="1"/>
  <c r="BA47" i="16"/>
  <c r="BF46" i="16"/>
  <c r="BD41" i="16"/>
  <c r="BG41" i="16" s="1"/>
  <c r="BA39" i="16"/>
  <c r="BF38" i="16"/>
  <c r="BB32" i="16"/>
  <c r="BA31" i="16"/>
  <c r="BD30" i="16"/>
  <c r="BF6" i="16"/>
  <c r="AT6" i="16"/>
  <c r="BD54" i="16"/>
  <c r="BG54" i="16" s="1"/>
  <c r="BD46" i="16"/>
  <c r="BG46" i="16" s="1"/>
  <c r="BD38" i="16"/>
  <c r="BG38" i="16" s="1"/>
  <c r="BF41" i="16"/>
  <c r="BA41" i="16"/>
  <c r="BA49" i="16"/>
  <c r="BA54" i="16"/>
  <c r="BF53" i="16"/>
  <c r="BD48" i="16"/>
  <c r="BG48" i="16" s="1"/>
  <c r="BA46" i="16"/>
  <c r="BF45" i="16"/>
  <c r="BD40" i="16"/>
  <c r="BG40" i="16" s="1"/>
  <c r="BA38" i="16"/>
  <c r="BF37" i="16"/>
  <c r="BF34" i="16"/>
  <c r="BF33" i="16"/>
  <c r="BF49" i="16"/>
  <c r="BD53" i="16"/>
  <c r="BG53" i="16" s="1"/>
  <c r="BD34" i="16"/>
  <c r="B18" i="16"/>
  <c r="B19" i="16" s="1"/>
  <c r="BE54" i="16"/>
  <c r="AT54" i="16"/>
  <c r="BE53" i="16"/>
  <c r="AT53" i="16"/>
  <c r="BE52" i="16"/>
  <c r="AT52" i="16"/>
  <c r="BE51" i="16"/>
  <c r="AT51" i="16"/>
  <c r="BE50" i="16"/>
  <c r="AT50" i="16"/>
  <c r="BE49" i="16"/>
  <c r="AT49" i="16"/>
  <c r="BE48" i="16"/>
  <c r="AT48" i="16"/>
  <c r="BE47" i="16"/>
  <c r="AT47" i="16"/>
  <c r="BE46" i="16"/>
  <c r="AT46" i="16"/>
  <c r="BE45" i="16"/>
  <c r="AT45" i="16"/>
  <c r="BE44" i="16"/>
  <c r="AT44" i="16"/>
  <c r="BE43" i="16"/>
  <c r="AT43" i="16"/>
  <c r="BE42" i="16"/>
  <c r="AT42" i="16"/>
  <c r="BE41" i="16"/>
  <c r="AT41" i="16"/>
  <c r="BE40" i="16"/>
  <c r="AT40" i="16"/>
  <c r="BE39" i="16"/>
  <c r="AT39" i="16"/>
  <c r="BE38" i="16"/>
  <c r="AT38" i="16"/>
  <c r="BE37" i="16"/>
  <c r="AT37" i="16"/>
  <c r="BE36" i="16"/>
  <c r="AT36" i="16"/>
  <c r="BE35" i="16"/>
  <c r="AT35" i="16"/>
  <c r="BE34" i="16"/>
  <c r="AT34" i="16"/>
  <c r="AU34" i="16" s="1"/>
  <c r="BE33" i="16"/>
  <c r="AT33" i="16"/>
  <c r="BE32" i="16"/>
  <c r="AT32" i="16"/>
  <c r="AU32" i="16" s="1"/>
  <c r="BE31" i="16"/>
  <c r="AT31" i="16"/>
  <c r="BE30" i="16"/>
  <c r="AT30" i="16"/>
  <c r="AU30" i="16" s="1"/>
  <c r="F10" i="16"/>
  <c r="F13" i="16"/>
  <c r="C43" i="15" l="1"/>
  <c r="BG32" i="16"/>
  <c r="BH32" i="16" s="1"/>
  <c r="BG30" i="16"/>
  <c r="BH30" i="16" s="1"/>
  <c r="W33" i="2"/>
  <c r="W10" i="2"/>
  <c r="T10" i="2"/>
  <c r="Z41" i="2"/>
  <c r="T12" i="2"/>
  <c r="AC12" i="2" s="1"/>
  <c r="W12" i="2"/>
  <c r="AH68" i="16"/>
  <c r="AI68" i="16" s="1"/>
  <c r="AK68" i="16" s="1"/>
  <c r="Z12" i="2" s="1"/>
  <c r="C25" i="15"/>
  <c r="N12" i="2" s="1"/>
  <c r="T37" i="2"/>
  <c r="V37" i="2" s="1"/>
  <c r="U37" i="2" s="1"/>
  <c r="T8" i="2"/>
  <c r="V8" i="2" s="1"/>
  <c r="Y45" i="2"/>
  <c r="T31" i="2"/>
  <c r="V31" i="2" s="1"/>
  <c r="U31" i="2" s="1"/>
  <c r="Y10" i="2"/>
  <c r="C51" i="15"/>
  <c r="AT85" i="17"/>
  <c r="C24" i="15"/>
  <c r="N10" i="2" s="1"/>
  <c r="Z25" i="2"/>
  <c r="T49" i="2"/>
  <c r="Y29" i="2"/>
  <c r="Y49" i="2"/>
  <c r="T33" i="2"/>
  <c r="T39" i="2"/>
  <c r="Z45" i="2"/>
  <c r="W18" i="2"/>
  <c r="Z29" i="2"/>
  <c r="Y16" i="2"/>
  <c r="Y43" i="2"/>
  <c r="Z14" i="2"/>
  <c r="T25" i="2"/>
  <c r="Z49" i="2"/>
  <c r="T23" i="2"/>
  <c r="Y33" i="2"/>
  <c r="Z33" i="2"/>
  <c r="Y18" i="2"/>
  <c r="T16" i="2"/>
  <c r="Y23" i="2"/>
  <c r="W29" i="2"/>
  <c r="W23" i="2"/>
  <c r="Y14" i="2"/>
  <c r="Z10" i="2"/>
  <c r="Z39" i="2"/>
  <c r="Z18" i="2"/>
  <c r="W16" i="2"/>
  <c r="Y27" i="2"/>
  <c r="W43" i="2"/>
  <c r="W31" i="2"/>
  <c r="Z23" i="2"/>
  <c r="AH66" i="16"/>
  <c r="W8" i="2" s="1"/>
  <c r="T41" i="2"/>
  <c r="T29" i="2"/>
  <c r="Z43" i="2"/>
  <c r="W25" i="2"/>
  <c r="W27" i="2"/>
  <c r="Y31" i="2"/>
  <c r="T45" i="2"/>
  <c r="W41" i="2"/>
  <c r="Z27" i="2"/>
  <c r="W14" i="2"/>
  <c r="W39" i="2"/>
  <c r="W37" i="2"/>
  <c r="Y37" i="2"/>
  <c r="Y25" i="2"/>
  <c r="W45" i="2"/>
  <c r="Z31" i="2"/>
  <c r="T43" i="2"/>
  <c r="Z16" i="2"/>
  <c r="T18" i="2"/>
  <c r="T27" i="2"/>
  <c r="T14" i="2"/>
  <c r="Y41" i="2"/>
  <c r="Y39" i="2"/>
  <c r="W49" i="2"/>
  <c r="AT26" i="17"/>
  <c r="AU26" i="17" s="1"/>
  <c r="C29" i="15"/>
  <c r="N25" i="2" s="1"/>
  <c r="AT62" i="17"/>
  <c r="AU62" i="17" s="1"/>
  <c r="C26" i="15"/>
  <c r="N14" i="2" s="1"/>
  <c r="AT140" i="17"/>
  <c r="AU140" i="17" s="1"/>
  <c r="C39" i="15"/>
  <c r="AT23" i="17"/>
  <c r="C23" i="15"/>
  <c r="AT63" i="17"/>
  <c r="D33" i="15" s="1"/>
  <c r="O37" i="2" s="1"/>
  <c r="C33" i="15"/>
  <c r="N37" i="2" s="1"/>
  <c r="AT50" i="17"/>
  <c r="AU50" i="17" s="1"/>
  <c r="C32" i="15"/>
  <c r="N43" i="2" s="1"/>
  <c r="AT14" i="17"/>
  <c r="D43" i="15" s="1"/>
  <c r="AT134" i="17"/>
  <c r="AU134" i="17" s="1"/>
  <c r="C27" i="15"/>
  <c r="AT60" i="17"/>
  <c r="AU60" i="17" s="1"/>
  <c r="C31" i="15"/>
  <c r="N29" i="2" s="1"/>
  <c r="AT54" i="17"/>
  <c r="AU54" i="17" s="1"/>
  <c r="AV54" i="17" s="1"/>
  <c r="C34" i="15"/>
  <c r="N39" i="2" s="1"/>
  <c r="AT21" i="17"/>
  <c r="AU21" i="17" s="1"/>
  <c r="E28" i="15" s="1"/>
  <c r="P23" i="2" s="1"/>
  <c r="C28" i="15"/>
  <c r="N23" i="2" s="1"/>
  <c r="AU20" i="17"/>
  <c r="AV58" i="17"/>
  <c r="AT57" i="17"/>
  <c r="C30" i="15"/>
  <c r="N27" i="2" s="1"/>
  <c r="BG34" i="16"/>
  <c r="BH34" i="16" s="1"/>
  <c r="AU63" i="17" l="1"/>
  <c r="AV63" i="17" s="1"/>
  <c r="F33" i="15" s="1"/>
  <c r="Q37" i="2" s="1"/>
  <c r="V12" i="2"/>
  <c r="AE12" i="2" s="1"/>
  <c r="AF10" i="2"/>
  <c r="V10" i="2"/>
  <c r="AC10" i="2"/>
  <c r="AF12" i="2"/>
  <c r="Y12" i="2"/>
  <c r="AU23" i="17"/>
  <c r="D25" i="15"/>
  <c r="O12" i="2" s="1"/>
  <c r="AG12" i="2" s="1"/>
  <c r="Y8" i="2"/>
  <c r="D26" i="15"/>
  <c r="O14" i="2" s="1"/>
  <c r="D34" i="15"/>
  <c r="O39" i="2" s="1"/>
  <c r="D31" i="15"/>
  <c r="O29" i="2" s="1"/>
  <c r="AV21" i="17"/>
  <c r="F28" i="15" s="1"/>
  <c r="Q23" i="2" s="1"/>
  <c r="D23" i="15"/>
  <c r="O8" i="2" s="1"/>
  <c r="D27" i="15"/>
  <c r="O18" i="2" s="1"/>
  <c r="AG18" i="2" s="1"/>
  <c r="AU85" i="17"/>
  <c r="E23" i="15" s="1"/>
  <c r="P8" i="2" s="1"/>
  <c r="D24" i="15"/>
  <c r="O10" i="2" s="1"/>
  <c r="AG10" i="2" s="1"/>
  <c r="AU14" i="17"/>
  <c r="D51" i="15"/>
  <c r="W20" i="2"/>
  <c r="Z35" i="2"/>
  <c r="V23" i="2"/>
  <c r="U23" i="2" s="1"/>
  <c r="T35" i="2"/>
  <c r="V43" i="2"/>
  <c r="U43" i="2" s="1"/>
  <c r="V49" i="2"/>
  <c r="U49" i="2" s="1"/>
  <c r="V29" i="2"/>
  <c r="U29" i="2" s="1"/>
  <c r="V14" i="2"/>
  <c r="U14" i="2" s="1"/>
  <c r="V41" i="2"/>
  <c r="U41" i="2" s="1"/>
  <c r="Y35" i="2"/>
  <c r="W35" i="2"/>
  <c r="V25" i="2"/>
  <c r="U25" i="2" s="1"/>
  <c r="V18" i="2"/>
  <c r="U18" i="2" s="1"/>
  <c r="AC18" i="2"/>
  <c r="V45" i="2"/>
  <c r="U45" i="2" s="1"/>
  <c r="V39" i="2"/>
  <c r="U39" i="2" s="1"/>
  <c r="T20" i="2"/>
  <c r="V27" i="2"/>
  <c r="U27" i="2" s="1"/>
  <c r="V16" i="2"/>
  <c r="U16" i="2" s="1"/>
  <c r="AI66" i="16"/>
  <c r="AK66" i="16" s="1"/>
  <c r="Z8" i="2" s="1"/>
  <c r="Z20" i="2" s="1"/>
  <c r="V33" i="2"/>
  <c r="U33" i="2" s="1"/>
  <c r="U8" i="2"/>
  <c r="D39" i="15"/>
  <c r="E34" i="15"/>
  <c r="P39" i="2" s="1"/>
  <c r="D29" i="15"/>
  <c r="O25" i="2" s="1"/>
  <c r="D32" i="15"/>
  <c r="O43" i="2" s="1"/>
  <c r="F34" i="15"/>
  <c r="Q39" i="2" s="1"/>
  <c r="N18" i="2"/>
  <c r="AF18" i="2" s="1"/>
  <c r="N8" i="2"/>
  <c r="D28" i="15"/>
  <c r="O23" i="2" s="1"/>
  <c r="AV26" i="17"/>
  <c r="F29" i="15" s="1"/>
  <c r="Q25" i="2" s="1"/>
  <c r="E29" i="15"/>
  <c r="P25" i="2" s="1"/>
  <c r="AV50" i="17"/>
  <c r="F32" i="15" s="1"/>
  <c r="Q43" i="2" s="1"/>
  <c r="E32" i="15"/>
  <c r="P43" i="2" s="1"/>
  <c r="AV20" i="17"/>
  <c r="AV62" i="17"/>
  <c r="F26" i="15" s="1"/>
  <c r="Q14" i="2" s="1"/>
  <c r="E26" i="15"/>
  <c r="P14" i="2" s="1"/>
  <c r="AV60" i="17"/>
  <c r="F31" i="15" s="1"/>
  <c r="Q29" i="2" s="1"/>
  <c r="E31" i="15"/>
  <c r="P29" i="2" s="1"/>
  <c r="AV140" i="17"/>
  <c r="F39" i="15" s="1"/>
  <c r="E39" i="15"/>
  <c r="AV134" i="17"/>
  <c r="F27" i="15" s="1"/>
  <c r="Q18" i="2" s="1"/>
  <c r="E27" i="15"/>
  <c r="AU57" i="17"/>
  <c r="D30" i="15"/>
  <c r="O27" i="2" s="1"/>
  <c r="E33" i="15" l="1"/>
  <c r="P37" i="2" s="1"/>
  <c r="E43" i="15"/>
  <c r="U12" i="2"/>
  <c r="AD12" i="2" s="1"/>
  <c r="U10" i="2"/>
  <c r="AD10" i="2" s="1"/>
  <c r="AE10" i="2"/>
  <c r="Y20" i="2"/>
  <c r="AV23" i="17"/>
  <c r="E25" i="15"/>
  <c r="P12" i="2" s="1"/>
  <c r="AH12" i="2" s="1"/>
  <c r="AV14" i="17"/>
  <c r="F43" i="15" s="1"/>
  <c r="E51" i="15"/>
  <c r="AV85" i="17"/>
  <c r="F24" i="15" s="1"/>
  <c r="Q10" i="2" s="1"/>
  <c r="AI10" i="2" s="1"/>
  <c r="E24" i="15"/>
  <c r="P10" i="2" s="1"/>
  <c r="AH10" i="2" s="1"/>
  <c r="V20" i="2"/>
  <c r="U35" i="2"/>
  <c r="V35" i="2"/>
  <c r="P18" i="2"/>
  <c r="AH18" i="2" s="1"/>
  <c r="AV57" i="17"/>
  <c r="F30" i="15" s="1"/>
  <c r="Q27" i="2" s="1"/>
  <c r="E30" i="15"/>
  <c r="P27" i="2" s="1"/>
  <c r="U20" i="2" l="1"/>
  <c r="F23" i="15"/>
  <c r="Q8" i="2" s="1"/>
  <c r="F25" i="15"/>
  <c r="Q12" i="2" s="1"/>
  <c r="AI12" i="2" s="1"/>
  <c r="F51" i="15"/>
  <c r="B16" i="15"/>
  <c r="B4" i="15"/>
  <c r="C16" i="15"/>
  <c r="F16" i="15"/>
  <c r="D16" i="15"/>
  <c r="C4" i="15"/>
  <c r="E16" i="15"/>
  <c r="D4" i="15"/>
  <c r="B12" i="15"/>
  <c r="D5" i="15"/>
  <c r="B7" i="15"/>
  <c r="C5" i="15"/>
  <c r="B8" i="15"/>
  <c r="B9" i="15"/>
  <c r="B10" i="15"/>
  <c r="B13" i="15"/>
  <c r="F5" i="15"/>
  <c r="B5" i="15"/>
  <c r="E5" i="15"/>
  <c r="B11" i="15"/>
  <c r="B14" i="15"/>
  <c r="B15" i="15"/>
  <c r="B6" i="15"/>
  <c r="B17" i="15" l="1"/>
  <c r="B18" i="15" s="1"/>
  <c r="C11" i="15" l="1"/>
  <c r="C15" i="15"/>
  <c r="C10" i="15"/>
  <c r="C7" i="15"/>
  <c r="D7" i="15" l="1"/>
  <c r="D10" i="15"/>
  <c r="D15" i="15"/>
  <c r="D11" i="15"/>
  <c r="C12" i="15" l="1"/>
  <c r="C9" i="15"/>
  <c r="C6" i="15"/>
  <c r="F7" i="15"/>
  <c r="E7" i="15"/>
  <c r="C13" i="15"/>
  <c r="C8" i="15"/>
  <c r="F15" i="15"/>
  <c r="E15" i="15"/>
  <c r="F10" i="15"/>
  <c r="E10" i="15"/>
  <c r="C14" i="15"/>
  <c r="F11" i="15"/>
  <c r="E11" i="15"/>
  <c r="M70" i="3"/>
  <c r="E6" i="3" s="1"/>
  <c r="D12" i="15" l="1"/>
  <c r="C17" i="15"/>
  <c r="C18" i="15" s="1"/>
  <c r="D8" i="15"/>
  <c r="D6" i="15"/>
  <c r="D14" i="15"/>
  <c r="D13" i="15"/>
  <c r="D9" i="15"/>
  <c r="R70" i="3"/>
  <c r="K65" i="3"/>
  <c r="L65" i="3" s="1"/>
  <c r="N65" i="3"/>
  <c r="O65" i="3" s="1"/>
  <c r="P65" i="3" s="1"/>
  <c r="F12" i="15" l="1"/>
  <c r="E12" i="15"/>
  <c r="E6" i="15"/>
  <c r="F9" i="15"/>
  <c r="E9" i="15"/>
  <c r="F8" i="15"/>
  <c r="E8" i="15"/>
  <c r="F13" i="15"/>
  <c r="E13" i="15"/>
  <c r="D17" i="15"/>
  <c r="D18" i="15" s="1"/>
  <c r="F14" i="15"/>
  <c r="E14" i="15"/>
  <c r="F4" i="15"/>
  <c r="E4" i="15"/>
  <c r="K56" i="7"/>
  <c r="L56" i="7" s="1"/>
  <c r="E17" i="15" l="1"/>
  <c r="E18" i="15" s="1"/>
  <c r="F6" i="15"/>
  <c r="F17" i="15" s="1"/>
  <c r="AH6" i="2"/>
  <c r="AG6" i="2"/>
  <c r="P6" i="2"/>
  <c r="Y6" i="2" s="1"/>
  <c r="O6" i="2"/>
  <c r="X6" i="2" s="1"/>
  <c r="F18" i="15" l="1"/>
  <c r="K38" i="2"/>
  <c r="AE18" i="2" l="1"/>
  <c r="L238" i="5"/>
  <c r="B33" i="2" s="1"/>
  <c r="AC33" i="2" s="1"/>
  <c r="AD18" i="2" l="1"/>
  <c r="J13" i="9"/>
  <c r="J24" i="9"/>
  <c r="K24" i="9"/>
  <c r="K21" i="9"/>
  <c r="J21" i="9" s="1"/>
  <c r="K15" i="9" l="1"/>
  <c r="K17" i="9" l="1"/>
  <c r="J17" i="9"/>
  <c r="D51" i="9" l="1"/>
  <c r="G36" i="9" s="1"/>
  <c r="D17" i="9"/>
  <c r="E48" i="9"/>
  <c r="F48" i="9" s="1"/>
  <c r="E46" i="9"/>
  <c r="F46" i="9" s="1"/>
  <c r="E43" i="9"/>
  <c r="F43" i="9" s="1"/>
  <c r="E39" i="9"/>
  <c r="F39" i="9" s="1"/>
  <c r="E31" i="9"/>
  <c r="F31" i="9" s="1"/>
  <c r="G40" i="9" l="1"/>
  <c r="G37" i="9"/>
  <c r="G44" i="9"/>
  <c r="G50" i="9"/>
  <c r="G41" i="9"/>
  <c r="G47" i="9"/>
  <c r="G32" i="9"/>
  <c r="G49" i="9"/>
  <c r="G35" i="9"/>
  <c r="E34" i="9"/>
  <c r="G51" i="9" l="1"/>
  <c r="E36" i="9"/>
  <c r="F36" i="9" s="1"/>
  <c r="E35" i="9"/>
  <c r="F35" i="9" s="1"/>
  <c r="F34" i="9"/>
  <c r="Q53" i="2"/>
  <c r="AH53" i="2"/>
  <c r="O53" i="2"/>
  <c r="AG53" i="2" s="1"/>
  <c r="N53" i="2"/>
  <c r="AF53" i="2" s="1"/>
  <c r="K53" i="2"/>
  <c r="M53" i="2" s="1"/>
  <c r="AE53" i="2" s="1"/>
  <c r="L53" i="2" l="1"/>
  <c r="AD53" i="2" s="1"/>
  <c r="G23" i="9" l="1"/>
  <c r="H23" i="9" s="1"/>
  <c r="G24" i="9"/>
  <c r="G9" i="9"/>
  <c r="G8" i="9"/>
  <c r="G7" i="9"/>
  <c r="G15" i="9"/>
  <c r="G6" i="9"/>
  <c r="G17" i="9"/>
  <c r="G11" i="9"/>
  <c r="G21" i="9"/>
  <c r="G10" i="9"/>
  <c r="M226" i="5"/>
  <c r="N226" i="5"/>
  <c r="O226" i="5"/>
  <c r="P226" i="5"/>
  <c r="Q226" i="5"/>
  <c r="R226" i="5"/>
  <c r="S226" i="5"/>
  <c r="L226" i="5"/>
  <c r="G25" i="9" l="1"/>
  <c r="H30" i="9" l="1"/>
  <c r="N59" i="9"/>
  <c r="N58" i="9"/>
  <c r="E24" i="9"/>
  <c r="F24" i="9" s="1"/>
  <c r="E23" i="9"/>
  <c r="F23" i="9" s="1"/>
  <c r="E21" i="9"/>
  <c r="F21" i="9" s="1"/>
  <c r="E19" i="9"/>
  <c r="F19" i="9" s="1"/>
  <c r="E17" i="9"/>
  <c r="F17" i="9" s="1"/>
  <c r="E15" i="9"/>
  <c r="F15" i="9" s="1"/>
  <c r="E13" i="9"/>
  <c r="F13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H36" i="9" l="1"/>
  <c r="H32" i="9"/>
  <c r="H40" i="9"/>
  <c r="H44" i="9"/>
  <c r="H41" i="9"/>
  <c r="H49" i="9"/>
  <c r="H47" i="9"/>
  <c r="H50" i="9"/>
  <c r="H37" i="9"/>
  <c r="H35" i="9"/>
  <c r="H21" i="9"/>
  <c r="H24" i="9"/>
  <c r="H17" i="9"/>
  <c r="H13" i="9"/>
  <c r="F25" i="9"/>
  <c r="N47" i="9" l="1"/>
  <c r="M47" i="9"/>
  <c r="N24" i="9"/>
  <c r="M24" i="9"/>
  <c r="N13" i="9"/>
  <c r="M13" i="9"/>
  <c r="N49" i="9"/>
  <c r="M49" i="9"/>
  <c r="N21" i="9"/>
  <c r="M21" i="9"/>
  <c r="M35" i="9"/>
  <c r="N35" i="9"/>
  <c r="M32" i="9"/>
  <c r="N32" i="9"/>
  <c r="H51" i="9"/>
  <c r="N23" i="9"/>
  <c r="M23" i="9"/>
  <c r="N17" i="9"/>
  <c r="M17" i="9"/>
  <c r="M44" i="9"/>
  <c r="N44" i="9"/>
  <c r="N37" i="9"/>
  <c r="M37" i="9"/>
  <c r="N36" i="9"/>
  <c r="M36" i="9"/>
  <c r="H11" i="9"/>
  <c r="H8" i="9"/>
  <c r="H7" i="9"/>
  <c r="H9" i="9"/>
  <c r="H10" i="9"/>
  <c r="H15" i="9"/>
  <c r="E6" i="6"/>
  <c r="Q36" i="9" l="1"/>
  <c r="P36" i="9"/>
  <c r="Q34" i="9"/>
  <c r="P34" i="9"/>
  <c r="N15" i="9"/>
  <c r="M15" i="9"/>
  <c r="M10" i="9"/>
  <c r="N10" i="9"/>
  <c r="M7" i="9"/>
  <c r="N7" i="9"/>
  <c r="M9" i="9"/>
  <c r="N9" i="9"/>
  <c r="N8" i="9"/>
  <c r="M8" i="9"/>
  <c r="M11" i="9"/>
  <c r="N11" i="9"/>
  <c r="H6" i="9"/>
  <c r="H347" i="1"/>
  <c r="H348" i="1" s="1"/>
  <c r="N13" i="7"/>
  <c r="O13" i="7" s="1"/>
  <c r="P13" i="7" s="1"/>
  <c r="N15" i="7"/>
  <c r="O15" i="7" s="1"/>
  <c r="P15" i="7" s="1"/>
  <c r="N16" i="7"/>
  <c r="O16" i="7" s="1"/>
  <c r="P16" i="7" s="1"/>
  <c r="N17" i="7"/>
  <c r="O17" i="7" s="1"/>
  <c r="P17" i="7" s="1"/>
  <c r="N18" i="7"/>
  <c r="O18" i="7"/>
  <c r="P18" i="7"/>
  <c r="N19" i="7"/>
  <c r="O19" i="7" s="1"/>
  <c r="P19" i="7" s="1"/>
  <c r="N20" i="7"/>
  <c r="O20" i="7" s="1"/>
  <c r="P20" i="7" s="1"/>
  <c r="N21" i="7"/>
  <c r="O21" i="7" s="1"/>
  <c r="P21" i="7" s="1"/>
  <c r="N22" i="7"/>
  <c r="O22" i="7"/>
  <c r="P22" i="7"/>
  <c r="N14" i="7"/>
  <c r="O14" i="7" s="1"/>
  <c r="P14" i="7" s="1"/>
  <c r="K13" i="7"/>
  <c r="L13" i="7" s="1"/>
  <c r="K15" i="7"/>
  <c r="L15" i="7" s="1"/>
  <c r="K16" i="7"/>
  <c r="L16" i="7"/>
  <c r="K17" i="7"/>
  <c r="L17" i="7" s="1"/>
  <c r="K18" i="7"/>
  <c r="L18" i="7" s="1"/>
  <c r="K19" i="7"/>
  <c r="L19" i="7" s="1"/>
  <c r="K20" i="7"/>
  <c r="L20" i="7"/>
  <c r="K21" i="7"/>
  <c r="L21" i="7" s="1"/>
  <c r="K22" i="7"/>
  <c r="L22" i="7" s="1"/>
  <c r="K14" i="7"/>
  <c r="L14" i="7" s="1"/>
  <c r="K62" i="7"/>
  <c r="L62" i="7" s="1"/>
  <c r="K63" i="7"/>
  <c r="L63" i="7" s="1"/>
  <c r="M65" i="7"/>
  <c r="B49" i="2" s="1"/>
  <c r="AC49" i="2" s="1"/>
  <c r="P65" i="7"/>
  <c r="M13" i="6"/>
  <c r="N13" i="6" s="1"/>
  <c r="O13" i="6" s="1"/>
  <c r="M14" i="6"/>
  <c r="N14" i="6" s="1"/>
  <c r="O14" i="6" s="1"/>
  <c r="M15" i="6"/>
  <c r="M16" i="6"/>
  <c r="N16" i="6" s="1"/>
  <c r="O16" i="6" s="1"/>
  <c r="M17" i="6"/>
  <c r="N17" i="6" s="1"/>
  <c r="O17" i="6" s="1"/>
  <c r="M12" i="6"/>
  <c r="N12" i="6" s="1"/>
  <c r="O12" i="6" s="1"/>
  <c r="J13" i="6"/>
  <c r="K13" i="6" s="1"/>
  <c r="J14" i="6"/>
  <c r="K14" i="6" s="1"/>
  <c r="J15" i="6"/>
  <c r="K15" i="6"/>
  <c r="J16" i="6"/>
  <c r="K16" i="6" s="1"/>
  <c r="J17" i="6"/>
  <c r="K17" i="6" s="1"/>
  <c r="J12" i="6"/>
  <c r="K12" i="6" s="1"/>
  <c r="N6" i="9" l="1"/>
  <c r="M6" i="9"/>
  <c r="H25" i="9"/>
  <c r="H56" i="9" s="1"/>
  <c r="O65" i="7"/>
  <c r="N65" i="7"/>
  <c r="D49" i="2" s="1"/>
  <c r="AE49" i="2" s="1"/>
  <c r="N15" i="6"/>
  <c r="O15" i="6" s="1"/>
  <c r="K29" i="7"/>
  <c r="L29" i="7" s="1"/>
  <c r="K30" i="7"/>
  <c r="L30" i="7" s="1"/>
  <c r="K31" i="7"/>
  <c r="L31" i="7" s="1"/>
  <c r="K32" i="7"/>
  <c r="L32" i="7"/>
  <c r="K33" i="7"/>
  <c r="L33" i="7" s="1"/>
  <c r="K34" i="7"/>
  <c r="L34" i="7"/>
  <c r="K35" i="7"/>
  <c r="L35" i="7" s="1"/>
  <c r="K36" i="7"/>
  <c r="L36" i="7" s="1"/>
  <c r="K37" i="7"/>
  <c r="L37" i="7"/>
  <c r="K38" i="7"/>
  <c r="L38" i="7" s="1"/>
  <c r="K39" i="7"/>
  <c r="L39" i="7" s="1"/>
  <c r="K40" i="7"/>
  <c r="L40" i="7" s="1"/>
  <c r="K41" i="7"/>
  <c r="L41" i="7" s="1"/>
  <c r="K42" i="7"/>
  <c r="L42" i="7" s="1"/>
  <c r="K43" i="7"/>
  <c r="L43" i="7" s="1"/>
  <c r="K44" i="7"/>
  <c r="L44" i="7" s="1"/>
  <c r="K45" i="7"/>
  <c r="L45" i="7" s="1"/>
  <c r="K46" i="7"/>
  <c r="L46" i="7" s="1"/>
  <c r="K47" i="7"/>
  <c r="L47" i="7" s="1"/>
  <c r="K48" i="7"/>
  <c r="L48" i="7" s="1"/>
  <c r="K49" i="7"/>
  <c r="L49" i="7" s="1"/>
  <c r="K50" i="7"/>
  <c r="L50" i="7" s="1"/>
  <c r="K51" i="7"/>
  <c r="L51" i="7" s="1"/>
  <c r="K52" i="7"/>
  <c r="L52" i="7" s="1"/>
  <c r="K53" i="7"/>
  <c r="L53" i="7" s="1"/>
  <c r="K54" i="7"/>
  <c r="L54" i="7"/>
  <c r="K55" i="7"/>
  <c r="L55" i="7" s="1"/>
  <c r="K28" i="7"/>
  <c r="L28" i="7" s="1"/>
  <c r="N29" i="7"/>
  <c r="O29" i="7" s="1"/>
  <c r="P29" i="7" s="1"/>
  <c r="N30" i="7"/>
  <c r="O30" i="7" s="1"/>
  <c r="P30" i="7" s="1"/>
  <c r="N31" i="7"/>
  <c r="O31" i="7" s="1"/>
  <c r="P31" i="7" s="1"/>
  <c r="N32" i="7"/>
  <c r="O32" i="7" s="1"/>
  <c r="P32" i="7" s="1"/>
  <c r="N33" i="7"/>
  <c r="O33" i="7" s="1"/>
  <c r="P33" i="7" s="1"/>
  <c r="N34" i="7"/>
  <c r="O34" i="7" s="1"/>
  <c r="P34" i="7" s="1"/>
  <c r="N35" i="7"/>
  <c r="O35" i="7" s="1"/>
  <c r="P35" i="7" s="1"/>
  <c r="N36" i="7"/>
  <c r="O36" i="7" s="1"/>
  <c r="P36" i="7" s="1"/>
  <c r="N37" i="7"/>
  <c r="O37" i="7" s="1"/>
  <c r="P37" i="7" s="1"/>
  <c r="N38" i="7"/>
  <c r="O38" i="7" s="1"/>
  <c r="P38" i="7" s="1"/>
  <c r="N39" i="7"/>
  <c r="O39" i="7" s="1"/>
  <c r="P39" i="7" s="1"/>
  <c r="N40" i="7"/>
  <c r="O40" i="7" s="1"/>
  <c r="P40" i="7" s="1"/>
  <c r="N41" i="7"/>
  <c r="O41" i="7" s="1"/>
  <c r="P41" i="7" s="1"/>
  <c r="N42" i="7"/>
  <c r="O42" i="7" s="1"/>
  <c r="P42" i="7" s="1"/>
  <c r="N43" i="7"/>
  <c r="O43" i="7" s="1"/>
  <c r="P43" i="7" s="1"/>
  <c r="N44" i="7"/>
  <c r="O44" i="7" s="1"/>
  <c r="P44" i="7" s="1"/>
  <c r="N45" i="7"/>
  <c r="O45" i="7" s="1"/>
  <c r="P45" i="7" s="1"/>
  <c r="N46" i="7"/>
  <c r="O46" i="7" s="1"/>
  <c r="P46" i="7" s="1"/>
  <c r="N47" i="7"/>
  <c r="O47" i="7"/>
  <c r="P47" i="7" s="1"/>
  <c r="N48" i="7"/>
  <c r="O48" i="7" s="1"/>
  <c r="P48" i="7" s="1"/>
  <c r="N49" i="7"/>
  <c r="O49" i="7" s="1"/>
  <c r="P49" i="7" s="1"/>
  <c r="N50" i="7"/>
  <c r="O50" i="7" s="1"/>
  <c r="P50" i="7" s="1"/>
  <c r="N51" i="7"/>
  <c r="O51" i="7" s="1"/>
  <c r="P51" i="7" s="1"/>
  <c r="N52" i="7"/>
  <c r="O52" i="7" s="1"/>
  <c r="P52" i="7" s="1"/>
  <c r="N53" i="7"/>
  <c r="O53" i="7" s="1"/>
  <c r="P53" i="7" s="1"/>
  <c r="N54" i="7"/>
  <c r="O54" i="7" s="1"/>
  <c r="P54" i="7" s="1"/>
  <c r="N55" i="7"/>
  <c r="O55" i="7" s="1"/>
  <c r="P55" i="7" s="1"/>
  <c r="M43" i="6"/>
  <c r="N43" i="6"/>
  <c r="O43" i="6"/>
  <c r="P43" i="6"/>
  <c r="Q43" i="6"/>
  <c r="R43" i="6"/>
  <c r="S43" i="6"/>
  <c r="L43" i="6"/>
  <c r="M23" i="6"/>
  <c r="N23" i="6" s="1"/>
  <c r="O23" i="6" s="1"/>
  <c r="M24" i="6"/>
  <c r="N24" i="6" s="1"/>
  <c r="O24" i="6" s="1"/>
  <c r="M25" i="6"/>
  <c r="M26" i="6"/>
  <c r="N26" i="6" s="1"/>
  <c r="O26" i="6" s="1"/>
  <c r="M27" i="6"/>
  <c r="N27" i="6" s="1"/>
  <c r="O27" i="6" s="1"/>
  <c r="M28" i="6"/>
  <c r="N28" i="6"/>
  <c r="O28" i="6" s="1"/>
  <c r="M29" i="6"/>
  <c r="N29" i="6" s="1"/>
  <c r="O29" i="6" s="1"/>
  <c r="M30" i="6"/>
  <c r="N30" i="6" s="1"/>
  <c r="O30" i="6" s="1"/>
  <c r="M31" i="6"/>
  <c r="N31" i="6" s="1"/>
  <c r="O31" i="6" s="1"/>
  <c r="M22" i="6"/>
  <c r="N22" i="6" s="1"/>
  <c r="J23" i="6"/>
  <c r="K23" i="6" s="1"/>
  <c r="J24" i="6"/>
  <c r="K24" i="6" s="1"/>
  <c r="J25" i="6"/>
  <c r="K25" i="6"/>
  <c r="J26" i="6"/>
  <c r="K26" i="6" s="1"/>
  <c r="J27" i="6"/>
  <c r="K27" i="6" s="1"/>
  <c r="J28" i="6"/>
  <c r="K28" i="6" s="1"/>
  <c r="J29" i="6"/>
  <c r="K29" i="6" s="1"/>
  <c r="J30" i="6"/>
  <c r="K30" i="6" s="1"/>
  <c r="J31" i="6"/>
  <c r="K31" i="6" s="1"/>
  <c r="J22" i="6"/>
  <c r="K22" i="6" s="1"/>
  <c r="N14" i="3"/>
  <c r="O14" i="3" s="1"/>
  <c r="P14" i="3" s="1"/>
  <c r="N15" i="3"/>
  <c r="O15" i="3" s="1"/>
  <c r="P15" i="3" s="1"/>
  <c r="N16" i="3"/>
  <c r="P16" i="3" s="1"/>
  <c r="N17" i="3"/>
  <c r="O17" i="3" s="1"/>
  <c r="P17" i="3" s="1"/>
  <c r="N18" i="3"/>
  <c r="O18" i="3" s="1"/>
  <c r="P18" i="3" s="1"/>
  <c r="N19" i="3"/>
  <c r="O19" i="3" s="1"/>
  <c r="P19" i="3" s="1"/>
  <c r="N55" i="3"/>
  <c r="N94" i="3"/>
  <c r="O94" i="3" s="1"/>
  <c r="P94" i="3" s="1"/>
  <c r="N20" i="3"/>
  <c r="O20" i="3" s="1"/>
  <c r="P20" i="3" s="1"/>
  <c r="N21" i="3"/>
  <c r="O21" i="3" s="1"/>
  <c r="P21" i="3" s="1"/>
  <c r="N24" i="3"/>
  <c r="O24" i="3" s="1"/>
  <c r="P24" i="3" s="1"/>
  <c r="N25" i="3"/>
  <c r="O25" i="3" s="1"/>
  <c r="P25" i="3" s="1"/>
  <c r="N22" i="3"/>
  <c r="O22" i="3" s="1"/>
  <c r="P22" i="3" s="1"/>
  <c r="N56" i="3"/>
  <c r="O56" i="3" s="1"/>
  <c r="P56" i="3" s="1"/>
  <c r="N23" i="3"/>
  <c r="O23" i="3" s="1"/>
  <c r="P23" i="3" s="1"/>
  <c r="N57" i="3"/>
  <c r="O57" i="3" s="1"/>
  <c r="P57" i="3" s="1"/>
  <c r="N26" i="3"/>
  <c r="O26" i="3" s="1"/>
  <c r="P26" i="3" s="1"/>
  <c r="N27" i="3"/>
  <c r="O27" i="3" s="1"/>
  <c r="P27" i="3" s="1"/>
  <c r="N28" i="3"/>
  <c r="O28" i="3" s="1"/>
  <c r="P28" i="3" s="1"/>
  <c r="N62" i="3"/>
  <c r="O62" i="3" s="1"/>
  <c r="P62" i="3" s="1"/>
  <c r="N58" i="3"/>
  <c r="O58" i="3" s="1"/>
  <c r="P58" i="3" s="1"/>
  <c r="N29" i="3"/>
  <c r="O29" i="3" s="1"/>
  <c r="P29" i="3" s="1"/>
  <c r="N59" i="3"/>
  <c r="O59" i="3" s="1"/>
  <c r="P59" i="3" s="1"/>
  <c r="N75" i="3"/>
  <c r="O75" i="3" s="1"/>
  <c r="P75" i="3" s="1"/>
  <c r="N60" i="3"/>
  <c r="O60" i="3" s="1"/>
  <c r="P60" i="3" s="1"/>
  <c r="N73" i="3"/>
  <c r="N78" i="3" s="1"/>
  <c r="N74" i="3"/>
  <c r="O74" i="3" s="1"/>
  <c r="P74" i="3" s="1"/>
  <c r="N31" i="3"/>
  <c r="O31" i="3" s="1"/>
  <c r="P31" i="3" s="1"/>
  <c r="N61" i="3"/>
  <c r="O61" i="3" s="1"/>
  <c r="P61" i="3" s="1"/>
  <c r="N32" i="3"/>
  <c r="O32" i="3" s="1"/>
  <c r="P32" i="3" s="1"/>
  <c r="N30" i="3"/>
  <c r="O30" i="3" s="1"/>
  <c r="P30" i="3" s="1"/>
  <c r="N76" i="3"/>
  <c r="O76" i="3" s="1"/>
  <c r="P76" i="3" s="1"/>
  <c r="N34" i="3"/>
  <c r="O34" i="3" s="1"/>
  <c r="P34" i="3" s="1"/>
  <c r="N33" i="3"/>
  <c r="O33" i="3" s="1"/>
  <c r="P33" i="3" s="1"/>
  <c r="N63" i="3"/>
  <c r="O63" i="3" s="1"/>
  <c r="P63" i="3" s="1"/>
  <c r="N64" i="3"/>
  <c r="O64" i="3" s="1"/>
  <c r="P64" i="3" s="1"/>
  <c r="N35" i="3"/>
  <c r="O35" i="3" s="1"/>
  <c r="P35" i="3" s="1"/>
  <c r="N36" i="3"/>
  <c r="O36" i="3" s="1"/>
  <c r="P36" i="3" s="1"/>
  <c r="N95" i="3"/>
  <c r="O95" i="3" s="1"/>
  <c r="P95" i="3" s="1"/>
  <c r="N37" i="3"/>
  <c r="O37" i="3" s="1"/>
  <c r="P37" i="3" s="1"/>
  <c r="N38" i="3"/>
  <c r="O38" i="3" s="1"/>
  <c r="P38" i="3" s="1"/>
  <c r="N39" i="3"/>
  <c r="O39" i="3" s="1"/>
  <c r="P39" i="3" s="1"/>
  <c r="N66" i="3"/>
  <c r="O66" i="3" s="1"/>
  <c r="P66" i="3" s="1"/>
  <c r="N40" i="3"/>
  <c r="O40" i="3" s="1"/>
  <c r="P40" i="3" s="1"/>
  <c r="N67" i="3"/>
  <c r="O67" i="3" s="1"/>
  <c r="P67" i="3" s="1"/>
  <c r="N46" i="3"/>
  <c r="O46" i="3" s="1"/>
  <c r="P46" i="3" s="1"/>
  <c r="N47" i="3"/>
  <c r="O47" i="3" s="1"/>
  <c r="P47" i="3" s="1"/>
  <c r="N41" i="3"/>
  <c r="O41" i="3" s="1"/>
  <c r="P41" i="3" s="1"/>
  <c r="N42" i="3"/>
  <c r="O42" i="3" s="1"/>
  <c r="P42" i="3" s="1"/>
  <c r="N44" i="3"/>
  <c r="O44" i="3" s="1"/>
  <c r="P44" i="3" s="1"/>
  <c r="N45" i="3"/>
  <c r="O45" i="3" s="1"/>
  <c r="P45" i="3" s="1"/>
  <c r="N43" i="3"/>
  <c r="O43" i="3" s="1"/>
  <c r="P43" i="3" s="1"/>
  <c r="N49" i="3"/>
  <c r="O49" i="3" s="1"/>
  <c r="P49" i="3" s="1"/>
  <c r="N50" i="3"/>
  <c r="O50" i="3" s="1"/>
  <c r="P50" i="3" s="1"/>
  <c r="N48" i="3"/>
  <c r="O48" i="3" s="1"/>
  <c r="P48" i="3" s="1"/>
  <c r="N13" i="3"/>
  <c r="O13" i="3" s="1"/>
  <c r="P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55" i="3"/>
  <c r="L55" i="3" s="1"/>
  <c r="K94" i="3"/>
  <c r="L94" i="3" s="1"/>
  <c r="K20" i="3"/>
  <c r="L20" i="3" s="1"/>
  <c r="K21" i="3"/>
  <c r="L21" i="3" s="1"/>
  <c r="K24" i="3"/>
  <c r="L24" i="3" s="1"/>
  <c r="K25" i="3"/>
  <c r="L25" i="3" s="1"/>
  <c r="K22" i="3"/>
  <c r="L22" i="3" s="1"/>
  <c r="K56" i="3"/>
  <c r="L56" i="3" s="1"/>
  <c r="K23" i="3"/>
  <c r="L23" i="3" s="1"/>
  <c r="K57" i="3"/>
  <c r="L57" i="3" s="1"/>
  <c r="K26" i="3"/>
  <c r="L26" i="3" s="1"/>
  <c r="K27" i="3"/>
  <c r="L27" i="3" s="1"/>
  <c r="K28" i="3"/>
  <c r="L28" i="3" s="1"/>
  <c r="K62" i="3"/>
  <c r="L62" i="3" s="1"/>
  <c r="K58" i="3"/>
  <c r="L58" i="3" s="1"/>
  <c r="K29" i="3"/>
  <c r="L29" i="3" s="1"/>
  <c r="K59" i="3"/>
  <c r="L59" i="3" s="1"/>
  <c r="K75" i="3"/>
  <c r="L75" i="3" s="1"/>
  <c r="K60" i="3"/>
  <c r="L60" i="3" s="1"/>
  <c r="K73" i="3"/>
  <c r="L73" i="3" s="1"/>
  <c r="K74" i="3"/>
  <c r="L74" i="3" s="1"/>
  <c r="K31" i="3"/>
  <c r="L31" i="3" s="1"/>
  <c r="K61" i="3"/>
  <c r="L61" i="3" s="1"/>
  <c r="K32" i="3"/>
  <c r="L32" i="3" s="1"/>
  <c r="K30" i="3"/>
  <c r="L30" i="3" s="1"/>
  <c r="K76" i="3"/>
  <c r="L76" i="3" s="1"/>
  <c r="K34" i="3"/>
  <c r="L34" i="3" s="1"/>
  <c r="K33" i="3"/>
  <c r="L33" i="3" s="1"/>
  <c r="K63" i="3"/>
  <c r="L63" i="3" s="1"/>
  <c r="K64" i="3"/>
  <c r="L64" i="3" s="1"/>
  <c r="K35" i="3"/>
  <c r="L35" i="3" s="1"/>
  <c r="K36" i="3"/>
  <c r="L36" i="3" s="1"/>
  <c r="K95" i="3"/>
  <c r="L95" i="3" s="1"/>
  <c r="K37" i="3"/>
  <c r="L37" i="3" s="1"/>
  <c r="K38" i="3"/>
  <c r="L38" i="3" s="1"/>
  <c r="K39" i="3"/>
  <c r="L39" i="3" s="1"/>
  <c r="K66" i="3"/>
  <c r="L66" i="3" s="1"/>
  <c r="K40" i="3"/>
  <c r="L40" i="3" s="1"/>
  <c r="K67" i="3"/>
  <c r="L67" i="3" s="1"/>
  <c r="K46" i="3"/>
  <c r="L46" i="3" s="1"/>
  <c r="K47" i="3"/>
  <c r="L47" i="3" s="1"/>
  <c r="K41" i="3"/>
  <c r="L41" i="3" s="1"/>
  <c r="K42" i="3"/>
  <c r="L42" i="3" s="1"/>
  <c r="K44" i="3"/>
  <c r="L44" i="3" s="1"/>
  <c r="K45" i="3"/>
  <c r="L45" i="3" s="1"/>
  <c r="K43" i="3"/>
  <c r="L43" i="3" s="1"/>
  <c r="K49" i="3"/>
  <c r="L49" i="3" s="1"/>
  <c r="K50" i="3"/>
  <c r="L50" i="3" s="1"/>
  <c r="K48" i="3"/>
  <c r="L48" i="3" s="1"/>
  <c r="K13" i="3"/>
  <c r="L13" i="3" s="1"/>
  <c r="O73" i="3" l="1"/>
  <c r="O78" i="3" s="1"/>
  <c r="O55" i="3"/>
  <c r="N70" i="3"/>
  <c r="C49" i="2"/>
  <c r="AD49" i="2" s="1"/>
  <c r="N25" i="6"/>
  <c r="O25" i="6" s="1"/>
  <c r="O22" i="6"/>
  <c r="M162" i="5"/>
  <c r="N162" i="5" s="1"/>
  <c r="O162" i="5" s="1"/>
  <c r="M163" i="5"/>
  <c r="N163" i="5" s="1"/>
  <c r="O163" i="5" s="1"/>
  <c r="M164" i="5"/>
  <c r="N164" i="5" s="1"/>
  <c r="O164" i="5" s="1"/>
  <c r="M165" i="5"/>
  <c r="M166" i="5"/>
  <c r="N166" i="5" s="1"/>
  <c r="O166" i="5" s="1"/>
  <c r="M174" i="5"/>
  <c r="N174" i="5" s="1"/>
  <c r="O174" i="5" s="1"/>
  <c r="M175" i="5"/>
  <c r="N175" i="5" s="1"/>
  <c r="O175" i="5" s="1"/>
  <c r="M176" i="5"/>
  <c r="N176" i="5" s="1"/>
  <c r="O176" i="5" s="1"/>
  <c r="M177" i="5"/>
  <c r="N177" i="5" s="1"/>
  <c r="O177" i="5" s="1"/>
  <c r="M178" i="5"/>
  <c r="N178" i="5" s="1"/>
  <c r="O178" i="5" s="1"/>
  <c r="M179" i="5"/>
  <c r="N179" i="5" s="1"/>
  <c r="O179" i="5" s="1"/>
  <c r="M180" i="5"/>
  <c r="N180" i="5" s="1"/>
  <c r="O180" i="5" s="1"/>
  <c r="M181" i="5"/>
  <c r="N181" i="5" s="1"/>
  <c r="O181" i="5" s="1"/>
  <c r="M182" i="5"/>
  <c r="N182" i="5" s="1"/>
  <c r="O182" i="5" s="1"/>
  <c r="M183" i="5"/>
  <c r="N183" i="5" s="1"/>
  <c r="O183" i="5" s="1"/>
  <c r="M184" i="5"/>
  <c r="N184" i="5" s="1"/>
  <c r="O184" i="5" s="1"/>
  <c r="M185" i="5"/>
  <c r="N185" i="5" s="1"/>
  <c r="O185" i="5" s="1"/>
  <c r="M186" i="5"/>
  <c r="N186" i="5" s="1"/>
  <c r="O186" i="5" s="1"/>
  <c r="M187" i="5"/>
  <c r="N187" i="5" s="1"/>
  <c r="O187" i="5" s="1"/>
  <c r="M188" i="5"/>
  <c r="N188" i="5" s="1"/>
  <c r="O188" i="5" s="1"/>
  <c r="M190" i="5"/>
  <c r="N190" i="5" s="1"/>
  <c r="O190" i="5" s="1"/>
  <c r="M192" i="5"/>
  <c r="N192" i="5" s="1"/>
  <c r="O192" i="5" s="1"/>
  <c r="M161" i="5"/>
  <c r="N161" i="5" s="1"/>
  <c r="O161" i="5" s="1"/>
  <c r="J162" i="5"/>
  <c r="K162" i="5" s="1"/>
  <c r="J163" i="5"/>
  <c r="K163" i="5" s="1"/>
  <c r="J164" i="5"/>
  <c r="K164" i="5" s="1"/>
  <c r="J165" i="5"/>
  <c r="K165" i="5" s="1"/>
  <c r="J166" i="5"/>
  <c r="K166" i="5" s="1"/>
  <c r="J174" i="5"/>
  <c r="K174" i="5" s="1"/>
  <c r="J175" i="5"/>
  <c r="K175" i="5" s="1"/>
  <c r="J176" i="5"/>
  <c r="K176" i="5" s="1"/>
  <c r="J177" i="5"/>
  <c r="K177" i="5" s="1"/>
  <c r="J178" i="5"/>
  <c r="K178" i="5" s="1"/>
  <c r="J179" i="5"/>
  <c r="K179" i="5" s="1"/>
  <c r="J180" i="5"/>
  <c r="K180" i="5" s="1"/>
  <c r="J181" i="5"/>
  <c r="K181" i="5" s="1"/>
  <c r="J182" i="5"/>
  <c r="K182" i="5" s="1"/>
  <c r="J183" i="5"/>
  <c r="K183" i="5" s="1"/>
  <c r="J184" i="5"/>
  <c r="K184" i="5" s="1"/>
  <c r="J185" i="5"/>
  <c r="K185" i="5" s="1"/>
  <c r="J186" i="5"/>
  <c r="K186" i="5" s="1"/>
  <c r="J187" i="5"/>
  <c r="K187" i="5" s="1"/>
  <c r="J188" i="5"/>
  <c r="K188" i="5" s="1"/>
  <c r="J190" i="5"/>
  <c r="K190" i="5" s="1"/>
  <c r="J192" i="5"/>
  <c r="K192" i="5" s="1"/>
  <c r="J161" i="5"/>
  <c r="K161" i="5" s="1"/>
  <c r="M234" i="5"/>
  <c r="M235" i="5"/>
  <c r="N235" i="5" s="1"/>
  <c r="O235" i="5" s="1"/>
  <c r="M236" i="5"/>
  <c r="J234" i="5"/>
  <c r="K234" i="5" s="1"/>
  <c r="J235" i="5"/>
  <c r="K235" i="5" s="1"/>
  <c r="J236" i="5"/>
  <c r="K236" i="5" s="1"/>
  <c r="M157" i="5"/>
  <c r="N157" i="5" s="1"/>
  <c r="O157" i="5" s="1"/>
  <c r="M158" i="5"/>
  <c r="N158" i="5" s="1"/>
  <c r="O158" i="5" s="1"/>
  <c r="M159" i="5"/>
  <c r="N159" i="5" s="1"/>
  <c r="O159" i="5" s="1"/>
  <c r="M160" i="5"/>
  <c r="M167" i="5"/>
  <c r="N167" i="5" s="1"/>
  <c r="O167" i="5" s="1"/>
  <c r="M168" i="5"/>
  <c r="N168" i="5" s="1"/>
  <c r="O168" i="5" s="1"/>
  <c r="M169" i="5"/>
  <c r="N169" i="5" s="1"/>
  <c r="O169" i="5" s="1"/>
  <c r="M170" i="5"/>
  <c r="N170" i="5" s="1"/>
  <c r="O170" i="5" s="1"/>
  <c r="M171" i="5"/>
  <c r="N171" i="5" s="1"/>
  <c r="O171" i="5" s="1"/>
  <c r="M172" i="5"/>
  <c r="N172" i="5" s="1"/>
  <c r="O172" i="5" s="1"/>
  <c r="M173" i="5"/>
  <c r="N173" i="5" s="1"/>
  <c r="O173" i="5" s="1"/>
  <c r="M191" i="5"/>
  <c r="N191" i="5" s="1"/>
  <c r="O191" i="5" s="1"/>
  <c r="M189" i="5"/>
  <c r="N189" i="5" s="1"/>
  <c r="O189" i="5" s="1"/>
  <c r="J157" i="5"/>
  <c r="K157" i="5" s="1"/>
  <c r="J158" i="5"/>
  <c r="K158" i="5" s="1"/>
  <c r="J159" i="5"/>
  <c r="K159" i="5" s="1"/>
  <c r="J160" i="5"/>
  <c r="K160" i="5" s="1"/>
  <c r="J167" i="5"/>
  <c r="K167" i="5" s="1"/>
  <c r="J168" i="5"/>
  <c r="K168" i="5" s="1"/>
  <c r="J169" i="5"/>
  <c r="K169" i="5" s="1"/>
  <c r="J170" i="5"/>
  <c r="K170" i="5" s="1"/>
  <c r="J171" i="5"/>
  <c r="K171" i="5" s="1"/>
  <c r="J172" i="5"/>
  <c r="K172" i="5" s="1"/>
  <c r="J173" i="5"/>
  <c r="K173" i="5" s="1"/>
  <c r="J191" i="5"/>
  <c r="K191" i="5" s="1"/>
  <c r="J189" i="5"/>
  <c r="K189" i="5" s="1"/>
  <c r="M193" i="5"/>
  <c r="N193" i="5" s="1"/>
  <c r="O193" i="5" s="1"/>
  <c r="M194" i="5"/>
  <c r="N194" i="5" s="1"/>
  <c r="O194" i="5" s="1"/>
  <c r="M195" i="5"/>
  <c r="N195" i="5" s="1"/>
  <c r="O195" i="5" s="1"/>
  <c r="M196" i="5"/>
  <c r="N196" i="5" s="1"/>
  <c r="O196" i="5" s="1"/>
  <c r="M197" i="5"/>
  <c r="N197" i="5" s="1"/>
  <c r="O197" i="5" s="1"/>
  <c r="M199" i="5"/>
  <c r="N199" i="5" s="1"/>
  <c r="O199" i="5" s="1"/>
  <c r="M198" i="5"/>
  <c r="N198" i="5" s="1"/>
  <c r="O198" i="5" s="1"/>
  <c r="M200" i="5"/>
  <c r="N200" i="5" s="1"/>
  <c r="O200" i="5" s="1"/>
  <c r="M201" i="5"/>
  <c r="N201" i="5" s="1"/>
  <c r="O201" i="5" s="1"/>
  <c r="M202" i="5"/>
  <c r="N202" i="5" s="1"/>
  <c r="O202" i="5" s="1"/>
  <c r="M203" i="5"/>
  <c r="N203" i="5" s="1"/>
  <c r="O203" i="5" s="1"/>
  <c r="M204" i="5"/>
  <c r="N204" i="5" s="1"/>
  <c r="O204" i="5" s="1"/>
  <c r="M205" i="5"/>
  <c r="N205" i="5" s="1"/>
  <c r="O205" i="5" s="1"/>
  <c r="M206" i="5"/>
  <c r="N206" i="5" s="1"/>
  <c r="O206" i="5" s="1"/>
  <c r="M207" i="5"/>
  <c r="N207" i="5" s="1"/>
  <c r="O207" i="5" s="1"/>
  <c r="M208" i="5"/>
  <c r="N208" i="5" s="1"/>
  <c r="O208" i="5" s="1"/>
  <c r="M209" i="5"/>
  <c r="N209" i="5" s="1"/>
  <c r="O209" i="5" s="1"/>
  <c r="M210" i="5"/>
  <c r="N210" i="5" s="1"/>
  <c r="O210" i="5" s="1"/>
  <c r="M211" i="5"/>
  <c r="N211" i="5" s="1"/>
  <c r="O211" i="5" s="1"/>
  <c r="M212" i="5"/>
  <c r="N212" i="5" s="1"/>
  <c r="O212" i="5" s="1"/>
  <c r="M213" i="5"/>
  <c r="N213" i="5" s="1"/>
  <c r="O213" i="5" s="1"/>
  <c r="M214" i="5"/>
  <c r="N214" i="5" s="1"/>
  <c r="O214" i="5" s="1"/>
  <c r="M215" i="5"/>
  <c r="N215" i="5" s="1"/>
  <c r="O215" i="5" s="1"/>
  <c r="M216" i="5"/>
  <c r="N216" i="5" s="1"/>
  <c r="O216" i="5" s="1"/>
  <c r="M217" i="5"/>
  <c r="N217" i="5" s="1"/>
  <c r="O217" i="5" s="1"/>
  <c r="M218" i="5"/>
  <c r="N218" i="5" s="1"/>
  <c r="O218" i="5" s="1"/>
  <c r="M219" i="5"/>
  <c r="N219" i="5" s="1"/>
  <c r="O219" i="5" s="1"/>
  <c r="M220" i="5"/>
  <c r="N220" i="5" s="1"/>
  <c r="O220" i="5" s="1"/>
  <c r="J193" i="5"/>
  <c r="K193" i="5" s="1"/>
  <c r="J194" i="5"/>
  <c r="K194" i="5" s="1"/>
  <c r="J195" i="5"/>
  <c r="K195" i="5" s="1"/>
  <c r="J196" i="5"/>
  <c r="K196" i="5" s="1"/>
  <c r="J197" i="5"/>
  <c r="K197" i="5" s="1"/>
  <c r="J199" i="5"/>
  <c r="K199" i="5" s="1"/>
  <c r="J198" i="5"/>
  <c r="K198" i="5" s="1"/>
  <c r="J200" i="5"/>
  <c r="K200" i="5" s="1"/>
  <c r="J201" i="5"/>
  <c r="K201" i="5" s="1"/>
  <c r="J202" i="5"/>
  <c r="K202" i="5" s="1"/>
  <c r="J203" i="5"/>
  <c r="K203" i="5" s="1"/>
  <c r="J204" i="5"/>
  <c r="K204" i="5" s="1"/>
  <c r="J205" i="5"/>
  <c r="K205" i="5" s="1"/>
  <c r="J206" i="5"/>
  <c r="K206" i="5" s="1"/>
  <c r="J207" i="5"/>
  <c r="K207" i="5" s="1"/>
  <c r="J208" i="5"/>
  <c r="K208" i="5" s="1"/>
  <c r="J209" i="5"/>
  <c r="K209" i="5" s="1"/>
  <c r="J210" i="5"/>
  <c r="K210" i="5" s="1"/>
  <c r="J211" i="5"/>
  <c r="K211" i="5" s="1"/>
  <c r="J212" i="5"/>
  <c r="K212" i="5" s="1"/>
  <c r="J213" i="5"/>
  <c r="K213" i="5" s="1"/>
  <c r="J214" i="5"/>
  <c r="K214" i="5" s="1"/>
  <c r="J215" i="5"/>
  <c r="K215" i="5" s="1"/>
  <c r="J216" i="5"/>
  <c r="K216" i="5" s="1"/>
  <c r="J217" i="5"/>
  <c r="K217" i="5" s="1"/>
  <c r="J218" i="5"/>
  <c r="K218" i="5" s="1"/>
  <c r="J219" i="5"/>
  <c r="K219" i="5" s="1"/>
  <c r="J220" i="5"/>
  <c r="K220" i="5" s="1"/>
  <c r="M109" i="5"/>
  <c r="N109" i="5" s="1"/>
  <c r="O109" i="5" s="1"/>
  <c r="M110" i="5"/>
  <c r="N110" i="5" s="1"/>
  <c r="O110" i="5" s="1"/>
  <c r="M111" i="5"/>
  <c r="N111" i="5" s="1"/>
  <c r="O111" i="5" s="1"/>
  <c r="M112" i="5"/>
  <c r="M113" i="5"/>
  <c r="N113" i="5" s="1"/>
  <c r="O113" i="5" s="1"/>
  <c r="M114" i="5"/>
  <c r="N114" i="5" s="1"/>
  <c r="O114" i="5" s="1"/>
  <c r="M115" i="5"/>
  <c r="N115" i="5" s="1"/>
  <c r="O115" i="5" s="1"/>
  <c r="M116" i="5"/>
  <c r="N116" i="5" s="1"/>
  <c r="O116" i="5" s="1"/>
  <c r="M117" i="5"/>
  <c r="N117" i="5" s="1"/>
  <c r="O117" i="5" s="1"/>
  <c r="M118" i="5"/>
  <c r="N118" i="5" s="1"/>
  <c r="O118" i="5" s="1"/>
  <c r="M119" i="5"/>
  <c r="N119" i="5" s="1"/>
  <c r="O119" i="5" s="1"/>
  <c r="M120" i="5"/>
  <c r="M121" i="5"/>
  <c r="N121" i="5" s="1"/>
  <c r="O121" i="5" s="1"/>
  <c r="M122" i="5"/>
  <c r="N122" i="5" s="1"/>
  <c r="O122" i="5" s="1"/>
  <c r="M123" i="5"/>
  <c r="N123" i="5" s="1"/>
  <c r="O123" i="5" s="1"/>
  <c r="M124" i="5"/>
  <c r="N124" i="5" s="1"/>
  <c r="O124" i="5" s="1"/>
  <c r="M125" i="5"/>
  <c r="N125" i="5" s="1"/>
  <c r="O125" i="5" s="1"/>
  <c r="M126" i="5"/>
  <c r="N126" i="5" s="1"/>
  <c r="O126" i="5" s="1"/>
  <c r="M127" i="5"/>
  <c r="N127" i="5" s="1"/>
  <c r="O127" i="5" s="1"/>
  <c r="M128" i="5"/>
  <c r="M129" i="5"/>
  <c r="N129" i="5" s="1"/>
  <c r="O129" i="5" s="1"/>
  <c r="M130" i="5"/>
  <c r="N130" i="5" s="1"/>
  <c r="O130" i="5" s="1"/>
  <c r="M131" i="5"/>
  <c r="N131" i="5" s="1"/>
  <c r="O131" i="5" s="1"/>
  <c r="M132" i="5"/>
  <c r="N132" i="5" s="1"/>
  <c r="O132" i="5" s="1"/>
  <c r="M133" i="5"/>
  <c r="N133" i="5" s="1"/>
  <c r="O133" i="5" s="1"/>
  <c r="M134" i="5"/>
  <c r="N134" i="5" s="1"/>
  <c r="O134" i="5" s="1"/>
  <c r="M135" i="5"/>
  <c r="N135" i="5" s="1"/>
  <c r="O135" i="5" s="1"/>
  <c r="M136" i="5"/>
  <c r="M137" i="5"/>
  <c r="N137" i="5" s="1"/>
  <c r="O137" i="5" s="1"/>
  <c r="M138" i="5"/>
  <c r="N138" i="5" s="1"/>
  <c r="O138" i="5" s="1"/>
  <c r="M139" i="5"/>
  <c r="N139" i="5" s="1"/>
  <c r="O139" i="5" s="1"/>
  <c r="M140" i="5"/>
  <c r="N140" i="5" s="1"/>
  <c r="O140" i="5" s="1"/>
  <c r="M141" i="5"/>
  <c r="N141" i="5" s="1"/>
  <c r="O141" i="5" s="1"/>
  <c r="M142" i="5"/>
  <c r="N142" i="5" s="1"/>
  <c r="O142" i="5" s="1"/>
  <c r="M143" i="5"/>
  <c r="N143" i="5" s="1"/>
  <c r="O143" i="5" s="1"/>
  <c r="M144" i="5"/>
  <c r="M145" i="5"/>
  <c r="N145" i="5" s="1"/>
  <c r="O145" i="5" s="1"/>
  <c r="M146" i="5"/>
  <c r="N146" i="5" s="1"/>
  <c r="O146" i="5" s="1"/>
  <c r="M147" i="5"/>
  <c r="N147" i="5" s="1"/>
  <c r="O147" i="5" s="1"/>
  <c r="M148" i="5"/>
  <c r="N148" i="5" s="1"/>
  <c r="O148" i="5" s="1"/>
  <c r="M149" i="5"/>
  <c r="N149" i="5" s="1"/>
  <c r="O149" i="5" s="1"/>
  <c r="M150" i="5"/>
  <c r="N150" i="5" s="1"/>
  <c r="O150" i="5" s="1"/>
  <c r="M151" i="5"/>
  <c r="N151" i="5" s="1"/>
  <c r="O151" i="5" s="1"/>
  <c r="M152" i="5"/>
  <c r="M153" i="5"/>
  <c r="N153" i="5" s="1"/>
  <c r="O153" i="5" s="1"/>
  <c r="M154" i="5"/>
  <c r="N154" i="5" s="1"/>
  <c r="O154" i="5" s="1"/>
  <c r="M155" i="5"/>
  <c r="N155" i="5" s="1"/>
  <c r="O155" i="5" s="1"/>
  <c r="M156" i="5"/>
  <c r="N156" i="5" s="1"/>
  <c r="O156" i="5" s="1"/>
  <c r="J109" i="5"/>
  <c r="K109" i="5" s="1"/>
  <c r="J110" i="5"/>
  <c r="K110" i="5" s="1"/>
  <c r="J111" i="5"/>
  <c r="K111" i="5" s="1"/>
  <c r="J112" i="5"/>
  <c r="K112" i="5" s="1"/>
  <c r="J113" i="5"/>
  <c r="K113" i="5" s="1"/>
  <c r="J114" i="5"/>
  <c r="K114" i="5" s="1"/>
  <c r="J115" i="5"/>
  <c r="K115" i="5" s="1"/>
  <c r="J116" i="5"/>
  <c r="K116" i="5" s="1"/>
  <c r="J117" i="5"/>
  <c r="K117" i="5" s="1"/>
  <c r="J118" i="5"/>
  <c r="K118" i="5" s="1"/>
  <c r="J119" i="5"/>
  <c r="K119" i="5" s="1"/>
  <c r="J120" i="5"/>
  <c r="K120" i="5" s="1"/>
  <c r="J121" i="5"/>
  <c r="K121" i="5" s="1"/>
  <c r="J122" i="5"/>
  <c r="K122" i="5" s="1"/>
  <c r="J123" i="5"/>
  <c r="K123" i="5" s="1"/>
  <c r="J124" i="5"/>
  <c r="K124" i="5" s="1"/>
  <c r="J125" i="5"/>
  <c r="K125" i="5" s="1"/>
  <c r="J126" i="5"/>
  <c r="K126" i="5" s="1"/>
  <c r="J127" i="5"/>
  <c r="K127" i="5" s="1"/>
  <c r="J128" i="5"/>
  <c r="K128" i="5" s="1"/>
  <c r="J129" i="5"/>
  <c r="K129" i="5" s="1"/>
  <c r="J130" i="5"/>
  <c r="K130" i="5" s="1"/>
  <c r="J131" i="5"/>
  <c r="K131" i="5" s="1"/>
  <c r="J132" i="5"/>
  <c r="K132" i="5" s="1"/>
  <c r="J133" i="5"/>
  <c r="K133" i="5" s="1"/>
  <c r="J134" i="5"/>
  <c r="K134" i="5" s="1"/>
  <c r="J135" i="5"/>
  <c r="K135" i="5" s="1"/>
  <c r="J136" i="5"/>
  <c r="K136" i="5" s="1"/>
  <c r="J137" i="5"/>
  <c r="K137" i="5" s="1"/>
  <c r="J138" i="5"/>
  <c r="K138" i="5" s="1"/>
  <c r="J139" i="5"/>
  <c r="K139" i="5" s="1"/>
  <c r="J140" i="5"/>
  <c r="K140" i="5" s="1"/>
  <c r="J141" i="5"/>
  <c r="K141" i="5" s="1"/>
  <c r="J142" i="5"/>
  <c r="K142" i="5" s="1"/>
  <c r="J143" i="5"/>
  <c r="K143" i="5" s="1"/>
  <c r="J144" i="5"/>
  <c r="K144" i="5" s="1"/>
  <c r="J145" i="5"/>
  <c r="K145" i="5" s="1"/>
  <c r="J146" i="5"/>
  <c r="K146" i="5" s="1"/>
  <c r="J147" i="5"/>
  <c r="K147" i="5" s="1"/>
  <c r="J148" i="5"/>
  <c r="K148" i="5" s="1"/>
  <c r="J149" i="5"/>
  <c r="K149" i="5" s="1"/>
  <c r="J150" i="5"/>
  <c r="K150" i="5" s="1"/>
  <c r="J151" i="5"/>
  <c r="K151" i="5" s="1"/>
  <c r="J152" i="5"/>
  <c r="K152" i="5" s="1"/>
  <c r="J153" i="5"/>
  <c r="K153" i="5" s="1"/>
  <c r="J154" i="5"/>
  <c r="K154" i="5" s="1"/>
  <c r="J155" i="5"/>
  <c r="K155" i="5" s="1"/>
  <c r="J156" i="5"/>
  <c r="K156" i="5" s="1"/>
  <c r="J108" i="5"/>
  <c r="K108" i="5" s="1"/>
  <c r="M108" i="5"/>
  <c r="N108" i="5" s="1"/>
  <c r="O108" i="5" s="1"/>
  <c r="P73" i="3" l="1"/>
  <c r="P78" i="3" s="1"/>
  <c r="P55" i="3"/>
  <c r="P70" i="3" s="1"/>
  <c r="O70" i="3"/>
  <c r="N234" i="5"/>
  <c r="M238" i="5"/>
  <c r="D33" i="2" s="1"/>
  <c r="AE33" i="2" s="1"/>
  <c r="N165" i="5"/>
  <c r="O165" i="5" s="1"/>
  <c r="N236" i="5"/>
  <c r="O236" i="5" s="1"/>
  <c r="N160" i="5"/>
  <c r="O160" i="5" s="1"/>
  <c r="N152" i="5"/>
  <c r="O152" i="5" s="1"/>
  <c r="N144" i="5"/>
  <c r="O144" i="5" s="1"/>
  <c r="N136" i="5"/>
  <c r="O136" i="5" s="1"/>
  <c r="N128" i="5"/>
  <c r="O128" i="5" s="1"/>
  <c r="N120" i="5"/>
  <c r="O120" i="5" s="1"/>
  <c r="N112" i="5"/>
  <c r="O112" i="5" s="1"/>
  <c r="M12" i="5"/>
  <c r="N12" i="5" s="1"/>
  <c r="O12" i="5" s="1"/>
  <c r="M13" i="5"/>
  <c r="N13" i="5" s="1"/>
  <c r="O13" i="5" s="1"/>
  <c r="M14" i="5"/>
  <c r="N14" i="5" s="1"/>
  <c r="O14" i="5" s="1"/>
  <c r="M15" i="5"/>
  <c r="N15" i="5" s="1"/>
  <c r="O15" i="5" s="1"/>
  <c r="M16" i="5"/>
  <c r="N16" i="5" s="1"/>
  <c r="O16" i="5" s="1"/>
  <c r="M17" i="5"/>
  <c r="N17" i="5" s="1"/>
  <c r="O17" i="5" s="1"/>
  <c r="M18" i="5"/>
  <c r="N18" i="5" s="1"/>
  <c r="O18" i="5" s="1"/>
  <c r="M19" i="5"/>
  <c r="N19" i="5" s="1"/>
  <c r="O19" i="5" s="1"/>
  <c r="M20" i="5"/>
  <c r="N20" i="5" s="1"/>
  <c r="O20" i="5" s="1"/>
  <c r="M21" i="5"/>
  <c r="N21" i="5" s="1"/>
  <c r="O21" i="5" s="1"/>
  <c r="M22" i="5"/>
  <c r="N22" i="5" s="1"/>
  <c r="O22" i="5" s="1"/>
  <c r="M23" i="5"/>
  <c r="N23" i="5" s="1"/>
  <c r="O23" i="5" s="1"/>
  <c r="M24" i="5"/>
  <c r="N24" i="5" s="1"/>
  <c r="O24" i="5" s="1"/>
  <c r="M25" i="5"/>
  <c r="N25" i="5" s="1"/>
  <c r="O25" i="5" s="1"/>
  <c r="M26" i="5"/>
  <c r="N26" i="5" s="1"/>
  <c r="O26" i="5" s="1"/>
  <c r="M27" i="5"/>
  <c r="N27" i="5" s="1"/>
  <c r="O27" i="5" s="1"/>
  <c r="M28" i="5"/>
  <c r="N28" i="5" s="1"/>
  <c r="O28" i="5" s="1"/>
  <c r="M29" i="5"/>
  <c r="N29" i="5" s="1"/>
  <c r="O29" i="5" s="1"/>
  <c r="M30" i="5"/>
  <c r="N30" i="5" s="1"/>
  <c r="O30" i="5" s="1"/>
  <c r="M31" i="5"/>
  <c r="N31" i="5" s="1"/>
  <c r="O31" i="5" s="1"/>
  <c r="M32" i="5"/>
  <c r="N32" i="5" s="1"/>
  <c r="O32" i="5" s="1"/>
  <c r="M33" i="5"/>
  <c r="N33" i="5" s="1"/>
  <c r="O33" i="5" s="1"/>
  <c r="M34" i="5"/>
  <c r="N34" i="5" s="1"/>
  <c r="O34" i="5" s="1"/>
  <c r="M35" i="5"/>
  <c r="N35" i="5" s="1"/>
  <c r="O35" i="5" s="1"/>
  <c r="M36" i="5"/>
  <c r="N36" i="5" s="1"/>
  <c r="O36" i="5" s="1"/>
  <c r="M37" i="5"/>
  <c r="N37" i="5" s="1"/>
  <c r="O37" i="5" s="1"/>
  <c r="M38" i="5"/>
  <c r="N38" i="5" s="1"/>
  <c r="O38" i="5" s="1"/>
  <c r="M39" i="5"/>
  <c r="N39" i="5" s="1"/>
  <c r="O39" i="5" s="1"/>
  <c r="M40" i="5"/>
  <c r="N40" i="5" s="1"/>
  <c r="O40" i="5" s="1"/>
  <c r="M41" i="5"/>
  <c r="N41" i="5" s="1"/>
  <c r="O41" i="5" s="1"/>
  <c r="M42" i="5"/>
  <c r="N42" i="5" s="1"/>
  <c r="O42" i="5" s="1"/>
  <c r="M43" i="5"/>
  <c r="N43" i="5" s="1"/>
  <c r="O43" i="5" s="1"/>
  <c r="M44" i="5"/>
  <c r="N44" i="5" s="1"/>
  <c r="O44" i="5" s="1"/>
  <c r="M45" i="5"/>
  <c r="N45" i="5" s="1"/>
  <c r="O45" i="5" s="1"/>
  <c r="M46" i="5"/>
  <c r="N46" i="5" s="1"/>
  <c r="O46" i="5" s="1"/>
  <c r="M47" i="5"/>
  <c r="M48" i="5"/>
  <c r="N48" i="5" s="1"/>
  <c r="O48" i="5" s="1"/>
  <c r="M49" i="5"/>
  <c r="N49" i="5" s="1"/>
  <c r="O49" i="5" s="1"/>
  <c r="M50" i="5"/>
  <c r="N50" i="5" s="1"/>
  <c r="O50" i="5" s="1"/>
  <c r="J50" i="5"/>
  <c r="K50" i="5" s="1"/>
  <c r="J51" i="5"/>
  <c r="K51" i="5" s="1"/>
  <c r="J52" i="5"/>
  <c r="K52" i="5" s="1"/>
  <c r="J53" i="5"/>
  <c r="K53" i="5" s="1"/>
  <c r="J54" i="5"/>
  <c r="K54" i="5" s="1"/>
  <c r="J57" i="5"/>
  <c r="K57" i="5" s="1"/>
  <c r="J55" i="5"/>
  <c r="K55" i="5" s="1"/>
  <c r="J56" i="5"/>
  <c r="K56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K63" i="5" s="1"/>
  <c r="J64" i="5"/>
  <c r="K64" i="5" s="1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K19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K25" i="5" s="1"/>
  <c r="J26" i="5"/>
  <c r="K26" i="5" s="1"/>
  <c r="J27" i="5"/>
  <c r="K27" i="5" s="1"/>
  <c r="J28" i="5"/>
  <c r="K28" i="5" s="1"/>
  <c r="J29" i="5"/>
  <c r="K29" i="5" s="1"/>
  <c r="J30" i="5"/>
  <c r="K30" i="5" s="1"/>
  <c r="J31" i="5"/>
  <c r="K31" i="5" s="1"/>
  <c r="J32" i="5"/>
  <c r="K32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 s="1"/>
  <c r="J43" i="5"/>
  <c r="K43" i="5" s="1"/>
  <c r="J44" i="5"/>
  <c r="K44" i="5" s="1"/>
  <c r="M69" i="5"/>
  <c r="N69" i="5" s="1"/>
  <c r="O69" i="5" s="1"/>
  <c r="M70" i="5"/>
  <c r="N70" i="5" s="1"/>
  <c r="O70" i="5" s="1"/>
  <c r="M71" i="5"/>
  <c r="N71" i="5" s="1"/>
  <c r="O71" i="5" s="1"/>
  <c r="M72" i="5"/>
  <c r="N72" i="5" s="1"/>
  <c r="O72" i="5" s="1"/>
  <c r="M73" i="5"/>
  <c r="N73" i="5" s="1"/>
  <c r="O73" i="5" s="1"/>
  <c r="M74" i="5"/>
  <c r="N74" i="5" s="1"/>
  <c r="O74" i="5" s="1"/>
  <c r="M75" i="5"/>
  <c r="N75" i="5" s="1"/>
  <c r="O75" i="5" s="1"/>
  <c r="M76" i="5"/>
  <c r="N76" i="5" s="1"/>
  <c r="O76" i="5" s="1"/>
  <c r="M77" i="5"/>
  <c r="N77" i="5" s="1"/>
  <c r="O77" i="5" s="1"/>
  <c r="M78" i="5"/>
  <c r="N78" i="5" s="1"/>
  <c r="O78" i="5" s="1"/>
  <c r="M79" i="5"/>
  <c r="N79" i="5" s="1"/>
  <c r="O79" i="5" s="1"/>
  <c r="M80" i="5"/>
  <c r="N80" i="5" s="1"/>
  <c r="O80" i="5" s="1"/>
  <c r="M81" i="5"/>
  <c r="N81" i="5" s="1"/>
  <c r="O81" i="5" s="1"/>
  <c r="M82" i="5"/>
  <c r="N82" i="5" s="1"/>
  <c r="O82" i="5" s="1"/>
  <c r="M83" i="5"/>
  <c r="N83" i="5" s="1"/>
  <c r="O83" i="5" s="1"/>
  <c r="M84" i="5"/>
  <c r="N84" i="5" s="1"/>
  <c r="O84" i="5" s="1"/>
  <c r="M85" i="5"/>
  <c r="N85" i="5" s="1"/>
  <c r="O85" i="5" s="1"/>
  <c r="M86" i="5"/>
  <c r="N86" i="5" s="1"/>
  <c r="O86" i="5" s="1"/>
  <c r="M87" i="5"/>
  <c r="N87" i="5" s="1"/>
  <c r="O87" i="5" s="1"/>
  <c r="M88" i="5"/>
  <c r="N88" i="5" s="1"/>
  <c r="O88" i="5" s="1"/>
  <c r="M89" i="5"/>
  <c r="N89" i="5" s="1"/>
  <c r="O89" i="5" s="1"/>
  <c r="M90" i="5"/>
  <c r="N90" i="5" s="1"/>
  <c r="O90" i="5" s="1"/>
  <c r="M91" i="5"/>
  <c r="N91" i="5" s="1"/>
  <c r="O91" i="5" s="1"/>
  <c r="M92" i="5"/>
  <c r="N92" i="5" s="1"/>
  <c r="O92" i="5" s="1"/>
  <c r="M93" i="5"/>
  <c r="N93" i="5" s="1"/>
  <c r="O93" i="5" s="1"/>
  <c r="M94" i="5"/>
  <c r="N94" i="5" s="1"/>
  <c r="O94" i="5" s="1"/>
  <c r="M95" i="5"/>
  <c r="N95" i="5" s="1"/>
  <c r="O95" i="5" s="1"/>
  <c r="J70" i="5"/>
  <c r="K70" i="5" s="1"/>
  <c r="J71" i="5"/>
  <c r="K71" i="5" s="1"/>
  <c r="J72" i="5"/>
  <c r="K72" i="5" s="1"/>
  <c r="J73" i="5"/>
  <c r="K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K79" i="5" s="1"/>
  <c r="J80" i="5"/>
  <c r="K80" i="5" s="1"/>
  <c r="J81" i="5"/>
  <c r="K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K87" i="5" s="1"/>
  <c r="J88" i="5"/>
  <c r="K88" i="5" s="1"/>
  <c r="J89" i="5"/>
  <c r="K89" i="5" s="1"/>
  <c r="J90" i="5"/>
  <c r="K90" i="5" s="1"/>
  <c r="J91" i="5"/>
  <c r="K91" i="5" s="1"/>
  <c r="J92" i="5"/>
  <c r="K92" i="5" s="1"/>
  <c r="J93" i="5"/>
  <c r="K93" i="5" s="1"/>
  <c r="J94" i="5"/>
  <c r="K94" i="5" s="1"/>
  <c r="J95" i="5"/>
  <c r="K95" i="5" s="1"/>
  <c r="J97" i="5"/>
  <c r="K97" i="5" s="1"/>
  <c r="J98" i="5"/>
  <c r="K98" i="5" s="1"/>
  <c r="J96" i="5"/>
  <c r="K96" i="5" s="1"/>
  <c r="J99" i="5"/>
  <c r="K99" i="5" s="1"/>
  <c r="J100" i="5"/>
  <c r="K100" i="5" s="1"/>
  <c r="J101" i="5"/>
  <c r="K101" i="5" s="1"/>
  <c r="J103" i="5"/>
  <c r="K103" i="5" s="1"/>
  <c r="J102" i="5"/>
  <c r="K102" i="5" s="1"/>
  <c r="J69" i="5"/>
  <c r="K69" i="5" s="1"/>
  <c r="Y337" i="1"/>
  <c r="Y338" i="1"/>
  <c r="Y339" i="1"/>
  <c r="Y340" i="1"/>
  <c r="Y341" i="1"/>
  <c r="Y336" i="1"/>
  <c r="X337" i="1"/>
  <c r="X338" i="1"/>
  <c r="X339" i="1"/>
  <c r="X340" i="1"/>
  <c r="X341" i="1"/>
  <c r="X336" i="1"/>
  <c r="X320" i="1"/>
  <c r="Y320" i="1"/>
  <c r="X321" i="1"/>
  <c r="Y321" i="1"/>
  <c r="X322" i="1"/>
  <c r="Y322" i="1"/>
  <c r="X323" i="1"/>
  <c r="Y323" i="1"/>
  <c r="X324" i="1"/>
  <c r="Y324" i="1"/>
  <c r="X325" i="1"/>
  <c r="Y325" i="1"/>
  <c r="X326" i="1"/>
  <c r="Y326" i="1"/>
  <c r="X327" i="1"/>
  <c r="Y327" i="1"/>
  <c r="Y319" i="1"/>
  <c r="X319" i="1"/>
  <c r="X169" i="1"/>
  <c r="Y169" i="1"/>
  <c r="X170" i="1"/>
  <c r="Y170" i="1"/>
  <c r="X171" i="1"/>
  <c r="Y171" i="1"/>
  <c r="X172" i="1"/>
  <c r="Y172" i="1"/>
  <c r="X173" i="1"/>
  <c r="Y173" i="1"/>
  <c r="X174" i="1"/>
  <c r="Y174" i="1"/>
  <c r="X175" i="1"/>
  <c r="Y175" i="1"/>
  <c r="X176" i="1"/>
  <c r="Y176" i="1"/>
  <c r="X177" i="1"/>
  <c r="Y177" i="1"/>
  <c r="X178" i="1"/>
  <c r="Y178" i="1"/>
  <c r="X179" i="1"/>
  <c r="Y179" i="1"/>
  <c r="X180" i="1"/>
  <c r="Y180" i="1"/>
  <c r="X181" i="1"/>
  <c r="Y181" i="1"/>
  <c r="X182" i="1"/>
  <c r="Y182" i="1"/>
  <c r="X183" i="1"/>
  <c r="Y183" i="1"/>
  <c r="X184" i="1"/>
  <c r="Y184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6" i="1"/>
  <c r="Y196" i="1"/>
  <c r="X197" i="1"/>
  <c r="Y197" i="1"/>
  <c r="X198" i="1"/>
  <c r="Y198" i="1"/>
  <c r="X199" i="1"/>
  <c r="Y199" i="1"/>
  <c r="X200" i="1"/>
  <c r="Y200" i="1"/>
  <c r="X201" i="1"/>
  <c r="Y201" i="1"/>
  <c r="X202" i="1"/>
  <c r="Y202" i="1"/>
  <c r="X203" i="1"/>
  <c r="Y203" i="1"/>
  <c r="X204" i="1"/>
  <c r="Y204" i="1"/>
  <c r="X205" i="1"/>
  <c r="Y205" i="1"/>
  <c r="X206" i="1"/>
  <c r="Y206" i="1"/>
  <c r="X207" i="1"/>
  <c r="Y207" i="1"/>
  <c r="X208" i="1"/>
  <c r="Y208" i="1"/>
  <c r="X209" i="1"/>
  <c r="Y209" i="1"/>
  <c r="X210" i="1"/>
  <c r="Y210" i="1"/>
  <c r="X211" i="1"/>
  <c r="Y211" i="1"/>
  <c r="X212" i="1"/>
  <c r="Y212" i="1"/>
  <c r="X213" i="1"/>
  <c r="Y213" i="1"/>
  <c r="X214" i="1"/>
  <c r="Y214" i="1"/>
  <c r="X215" i="1"/>
  <c r="Y215" i="1"/>
  <c r="X216" i="1"/>
  <c r="Y216" i="1"/>
  <c r="X217" i="1"/>
  <c r="Y217" i="1"/>
  <c r="X218" i="1"/>
  <c r="Y218" i="1"/>
  <c r="X219" i="1"/>
  <c r="Y219" i="1"/>
  <c r="X220" i="1"/>
  <c r="Y220" i="1"/>
  <c r="X221" i="1"/>
  <c r="Y221" i="1"/>
  <c r="X222" i="1"/>
  <c r="Y222" i="1"/>
  <c r="X223" i="1"/>
  <c r="Y223" i="1"/>
  <c r="X224" i="1"/>
  <c r="Y224" i="1"/>
  <c r="X225" i="1"/>
  <c r="Y225" i="1"/>
  <c r="X226" i="1"/>
  <c r="Y226" i="1"/>
  <c r="X227" i="1"/>
  <c r="Y227" i="1"/>
  <c r="X228" i="1"/>
  <c r="Y228" i="1"/>
  <c r="X229" i="1"/>
  <c r="Y229" i="1"/>
  <c r="X230" i="1"/>
  <c r="Y230" i="1"/>
  <c r="X231" i="1"/>
  <c r="Y231" i="1"/>
  <c r="X232" i="1"/>
  <c r="Y232" i="1"/>
  <c r="X233" i="1"/>
  <c r="Y233" i="1"/>
  <c r="X234" i="1"/>
  <c r="Y234" i="1"/>
  <c r="X235" i="1"/>
  <c r="Y235" i="1"/>
  <c r="X236" i="1"/>
  <c r="Y236" i="1"/>
  <c r="X237" i="1"/>
  <c r="Y237" i="1"/>
  <c r="X238" i="1"/>
  <c r="Y238" i="1"/>
  <c r="X239" i="1"/>
  <c r="Y239" i="1"/>
  <c r="X240" i="1"/>
  <c r="Y240" i="1"/>
  <c r="X241" i="1"/>
  <c r="Y241" i="1"/>
  <c r="X242" i="1"/>
  <c r="Y242" i="1"/>
  <c r="X243" i="1"/>
  <c r="Y243" i="1"/>
  <c r="X244" i="1"/>
  <c r="Y244" i="1"/>
  <c r="X245" i="1"/>
  <c r="Y245" i="1"/>
  <c r="X246" i="1"/>
  <c r="Y246" i="1"/>
  <c r="X247" i="1"/>
  <c r="Y247" i="1"/>
  <c r="X248" i="1"/>
  <c r="Y248" i="1"/>
  <c r="X249" i="1"/>
  <c r="Y249" i="1"/>
  <c r="X250" i="1"/>
  <c r="Y250" i="1"/>
  <c r="X251" i="1"/>
  <c r="Y251" i="1"/>
  <c r="X252" i="1"/>
  <c r="Y252" i="1"/>
  <c r="X253" i="1"/>
  <c r="Y253" i="1"/>
  <c r="X254" i="1"/>
  <c r="Y254" i="1"/>
  <c r="X255" i="1"/>
  <c r="Y255" i="1"/>
  <c r="X256" i="1"/>
  <c r="Y256" i="1"/>
  <c r="X257" i="1"/>
  <c r="Y257" i="1"/>
  <c r="X258" i="1"/>
  <c r="Y258" i="1"/>
  <c r="X259" i="1"/>
  <c r="Y259" i="1"/>
  <c r="X260" i="1"/>
  <c r="Y260" i="1"/>
  <c r="X261" i="1"/>
  <c r="Y261" i="1"/>
  <c r="X262" i="1"/>
  <c r="Y262" i="1"/>
  <c r="X263" i="1"/>
  <c r="Y263" i="1"/>
  <c r="X264" i="1"/>
  <c r="Y264" i="1"/>
  <c r="X265" i="1"/>
  <c r="Y265" i="1"/>
  <c r="X266" i="1"/>
  <c r="Y266" i="1"/>
  <c r="X267" i="1"/>
  <c r="Y267" i="1"/>
  <c r="X268" i="1"/>
  <c r="Y268" i="1"/>
  <c r="X269" i="1"/>
  <c r="Y269" i="1"/>
  <c r="X270" i="1"/>
  <c r="Y270" i="1"/>
  <c r="X271" i="1"/>
  <c r="Y271" i="1"/>
  <c r="Y168" i="1"/>
  <c r="X168" i="1"/>
  <c r="X157" i="1"/>
  <c r="Y157" i="1"/>
  <c r="X158" i="1"/>
  <c r="Y158" i="1"/>
  <c r="X159" i="1"/>
  <c r="Y159" i="1"/>
  <c r="X160" i="1"/>
  <c r="Y160" i="1"/>
  <c r="X161" i="1"/>
  <c r="Y161" i="1"/>
  <c r="X162" i="1"/>
  <c r="Y162" i="1"/>
  <c r="X163" i="1"/>
  <c r="Y163" i="1"/>
  <c r="X164" i="1"/>
  <c r="Y164" i="1"/>
  <c r="X165" i="1"/>
  <c r="Y165" i="1"/>
  <c r="Y156" i="1"/>
  <c r="X156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X109" i="1"/>
  <c r="Y109" i="1"/>
  <c r="X110" i="1"/>
  <c r="Y110" i="1"/>
  <c r="X111" i="1"/>
  <c r="Y111" i="1"/>
  <c r="X112" i="1"/>
  <c r="Y112" i="1"/>
  <c r="X113" i="1"/>
  <c r="Y113" i="1"/>
  <c r="X114" i="1"/>
  <c r="Y114" i="1"/>
  <c r="X115" i="1"/>
  <c r="Y115" i="1"/>
  <c r="X116" i="1"/>
  <c r="Y116" i="1"/>
  <c r="X117" i="1"/>
  <c r="Y117" i="1"/>
  <c r="X118" i="1"/>
  <c r="Y118" i="1"/>
  <c r="X119" i="1"/>
  <c r="Y119" i="1"/>
  <c r="X120" i="1"/>
  <c r="Y120" i="1"/>
  <c r="X121" i="1"/>
  <c r="Y121" i="1"/>
  <c r="X122" i="1"/>
  <c r="Y122" i="1"/>
  <c r="X123" i="1"/>
  <c r="Y123" i="1"/>
  <c r="X124" i="1"/>
  <c r="Y124" i="1"/>
  <c r="X125" i="1"/>
  <c r="Y125" i="1"/>
  <c r="X126" i="1"/>
  <c r="Y126" i="1"/>
  <c r="X127" i="1"/>
  <c r="Y127" i="1"/>
  <c r="X128" i="1"/>
  <c r="Y128" i="1"/>
  <c r="X129" i="1"/>
  <c r="Y129" i="1"/>
  <c r="X130" i="1"/>
  <c r="Y130" i="1"/>
  <c r="X131" i="1"/>
  <c r="Y131" i="1"/>
  <c r="X132" i="1"/>
  <c r="Y132" i="1"/>
  <c r="X133" i="1"/>
  <c r="Y133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4" i="1"/>
  <c r="Y144" i="1"/>
  <c r="X145" i="1"/>
  <c r="Y145" i="1"/>
  <c r="X146" i="1"/>
  <c r="Y146" i="1"/>
  <c r="X147" i="1"/>
  <c r="Y147" i="1"/>
  <c r="X148" i="1"/>
  <c r="Y148" i="1"/>
  <c r="X149" i="1"/>
  <c r="Y149" i="1"/>
  <c r="X150" i="1"/>
  <c r="Y150" i="1"/>
  <c r="X151" i="1"/>
  <c r="Y151" i="1"/>
  <c r="X152" i="1"/>
  <c r="Y152" i="1"/>
  <c r="X153" i="1"/>
  <c r="Y153" i="1"/>
  <c r="Y97" i="1"/>
  <c r="X97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Y42" i="1"/>
  <c r="X42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Y5" i="1"/>
  <c r="X5" i="1"/>
  <c r="C33" i="2" l="1"/>
  <c r="AD33" i="2" s="1"/>
  <c r="O234" i="5"/>
  <c r="O238" i="5" s="1"/>
  <c r="N238" i="5"/>
  <c r="N47" i="5"/>
  <c r="O47" i="5" s="1"/>
  <c r="M24" i="7" l="1"/>
  <c r="B43" i="2" s="1"/>
  <c r="AC43" i="2" s="1"/>
  <c r="L19" i="6"/>
  <c r="B39" i="2" s="1"/>
  <c r="AC39" i="2" s="1"/>
  <c r="A31" i="2"/>
  <c r="J49" i="5"/>
  <c r="K49" i="5" s="1"/>
  <c r="J48" i="5"/>
  <c r="K48" i="5" s="1"/>
  <c r="J47" i="5"/>
  <c r="K47" i="5" s="1"/>
  <c r="J46" i="5"/>
  <c r="K46" i="5" s="1"/>
  <c r="J45" i="5"/>
  <c r="K45" i="5" s="1"/>
  <c r="L66" i="5"/>
  <c r="A29" i="2"/>
  <c r="A27" i="2"/>
  <c r="L36" i="6"/>
  <c r="B37" i="2" s="1"/>
  <c r="AC37" i="2" s="1"/>
  <c r="B23" i="2" l="1"/>
  <c r="AC23" i="2" s="1"/>
  <c r="B40" i="2"/>
  <c r="B38" i="2"/>
  <c r="B44" i="2"/>
  <c r="L222" i="5"/>
  <c r="L105" i="5"/>
  <c r="B25" i="2" s="1"/>
  <c r="AC25" i="2" s="1"/>
  <c r="D6" i="5" l="1"/>
  <c r="B27" i="2"/>
  <c r="AC27" i="2" s="1"/>
  <c r="M51" i="5"/>
  <c r="N51" i="5" s="1"/>
  <c r="O51" i="5" s="1"/>
  <c r="M52" i="5"/>
  <c r="N52" i="5" s="1"/>
  <c r="O52" i="5" s="1"/>
  <c r="M53" i="5"/>
  <c r="N53" i="5" s="1"/>
  <c r="O53" i="5" s="1"/>
  <c r="M54" i="5"/>
  <c r="N54" i="5" s="1"/>
  <c r="O54" i="5" s="1"/>
  <c r="M57" i="5"/>
  <c r="N57" i="5" s="1"/>
  <c r="O57" i="5" s="1"/>
  <c r="M55" i="5"/>
  <c r="N55" i="5" s="1"/>
  <c r="O55" i="5" s="1"/>
  <c r="M56" i="5"/>
  <c r="N56" i="5" s="1"/>
  <c r="O56" i="5" s="1"/>
  <c r="M58" i="5"/>
  <c r="N58" i="5" s="1"/>
  <c r="O58" i="5" s="1"/>
  <c r="M59" i="5"/>
  <c r="N59" i="5" s="1"/>
  <c r="O59" i="5" s="1"/>
  <c r="M60" i="5"/>
  <c r="N60" i="5" s="1"/>
  <c r="O60" i="5" s="1"/>
  <c r="M61" i="5"/>
  <c r="N61" i="5" s="1"/>
  <c r="O61" i="5" s="1"/>
  <c r="M62" i="5"/>
  <c r="N62" i="5" s="1"/>
  <c r="O62" i="5" s="1"/>
  <c r="M63" i="5"/>
  <c r="N63" i="5" s="1"/>
  <c r="O63" i="5" s="1"/>
  <c r="M64" i="5"/>
  <c r="N64" i="5" s="1"/>
  <c r="O64" i="5" s="1"/>
  <c r="N28" i="7"/>
  <c r="O28" i="7" s="1"/>
  <c r="R11" i="7"/>
  <c r="N4" i="7"/>
  <c r="N3" i="7"/>
  <c r="N2" i="7"/>
  <c r="L55" i="6"/>
  <c r="L56" i="6" s="1"/>
  <c r="J55" i="6"/>
  <c r="K55" i="6" s="1"/>
  <c r="X34" i="6"/>
  <c r="W34" i="6"/>
  <c r="Q11" i="6"/>
  <c r="M4" i="6"/>
  <c r="M3" i="6"/>
  <c r="M2" i="6"/>
  <c r="L231" i="5"/>
  <c r="L241" i="5" s="1"/>
  <c r="D7" i="5" s="1"/>
  <c r="M102" i="5"/>
  <c r="N102" i="5" s="1"/>
  <c r="O102" i="5" s="1"/>
  <c r="M103" i="5"/>
  <c r="N103" i="5" s="1"/>
  <c r="O103" i="5" s="1"/>
  <c r="M101" i="5"/>
  <c r="N101" i="5" s="1"/>
  <c r="O101" i="5" s="1"/>
  <c r="M100" i="5"/>
  <c r="N100" i="5" s="1"/>
  <c r="O100" i="5" s="1"/>
  <c r="M99" i="5"/>
  <c r="N99" i="5" s="1"/>
  <c r="O99" i="5" s="1"/>
  <c r="M96" i="5"/>
  <c r="N96" i="5" s="1"/>
  <c r="O96" i="5" s="1"/>
  <c r="M98" i="5"/>
  <c r="N98" i="5" s="1"/>
  <c r="O98" i="5" s="1"/>
  <c r="M97" i="5"/>
  <c r="N97" i="5" s="1"/>
  <c r="O97" i="5" s="1"/>
  <c r="Q11" i="5"/>
  <c r="M4" i="5"/>
  <c r="M3" i="5"/>
  <c r="M2" i="5"/>
  <c r="R83" i="3"/>
  <c r="B12" i="2"/>
  <c r="S11" i="3"/>
  <c r="Q65" i="3"/>
  <c r="H6" i="2"/>
  <c r="S328" i="1"/>
  <c r="O328" i="1"/>
  <c r="H328" i="1"/>
  <c r="U298" i="1"/>
  <c r="S298" i="1"/>
  <c r="Q298" i="1"/>
  <c r="O298" i="1"/>
  <c r="H298" i="1"/>
  <c r="U286" i="1"/>
  <c r="S286" i="1"/>
  <c r="Q286" i="1"/>
  <c r="O286" i="1"/>
  <c r="H286" i="1"/>
  <c r="U281" i="1"/>
  <c r="S281" i="1"/>
  <c r="Q281" i="1"/>
  <c r="O281" i="1"/>
  <c r="H281" i="1"/>
  <c r="U166" i="1"/>
  <c r="S166" i="1"/>
  <c r="Q166" i="1"/>
  <c r="O166" i="1"/>
  <c r="H166" i="1"/>
  <c r="H154" i="1"/>
  <c r="U95" i="1"/>
  <c r="S95" i="1"/>
  <c r="Q95" i="1"/>
  <c r="O95" i="1"/>
  <c r="H95" i="1"/>
  <c r="U40" i="1"/>
  <c r="S40" i="1"/>
  <c r="Q40" i="1"/>
  <c r="O40" i="1"/>
  <c r="H40" i="1"/>
  <c r="Q6" i="2" l="1"/>
  <c r="Z6" i="2" s="1"/>
  <c r="AI6" i="2"/>
  <c r="S65" i="3"/>
  <c r="T65" i="3" s="1"/>
  <c r="U65" i="3" s="1"/>
  <c r="M36" i="6"/>
  <c r="Q15" i="3"/>
  <c r="Q75" i="3"/>
  <c r="S75" i="3" s="1"/>
  <c r="T75" i="3" s="1"/>
  <c r="U75" i="3" s="1"/>
  <c r="Q60" i="3"/>
  <c r="S60" i="3" s="1"/>
  <c r="T60" i="3" s="1"/>
  <c r="U60" i="3" s="1"/>
  <c r="Q76" i="3"/>
  <c r="S76" i="3" s="1"/>
  <c r="T76" i="3" s="1"/>
  <c r="U76" i="3" s="1"/>
  <c r="Q48" i="3"/>
  <c r="S48" i="3" s="1"/>
  <c r="T48" i="3" s="1"/>
  <c r="U48" i="3" s="1"/>
  <c r="Q47" i="3"/>
  <c r="S47" i="3" s="1"/>
  <c r="T47" i="3" s="1"/>
  <c r="U47" i="3" s="1"/>
  <c r="Q49" i="3"/>
  <c r="S49" i="3" s="1"/>
  <c r="T49" i="3" s="1"/>
  <c r="U49" i="3" s="1"/>
  <c r="Q59" i="3"/>
  <c r="S59" i="3" s="1"/>
  <c r="T59" i="3" s="1"/>
  <c r="U59" i="3" s="1"/>
  <c r="Q63" i="3"/>
  <c r="Q31" i="3"/>
  <c r="Q20" i="3"/>
  <c r="S20" i="3" s="1"/>
  <c r="T20" i="3" s="1"/>
  <c r="U20" i="3" s="1"/>
  <c r="Q94" i="3"/>
  <c r="Q55" i="3"/>
  <c r="Q35" i="3"/>
  <c r="Q28" i="3"/>
  <c r="Q61" i="3"/>
  <c r="Q95" i="3"/>
  <c r="S95" i="3" s="1"/>
  <c r="T95" i="3" s="1"/>
  <c r="U95" i="3" s="1"/>
  <c r="Q18" i="3"/>
  <c r="Q30" i="3"/>
  <c r="Q17" i="3"/>
  <c r="Q19" i="3"/>
  <c r="S19" i="3" s="1"/>
  <c r="T19" i="3" s="1"/>
  <c r="U19" i="3" s="1"/>
  <c r="Q73" i="3"/>
  <c r="Q22" i="3"/>
  <c r="Q40" i="3"/>
  <c r="Q36" i="3"/>
  <c r="S36" i="3" s="1"/>
  <c r="T36" i="3" s="1"/>
  <c r="U36" i="3" s="1"/>
  <c r="Q67" i="3"/>
  <c r="S67" i="3" s="1"/>
  <c r="T67" i="3" s="1"/>
  <c r="U67" i="3" s="1"/>
  <c r="Q57" i="3"/>
  <c r="S57" i="3" s="1"/>
  <c r="T57" i="3" s="1"/>
  <c r="U57" i="3" s="1"/>
  <c r="Q23" i="3"/>
  <c r="Q29" i="3"/>
  <c r="S29" i="3" s="1"/>
  <c r="T29" i="3" s="1"/>
  <c r="U29" i="3" s="1"/>
  <c r="Q44" i="3"/>
  <c r="S44" i="3" s="1"/>
  <c r="T44" i="3" s="1"/>
  <c r="U44" i="3" s="1"/>
  <c r="Q56" i="3"/>
  <c r="S56" i="3" s="1"/>
  <c r="T56" i="3" s="1"/>
  <c r="U56" i="3" s="1"/>
  <c r="Q62" i="3"/>
  <c r="Q46" i="3"/>
  <c r="Q58" i="3"/>
  <c r="Q41" i="3"/>
  <c r="Q37" i="3"/>
  <c r="Q16" i="3"/>
  <c r="Q21" i="3"/>
  <c r="Q39" i="3"/>
  <c r="S39" i="3" s="1"/>
  <c r="T39" i="3" s="1"/>
  <c r="U39" i="3" s="1"/>
  <c r="Q43" i="3"/>
  <c r="Q45" i="3"/>
  <c r="Q32" i="3"/>
  <c r="S32" i="3" s="1"/>
  <c r="T32" i="3" s="1"/>
  <c r="U32" i="3" s="1"/>
  <c r="Q66" i="3"/>
  <c r="Q26" i="3"/>
  <c r="S26" i="3" s="1"/>
  <c r="T26" i="3" s="1"/>
  <c r="U26" i="3" s="1"/>
  <c r="Q50" i="3"/>
  <c r="Q42" i="3"/>
  <c r="Q38" i="3"/>
  <c r="Q27" i="3"/>
  <c r="Q33" i="3"/>
  <c r="S33" i="3" s="1"/>
  <c r="T33" i="3" s="1"/>
  <c r="U33" i="3" s="1"/>
  <c r="Q13" i="3"/>
  <c r="Q14" i="3"/>
  <c r="S14" i="3" s="1"/>
  <c r="T14" i="3" s="1"/>
  <c r="U14" i="3" s="1"/>
  <c r="Q34" i="3"/>
  <c r="Q74" i="3"/>
  <c r="Q64" i="3"/>
  <c r="Q25" i="3"/>
  <c r="Q24" i="3"/>
  <c r="B31" i="2"/>
  <c r="AC31" i="2" s="1"/>
  <c r="N19" i="6"/>
  <c r="I56" i="6"/>
  <c r="J56" i="6" s="1"/>
  <c r="K56" i="6" s="1"/>
  <c r="M83" i="3"/>
  <c r="B16" i="2" s="1"/>
  <c r="AC16" i="2" s="1"/>
  <c r="D3" i="6"/>
  <c r="D3" i="7"/>
  <c r="C3" i="5"/>
  <c r="D3" i="3"/>
  <c r="M5" i="6"/>
  <c r="N5" i="7"/>
  <c r="M5" i="5"/>
  <c r="D12" i="2"/>
  <c r="B41" i="2"/>
  <c r="AC41" i="2" s="1"/>
  <c r="B14" i="2"/>
  <c r="AC14" i="2" s="1"/>
  <c r="R86" i="3"/>
  <c r="M19" i="6"/>
  <c r="D39" i="2" s="1"/>
  <c r="M56" i="6"/>
  <c r="P28" i="7"/>
  <c r="O19" i="6"/>
  <c r="B29" i="2"/>
  <c r="AC29" i="2" s="1"/>
  <c r="M55" i="6"/>
  <c r="N55" i="6" s="1"/>
  <c r="O55" i="6" s="1"/>
  <c r="AC35" i="2" l="1"/>
  <c r="Q78" i="3"/>
  <c r="S55" i="3"/>
  <c r="Q70" i="3"/>
  <c r="B35" i="2"/>
  <c r="C39" i="2"/>
  <c r="C12" i="2"/>
  <c r="Q18" i="7"/>
  <c r="Q14" i="7"/>
  <c r="Q16" i="7"/>
  <c r="R16" i="7" s="1"/>
  <c r="S16" i="7" s="1"/>
  <c r="T16" i="7" s="1"/>
  <c r="Q22" i="7"/>
  <c r="Q17" i="7"/>
  <c r="R17" i="7" s="1"/>
  <c r="S17" i="7" s="1"/>
  <c r="T17" i="7" s="1"/>
  <c r="Q13" i="7"/>
  <c r="Q20" i="7"/>
  <c r="R20" i="7" s="1"/>
  <c r="S20" i="7" s="1"/>
  <c r="T20" i="7" s="1"/>
  <c r="Q19" i="7"/>
  <c r="R19" i="7" s="1"/>
  <c r="S19" i="7" s="1"/>
  <c r="T19" i="7" s="1"/>
  <c r="Q15" i="7"/>
  <c r="R15" i="7" s="1"/>
  <c r="S15" i="7" s="1"/>
  <c r="T15" i="7" s="1"/>
  <c r="Q21" i="7"/>
  <c r="Q42" i="7"/>
  <c r="Q45" i="7"/>
  <c r="Q37" i="7"/>
  <c r="R37" i="7" s="1"/>
  <c r="S37" i="7" s="1"/>
  <c r="T37" i="7" s="1"/>
  <c r="Q49" i="7"/>
  <c r="Q46" i="7"/>
  <c r="R46" i="7" s="1"/>
  <c r="S46" i="7" s="1"/>
  <c r="T46" i="7" s="1"/>
  <c r="Q29" i="7"/>
  <c r="R29" i="7" s="1"/>
  <c r="S29" i="7" s="1"/>
  <c r="T29" i="7" s="1"/>
  <c r="Q33" i="7"/>
  <c r="Q53" i="7"/>
  <c r="Q41" i="7"/>
  <c r="Q55" i="7"/>
  <c r="R55" i="7" s="1"/>
  <c r="S55" i="7" s="1"/>
  <c r="T55" i="7" s="1"/>
  <c r="Q44" i="7"/>
  <c r="Q38" i="7"/>
  <c r="R38" i="7" s="1"/>
  <c r="S38" i="7" s="1"/>
  <c r="T38" i="7" s="1"/>
  <c r="Q50" i="7"/>
  <c r="R50" i="7" s="1"/>
  <c r="S50" i="7" s="1"/>
  <c r="T50" i="7" s="1"/>
  <c r="Q35" i="7"/>
  <c r="R35" i="7" s="1"/>
  <c r="S35" i="7" s="1"/>
  <c r="T35" i="7" s="1"/>
  <c r="Q47" i="7"/>
  <c r="R47" i="7" s="1"/>
  <c r="S47" i="7" s="1"/>
  <c r="T47" i="7" s="1"/>
  <c r="Q36" i="7"/>
  <c r="Q32" i="7"/>
  <c r="R32" i="7" s="1"/>
  <c r="S32" i="7" s="1"/>
  <c r="T32" i="7" s="1"/>
  <c r="Q30" i="7"/>
  <c r="R30" i="7" s="1"/>
  <c r="S30" i="7" s="1"/>
  <c r="T30" i="7" s="1"/>
  <c r="Q48" i="7"/>
  <c r="R48" i="7" s="1"/>
  <c r="S48" i="7" s="1"/>
  <c r="T48" i="7" s="1"/>
  <c r="Q54" i="7"/>
  <c r="R54" i="7" s="1"/>
  <c r="S54" i="7" s="1"/>
  <c r="T54" i="7" s="1"/>
  <c r="Q40" i="7"/>
  <c r="R40" i="7" s="1"/>
  <c r="S40" i="7" s="1"/>
  <c r="T40" i="7" s="1"/>
  <c r="Q39" i="7"/>
  <c r="R39" i="7" s="1"/>
  <c r="S39" i="7" s="1"/>
  <c r="T39" i="7" s="1"/>
  <c r="Q43" i="7"/>
  <c r="R43" i="7" s="1"/>
  <c r="S43" i="7" s="1"/>
  <c r="T43" i="7" s="1"/>
  <c r="Q31" i="7"/>
  <c r="R31" i="7" s="1"/>
  <c r="S31" i="7" s="1"/>
  <c r="T31" i="7" s="1"/>
  <c r="Q34" i="7"/>
  <c r="R34" i="7" s="1"/>
  <c r="S34" i="7" s="1"/>
  <c r="T34" i="7" s="1"/>
  <c r="Q51" i="7"/>
  <c r="R51" i="7" s="1"/>
  <c r="S51" i="7" s="1"/>
  <c r="T51" i="7" s="1"/>
  <c r="Q52" i="7"/>
  <c r="P15" i="6"/>
  <c r="Q15" i="6" s="1"/>
  <c r="R15" i="6" s="1"/>
  <c r="S15" i="6" s="1"/>
  <c r="P16" i="6"/>
  <c r="Q16" i="6" s="1"/>
  <c r="R16" i="6" s="1"/>
  <c r="S16" i="6" s="1"/>
  <c r="P14" i="6"/>
  <c r="Q14" i="6" s="1"/>
  <c r="R14" i="6" s="1"/>
  <c r="S14" i="6" s="1"/>
  <c r="P12" i="6"/>
  <c r="P13" i="6"/>
  <c r="P17" i="6"/>
  <c r="P24" i="6"/>
  <c r="Q24" i="6" s="1"/>
  <c r="R24" i="6" s="1"/>
  <c r="S24" i="6" s="1"/>
  <c r="P27" i="6"/>
  <c r="P23" i="6"/>
  <c r="Q23" i="6" s="1"/>
  <c r="R23" i="6" s="1"/>
  <c r="S23" i="6" s="1"/>
  <c r="P25" i="6"/>
  <c r="P31" i="6"/>
  <c r="Q31" i="6" s="1"/>
  <c r="R31" i="6" s="1"/>
  <c r="S31" i="6" s="1"/>
  <c r="P26" i="6"/>
  <c r="Q26" i="6" s="1"/>
  <c r="R26" i="6" s="1"/>
  <c r="S26" i="6" s="1"/>
  <c r="P22" i="6"/>
  <c r="P29" i="6"/>
  <c r="Q29" i="6" s="1"/>
  <c r="R29" i="6" s="1"/>
  <c r="S29" i="6" s="1"/>
  <c r="P30" i="6"/>
  <c r="P28" i="6"/>
  <c r="Q28" i="6" s="1"/>
  <c r="R28" i="6" s="1"/>
  <c r="S28" i="6" s="1"/>
  <c r="O36" i="6"/>
  <c r="N36" i="6"/>
  <c r="S94" i="3"/>
  <c r="D14" i="2"/>
  <c r="S24" i="3"/>
  <c r="T24" i="3" s="1"/>
  <c r="U24" i="3" s="1"/>
  <c r="S27" i="3"/>
  <c r="T27" i="3" s="1"/>
  <c r="U27" i="3" s="1"/>
  <c r="S43" i="3"/>
  <c r="T43" i="3" s="1"/>
  <c r="U43" i="3" s="1"/>
  <c r="S62" i="3"/>
  <c r="T62" i="3" s="1"/>
  <c r="U62" i="3" s="1"/>
  <c r="S40" i="3"/>
  <c r="T40" i="3" s="1"/>
  <c r="U40" i="3" s="1"/>
  <c r="S61" i="3"/>
  <c r="T61" i="3" s="1"/>
  <c r="U61" i="3" s="1"/>
  <c r="S63" i="3"/>
  <c r="T63" i="3" s="1"/>
  <c r="U63" i="3" s="1"/>
  <c r="S15" i="3"/>
  <c r="T15" i="3" s="1"/>
  <c r="U15" i="3" s="1"/>
  <c r="S46" i="3"/>
  <c r="T46" i="3" s="1"/>
  <c r="U46" i="3" s="1"/>
  <c r="S25" i="3"/>
  <c r="T25" i="3" s="1"/>
  <c r="U25" i="3" s="1"/>
  <c r="S38" i="3"/>
  <c r="T38" i="3" s="1"/>
  <c r="U38" i="3" s="1"/>
  <c r="S22" i="3"/>
  <c r="T22" i="3" s="1"/>
  <c r="U22" i="3" s="1"/>
  <c r="S28" i="3"/>
  <c r="T28" i="3" s="1"/>
  <c r="U28" i="3" s="1"/>
  <c r="S31" i="3"/>
  <c r="T31" i="3" s="1"/>
  <c r="U31" i="3" s="1"/>
  <c r="S64" i="3"/>
  <c r="T64" i="3" s="1"/>
  <c r="U64" i="3" s="1"/>
  <c r="S42" i="3"/>
  <c r="T42" i="3" s="1"/>
  <c r="U42" i="3" s="1"/>
  <c r="S21" i="3"/>
  <c r="T21" i="3" s="1"/>
  <c r="U21" i="3" s="1"/>
  <c r="S73" i="3"/>
  <c r="S35" i="3"/>
  <c r="T35" i="3" s="1"/>
  <c r="U35" i="3" s="1"/>
  <c r="S74" i="3"/>
  <c r="T74" i="3" s="1"/>
  <c r="U74" i="3" s="1"/>
  <c r="S50" i="3"/>
  <c r="T50" i="3" s="1"/>
  <c r="U50" i="3" s="1"/>
  <c r="S16" i="3"/>
  <c r="T16" i="3" s="1"/>
  <c r="U16" i="3" s="1"/>
  <c r="S34" i="3"/>
  <c r="T34" i="3" s="1"/>
  <c r="U34" i="3" s="1"/>
  <c r="S37" i="3"/>
  <c r="T37" i="3" s="1"/>
  <c r="U37" i="3" s="1"/>
  <c r="S23" i="3"/>
  <c r="T23" i="3" s="1"/>
  <c r="U23" i="3" s="1"/>
  <c r="S17" i="3"/>
  <c r="T17" i="3" s="1"/>
  <c r="U17" i="3" s="1"/>
  <c r="S66" i="3"/>
  <c r="T66" i="3" s="1"/>
  <c r="U66" i="3" s="1"/>
  <c r="S41" i="3"/>
  <c r="T41" i="3" s="1"/>
  <c r="U41" i="3" s="1"/>
  <c r="S30" i="3"/>
  <c r="T30" i="3" s="1"/>
  <c r="U30" i="3" s="1"/>
  <c r="S45" i="3"/>
  <c r="T45" i="3" s="1"/>
  <c r="U45" i="3" s="1"/>
  <c r="S13" i="3"/>
  <c r="T13" i="3" s="1"/>
  <c r="U13" i="3" s="1"/>
  <c r="S58" i="3"/>
  <c r="T58" i="3" s="1"/>
  <c r="U58" i="3" s="1"/>
  <c r="S18" i="3"/>
  <c r="T18" i="3" s="1"/>
  <c r="U18" i="3" s="1"/>
  <c r="P165" i="5"/>
  <c r="Q165" i="5" s="1"/>
  <c r="R165" i="5" s="1"/>
  <c r="S165" i="5" s="1"/>
  <c r="P166" i="5"/>
  <c r="P184" i="5"/>
  <c r="Q184" i="5" s="1"/>
  <c r="R184" i="5" s="1"/>
  <c r="S184" i="5" s="1"/>
  <c r="P161" i="5"/>
  <c r="Q161" i="5" s="1"/>
  <c r="R161" i="5" s="1"/>
  <c r="S161" i="5" s="1"/>
  <c r="P164" i="5"/>
  <c r="Q164" i="5" s="1"/>
  <c r="R164" i="5" s="1"/>
  <c r="S164" i="5" s="1"/>
  <c r="P190" i="5"/>
  <c r="P185" i="5"/>
  <c r="Q185" i="5" s="1"/>
  <c r="R185" i="5" s="1"/>
  <c r="S185" i="5" s="1"/>
  <c r="P176" i="5"/>
  <c r="Q176" i="5" s="1"/>
  <c r="R176" i="5" s="1"/>
  <c r="S176" i="5" s="1"/>
  <c r="P183" i="5"/>
  <c r="Q183" i="5" s="1"/>
  <c r="R183" i="5" s="1"/>
  <c r="S183" i="5" s="1"/>
  <c r="P177" i="5"/>
  <c r="Q177" i="5" s="1"/>
  <c r="R177" i="5" s="1"/>
  <c r="S177" i="5" s="1"/>
  <c r="P162" i="5"/>
  <c r="P175" i="5"/>
  <c r="P182" i="5"/>
  <c r="Q182" i="5" s="1"/>
  <c r="R182" i="5" s="1"/>
  <c r="S182" i="5" s="1"/>
  <c r="P188" i="5"/>
  <c r="Q188" i="5" s="1"/>
  <c r="R188" i="5" s="1"/>
  <c r="S188" i="5" s="1"/>
  <c r="P179" i="5"/>
  <c r="P181" i="5"/>
  <c r="P192" i="5"/>
  <c r="Q192" i="5" s="1"/>
  <c r="R192" i="5" s="1"/>
  <c r="S192" i="5" s="1"/>
  <c r="P174" i="5"/>
  <c r="Q174" i="5" s="1"/>
  <c r="R174" i="5" s="1"/>
  <c r="S174" i="5" s="1"/>
  <c r="P178" i="5"/>
  <c r="Q178" i="5" s="1"/>
  <c r="R178" i="5" s="1"/>
  <c r="S178" i="5" s="1"/>
  <c r="P186" i="5"/>
  <c r="P163" i="5"/>
  <c r="Q163" i="5" s="1"/>
  <c r="R163" i="5" s="1"/>
  <c r="S163" i="5" s="1"/>
  <c r="P187" i="5"/>
  <c r="P180" i="5"/>
  <c r="Q180" i="5" s="1"/>
  <c r="R180" i="5" s="1"/>
  <c r="S180" i="5" s="1"/>
  <c r="P234" i="5"/>
  <c r="P235" i="5"/>
  <c r="Q235" i="5" s="1"/>
  <c r="R235" i="5" s="1"/>
  <c r="S235" i="5" s="1"/>
  <c r="P236" i="5"/>
  <c r="Q236" i="5" s="1"/>
  <c r="R236" i="5" s="1"/>
  <c r="S236" i="5" s="1"/>
  <c r="P160" i="5"/>
  <c r="Q160" i="5" s="1"/>
  <c r="R160" i="5" s="1"/>
  <c r="S160" i="5" s="1"/>
  <c r="P167" i="5"/>
  <c r="P159" i="5"/>
  <c r="Q159" i="5" s="1"/>
  <c r="R159" i="5" s="1"/>
  <c r="S159" i="5" s="1"/>
  <c r="P173" i="5"/>
  <c r="Q173" i="5" s="1"/>
  <c r="R173" i="5" s="1"/>
  <c r="S173" i="5" s="1"/>
  <c r="P169" i="5"/>
  <c r="Q169" i="5" s="1"/>
  <c r="R169" i="5" s="1"/>
  <c r="S169" i="5" s="1"/>
  <c r="P157" i="5"/>
  <c r="P158" i="5"/>
  <c r="Q158" i="5" s="1"/>
  <c r="R158" i="5" s="1"/>
  <c r="S158" i="5" s="1"/>
  <c r="P172" i="5"/>
  <c r="Q172" i="5" s="1"/>
  <c r="R172" i="5" s="1"/>
  <c r="S172" i="5" s="1"/>
  <c r="P189" i="5"/>
  <c r="P171" i="5"/>
  <c r="P170" i="5"/>
  <c r="Q170" i="5" s="1"/>
  <c r="R170" i="5" s="1"/>
  <c r="S170" i="5" s="1"/>
  <c r="P191" i="5"/>
  <c r="P168" i="5"/>
  <c r="P201" i="5"/>
  <c r="Q201" i="5" s="1"/>
  <c r="R201" i="5" s="1"/>
  <c r="S201" i="5" s="1"/>
  <c r="P209" i="5"/>
  <c r="Q209" i="5" s="1"/>
  <c r="R209" i="5" s="1"/>
  <c r="S209" i="5" s="1"/>
  <c r="P217" i="5"/>
  <c r="Q217" i="5" s="1"/>
  <c r="R217" i="5" s="1"/>
  <c r="S217" i="5" s="1"/>
  <c r="P199" i="5"/>
  <c r="Q199" i="5" s="1"/>
  <c r="R199" i="5" s="1"/>
  <c r="S199" i="5" s="1"/>
  <c r="P207" i="5"/>
  <c r="P213" i="5"/>
  <c r="P193" i="5"/>
  <c r="P208" i="5"/>
  <c r="P202" i="5"/>
  <c r="P205" i="5"/>
  <c r="P210" i="5"/>
  <c r="P198" i="5"/>
  <c r="Q198" i="5" s="1"/>
  <c r="R198" i="5" s="1"/>
  <c r="S198" i="5" s="1"/>
  <c r="P197" i="5"/>
  <c r="P203" i="5"/>
  <c r="Q203" i="5" s="1"/>
  <c r="R203" i="5" s="1"/>
  <c r="S203" i="5" s="1"/>
  <c r="P200" i="5"/>
  <c r="P196" i="5"/>
  <c r="P194" i="5"/>
  <c r="P195" i="5"/>
  <c r="P216" i="5"/>
  <c r="P219" i="5"/>
  <c r="Q219" i="5" s="1"/>
  <c r="R219" i="5" s="1"/>
  <c r="S219" i="5" s="1"/>
  <c r="P211" i="5"/>
  <c r="Q211" i="5" s="1"/>
  <c r="R211" i="5" s="1"/>
  <c r="S211" i="5" s="1"/>
  <c r="P218" i="5"/>
  <c r="P214" i="5"/>
  <c r="Q214" i="5" s="1"/>
  <c r="R214" i="5" s="1"/>
  <c r="S214" i="5" s="1"/>
  <c r="P220" i="5"/>
  <c r="P204" i="5"/>
  <c r="P215" i="5"/>
  <c r="Q215" i="5" s="1"/>
  <c r="R215" i="5" s="1"/>
  <c r="S215" i="5" s="1"/>
  <c r="P206" i="5"/>
  <c r="Q206" i="5" s="1"/>
  <c r="R206" i="5" s="1"/>
  <c r="S206" i="5" s="1"/>
  <c r="P212" i="5"/>
  <c r="P108" i="5"/>
  <c r="Q108" i="5" s="1"/>
  <c r="R108" i="5" s="1"/>
  <c r="S108" i="5" s="1"/>
  <c r="P130" i="5"/>
  <c r="P110" i="5"/>
  <c r="Q110" i="5" s="1"/>
  <c r="R110" i="5" s="1"/>
  <c r="S110" i="5" s="1"/>
  <c r="P146" i="5"/>
  <c r="P127" i="5"/>
  <c r="P132" i="5"/>
  <c r="P114" i="5"/>
  <c r="P149" i="5"/>
  <c r="P147" i="5"/>
  <c r="Q147" i="5" s="1"/>
  <c r="R147" i="5" s="1"/>
  <c r="S147" i="5" s="1"/>
  <c r="P135" i="5"/>
  <c r="P129" i="5"/>
  <c r="P111" i="5"/>
  <c r="P139" i="5"/>
  <c r="Q139" i="5" s="1"/>
  <c r="R139" i="5" s="1"/>
  <c r="S139" i="5" s="1"/>
  <c r="P133" i="5"/>
  <c r="P144" i="5"/>
  <c r="Q144" i="5" s="1"/>
  <c r="R144" i="5" s="1"/>
  <c r="S144" i="5" s="1"/>
  <c r="P120" i="5"/>
  <c r="Q120" i="5" s="1"/>
  <c r="R120" i="5" s="1"/>
  <c r="S120" i="5" s="1"/>
  <c r="P142" i="5"/>
  <c r="Q142" i="5" s="1"/>
  <c r="R142" i="5" s="1"/>
  <c r="S142" i="5" s="1"/>
  <c r="P141" i="5"/>
  <c r="P156" i="5"/>
  <c r="P117" i="5"/>
  <c r="P116" i="5"/>
  <c r="Q116" i="5" s="1"/>
  <c r="R116" i="5" s="1"/>
  <c r="S116" i="5" s="1"/>
  <c r="P121" i="5"/>
  <c r="P113" i="5"/>
  <c r="P118" i="5"/>
  <c r="Q118" i="5" s="1"/>
  <c r="R118" i="5" s="1"/>
  <c r="S118" i="5" s="1"/>
  <c r="P145" i="5"/>
  <c r="P136" i="5"/>
  <c r="Q136" i="5" s="1"/>
  <c r="R136" i="5" s="1"/>
  <c r="S136" i="5" s="1"/>
  <c r="P134" i="5"/>
  <c r="Q134" i="5" s="1"/>
  <c r="R134" i="5" s="1"/>
  <c r="S134" i="5" s="1"/>
  <c r="P112" i="5"/>
  <c r="Q112" i="5" s="1"/>
  <c r="R112" i="5" s="1"/>
  <c r="S112" i="5" s="1"/>
  <c r="P109" i="5"/>
  <c r="P124" i="5"/>
  <c r="P153" i="5"/>
  <c r="P152" i="5"/>
  <c r="Q152" i="5" s="1"/>
  <c r="R152" i="5" s="1"/>
  <c r="S152" i="5" s="1"/>
  <c r="P150" i="5"/>
  <c r="Q150" i="5" s="1"/>
  <c r="R150" i="5" s="1"/>
  <c r="S150" i="5" s="1"/>
  <c r="P143" i="5"/>
  <c r="P138" i="5"/>
  <c r="P154" i="5"/>
  <c r="P128" i="5"/>
  <c r="Q128" i="5" s="1"/>
  <c r="R128" i="5" s="1"/>
  <c r="S128" i="5" s="1"/>
  <c r="P151" i="5"/>
  <c r="P119" i="5"/>
  <c r="P137" i="5"/>
  <c r="P126" i="5"/>
  <c r="Q126" i="5" s="1"/>
  <c r="R126" i="5" s="1"/>
  <c r="S126" i="5" s="1"/>
  <c r="P125" i="5"/>
  <c r="P155" i="5"/>
  <c r="Q155" i="5" s="1"/>
  <c r="R155" i="5" s="1"/>
  <c r="S155" i="5" s="1"/>
  <c r="P131" i="5"/>
  <c r="Q131" i="5" s="1"/>
  <c r="R131" i="5" s="1"/>
  <c r="S131" i="5" s="1"/>
  <c r="P148" i="5"/>
  <c r="P115" i="5"/>
  <c r="Q115" i="5" s="1"/>
  <c r="R115" i="5" s="1"/>
  <c r="S115" i="5" s="1"/>
  <c r="P123" i="5"/>
  <c r="Q123" i="5" s="1"/>
  <c r="R123" i="5" s="1"/>
  <c r="S123" i="5" s="1"/>
  <c r="P122" i="5"/>
  <c r="P140" i="5"/>
  <c r="P16" i="5"/>
  <c r="P12" i="5"/>
  <c r="P25" i="5"/>
  <c r="P44" i="5"/>
  <c r="P50" i="5"/>
  <c r="Q50" i="5" s="1"/>
  <c r="R50" i="5" s="1"/>
  <c r="S50" i="5" s="1"/>
  <c r="P28" i="5"/>
  <c r="P27" i="5"/>
  <c r="P40" i="5"/>
  <c r="P42" i="5"/>
  <c r="Q42" i="5" s="1"/>
  <c r="R42" i="5" s="1"/>
  <c r="S42" i="5" s="1"/>
  <c r="P38" i="5"/>
  <c r="Q38" i="5" s="1"/>
  <c r="R38" i="5" s="1"/>
  <c r="S38" i="5" s="1"/>
  <c r="P32" i="5"/>
  <c r="P19" i="5"/>
  <c r="P30" i="5"/>
  <c r="Q30" i="5" s="1"/>
  <c r="R30" i="5" s="1"/>
  <c r="S30" i="5" s="1"/>
  <c r="P26" i="5"/>
  <c r="P13" i="5"/>
  <c r="Q13" i="5" s="1"/>
  <c r="R13" i="5" s="1"/>
  <c r="S13" i="5" s="1"/>
  <c r="P41" i="5"/>
  <c r="P34" i="5"/>
  <c r="P43" i="5"/>
  <c r="P23" i="5"/>
  <c r="Q23" i="5" s="1"/>
  <c r="R23" i="5" s="1"/>
  <c r="S23" i="5" s="1"/>
  <c r="P15" i="5"/>
  <c r="Q15" i="5" s="1"/>
  <c r="R15" i="5" s="1"/>
  <c r="S15" i="5" s="1"/>
  <c r="P36" i="5"/>
  <c r="P22" i="5"/>
  <c r="Q22" i="5" s="1"/>
  <c r="R22" i="5" s="1"/>
  <c r="S22" i="5" s="1"/>
  <c r="P37" i="5"/>
  <c r="Q37" i="5" s="1"/>
  <c r="R37" i="5" s="1"/>
  <c r="S37" i="5" s="1"/>
  <c r="P33" i="5"/>
  <c r="P35" i="5"/>
  <c r="P21" i="5"/>
  <c r="Q21" i="5" s="1"/>
  <c r="R21" i="5" s="1"/>
  <c r="S21" i="5" s="1"/>
  <c r="P24" i="5"/>
  <c r="P14" i="5"/>
  <c r="Q14" i="5" s="1"/>
  <c r="R14" i="5" s="1"/>
  <c r="S14" i="5" s="1"/>
  <c r="P18" i="5"/>
  <c r="P29" i="5"/>
  <c r="Q29" i="5" s="1"/>
  <c r="R29" i="5" s="1"/>
  <c r="S29" i="5" s="1"/>
  <c r="P39" i="5"/>
  <c r="Q39" i="5" s="1"/>
  <c r="R39" i="5" s="1"/>
  <c r="S39" i="5" s="1"/>
  <c r="P31" i="5"/>
  <c r="Q31" i="5" s="1"/>
  <c r="R31" i="5" s="1"/>
  <c r="S31" i="5" s="1"/>
  <c r="P17" i="5"/>
  <c r="P20" i="5"/>
  <c r="P45" i="5"/>
  <c r="Q45" i="5" s="1"/>
  <c r="R45" i="5" s="1"/>
  <c r="S45" i="5" s="1"/>
  <c r="P46" i="5"/>
  <c r="Q46" i="5" s="1"/>
  <c r="R46" i="5" s="1"/>
  <c r="S46" i="5" s="1"/>
  <c r="P49" i="5"/>
  <c r="P47" i="5"/>
  <c r="Q47" i="5" s="1"/>
  <c r="R47" i="5" s="1"/>
  <c r="S47" i="5" s="1"/>
  <c r="P48" i="5"/>
  <c r="P76" i="5"/>
  <c r="Q76" i="5" s="1"/>
  <c r="R76" i="5" s="1"/>
  <c r="S76" i="5" s="1"/>
  <c r="P92" i="5"/>
  <c r="Q92" i="5" s="1"/>
  <c r="R92" i="5" s="1"/>
  <c r="S92" i="5" s="1"/>
  <c r="P72" i="5"/>
  <c r="Q72" i="5" s="1"/>
  <c r="R72" i="5" s="1"/>
  <c r="S72" i="5" s="1"/>
  <c r="P71" i="5"/>
  <c r="Q71" i="5" s="1"/>
  <c r="R71" i="5" s="1"/>
  <c r="S71" i="5" s="1"/>
  <c r="P78" i="5"/>
  <c r="Q78" i="5" s="1"/>
  <c r="R78" i="5" s="1"/>
  <c r="S78" i="5" s="1"/>
  <c r="P90" i="5"/>
  <c r="Q90" i="5" s="1"/>
  <c r="R90" i="5" s="1"/>
  <c r="S90" i="5" s="1"/>
  <c r="P94" i="5"/>
  <c r="Q94" i="5" s="1"/>
  <c r="R94" i="5" s="1"/>
  <c r="S94" i="5" s="1"/>
  <c r="P93" i="5"/>
  <c r="Q93" i="5" s="1"/>
  <c r="R93" i="5" s="1"/>
  <c r="S93" i="5" s="1"/>
  <c r="P82" i="5"/>
  <c r="Q82" i="5" s="1"/>
  <c r="R82" i="5" s="1"/>
  <c r="S82" i="5" s="1"/>
  <c r="P86" i="5"/>
  <c r="P80" i="5"/>
  <c r="P84" i="5"/>
  <c r="Q84" i="5" s="1"/>
  <c r="R84" i="5" s="1"/>
  <c r="S84" i="5" s="1"/>
  <c r="P73" i="5"/>
  <c r="P89" i="5"/>
  <c r="P75" i="5"/>
  <c r="P74" i="5"/>
  <c r="P81" i="5"/>
  <c r="P77" i="5"/>
  <c r="Q77" i="5" s="1"/>
  <c r="R77" i="5" s="1"/>
  <c r="S77" i="5" s="1"/>
  <c r="P87" i="5"/>
  <c r="P88" i="5"/>
  <c r="P85" i="5"/>
  <c r="Q85" i="5" s="1"/>
  <c r="R85" i="5" s="1"/>
  <c r="S85" i="5" s="1"/>
  <c r="P79" i="5"/>
  <c r="P70" i="5"/>
  <c r="Q70" i="5" s="1"/>
  <c r="R70" i="5" s="1"/>
  <c r="S70" i="5" s="1"/>
  <c r="P69" i="5"/>
  <c r="P91" i="5"/>
  <c r="Q91" i="5" s="1"/>
  <c r="R91" i="5" s="1"/>
  <c r="S91" i="5" s="1"/>
  <c r="P83" i="5"/>
  <c r="P95" i="5"/>
  <c r="P64" i="5"/>
  <c r="Q64" i="5" s="1"/>
  <c r="R64" i="5" s="1"/>
  <c r="S64" i="5" s="1"/>
  <c r="N56" i="6"/>
  <c r="O56" i="6" s="1"/>
  <c r="P56" i="6" s="1"/>
  <c r="Q56" i="6" s="1"/>
  <c r="R56" i="6" s="1"/>
  <c r="S56" i="6" s="1"/>
  <c r="P102" i="5"/>
  <c r="Q102" i="5" s="1"/>
  <c r="R102" i="5" s="1"/>
  <c r="S102" i="5" s="1"/>
  <c r="P63" i="5"/>
  <c r="Q63" i="5" s="1"/>
  <c r="R63" i="5" s="1"/>
  <c r="S63" i="5" s="1"/>
  <c r="P58" i="5"/>
  <c r="Q58" i="5" s="1"/>
  <c r="R58" i="5" s="1"/>
  <c r="S58" i="5" s="1"/>
  <c r="P103" i="5"/>
  <c r="Q103" i="5" s="1"/>
  <c r="R103" i="5" s="1"/>
  <c r="S103" i="5" s="1"/>
  <c r="P101" i="5"/>
  <c r="Q101" i="5" s="1"/>
  <c r="R101" i="5" s="1"/>
  <c r="S101" i="5" s="1"/>
  <c r="P100" i="5"/>
  <c r="Q100" i="5" s="1"/>
  <c r="R100" i="5" s="1"/>
  <c r="S100" i="5" s="1"/>
  <c r="P98" i="5"/>
  <c r="Q98" i="5" s="1"/>
  <c r="R98" i="5" s="1"/>
  <c r="S98" i="5" s="1"/>
  <c r="P62" i="5"/>
  <c r="Q62" i="5" s="1"/>
  <c r="R62" i="5" s="1"/>
  <c r="S62" i="5" s="1"/>
  <c r="P56" i="5"/>
  <c r="Q56" i="5" s="1"/>
  <c r="R56" i="5" s="1"/>
  <c r="S56" i="5" s="1"/>
  <c r="P97" i="5"/>
  <c r="Q97" i="5" s="1"/>
  <c r="P57" i="5"/>
  <c r="Q57" i="5" s="1"/>
  <c r="R57" i="5" s="1"/>
  <c r="S57" i="5" s="1"/>
  <c r="P55" i="5"/>
  <c r="Q55" i="5" s="1"/>
  <c r="R55" i="5" s="1"/>
  <c r="S55" i="5" s="1"/>
  <c r="M105" i="5"/>
  <c r="D25" i="2" s="1"/>
  <c r="Q28" i="7"/>
  <c r="R28" i="7" s="1"/>
  <c r="P59" i="5"/>
  <c r="P60" i="5"/>
  <c r="P54" i="5"/>
  <c r="P52" i="5"/>
  <c r="P53" i="5"/>
  <c r="P51" i="5"/>
  <c r="Q51" i="5" s="1"/>
  <c r="R51" i="5" s="1"/>
  <c r="S51" i="5" s="1"/>
  <c r="P61" i="5"/>
  <c r="Q61" i="5" s="1"/>
  <c r="R61" i="5" s="1"/>
  <c r="S61" i="5" s="1"/>
  <c r="T11" i="7"/>
  <c r="S11" i="7"/>
  <c r="N231" i="5"/>
  <c r="O231" i="5"/>
  <c r="S11" i="6"/>
  <c r="R11" i="6"/>
  <c r="N83" i="3"/>
  <c r="D16" i="2" s="1"/>
  <c r="AE16" i="2" s="1"/>
  <c r="M231" i="5"/>
  <c r="D31" i="2" s="1"/>
  <c r="AE31" i="2" s="1"/>
  <c r="D41" i="2"/>
  <c r="AE41" i="2" s="1"/>
  <c r="O66" i="5"/>
  <c r="N66" i="5"/>
  <c r="P55" i="6"/>
  <c r="N24" i="7"/>
  <c r="L46" i="6"/>
  <c r="E7" i="6" s="1"/>
  <c r="N105" i="5"/>
  <c r="O105" i="5"/>
  <c r="M222" i="5"/>
  <c r="S11" i="5"/>
  <c r="R11" i="5"/>
  <c r="M66" i="5"/>
  <c r="P99" i="5"/>
  <c r="P96" i="5"/>
  <c r="S83" i="3"/>
  <c r="F16" i="2" s="1"/>
  <c r="AG16" i="2" s="1"/>
  <c r="Q83" i="3"/>
  <c r="E16" i="2" s="1"/>
  <c r="AF16" i="2" s="1"/>
  <c r="U11" i="3"/>
  <c r="T11" i="3"/>
  <c r="M52" i="3"/>
  <c r="T73" i="3" l="1"/>
  <c r="S78" i="3"/>
  <c r="T55" i="3"/>
  <c r="S70" i="3"/>
  <c r="B8" i="2"/>
  <c r="AC8" i="2" s="1"/>
  <c r="M86" i="3"/>
  <c r="E7" i="3" s="1"/>
  <c r="P238" i="5"/>
  <c r="E33" i="2" s="1"/>
  <c r="AF33" i="2" s="1"/>
  <c r="D29" i="2"/>
  <c r="M241" i="5"/>
  <c r="C14" i="2"/>
  <c r="C41" i="2"/>
  <c r="AD41" i="2" s="1"/>
  <c r="C16" i="2"/>
  <c r="AD16" i="2" s="1"/>
  <c r="C31" i="2"/>
  <c r="AD31" i="2" s="1"/>
  <c r="C25" i="2"/>
  <c r="R13" i="7"/>
  <c r="S13" i="7" s="1"/>
  <c r="T13" i="7" s="1"/>
  <c r="R22" i="7"/>
  <c r="S22" i="7" s="1"/>
  <c r="T22" i="7" s="1"/>
  <c r="R21" i="7"/>
  <c r="S21" i="7" s="1"/>
  <c r="T21" i="7" s="1"/>
  <c r="R14" i="7"/>
  <c r="S14" i="7" s="1"/>
  <c r="T14" i="7" s="1"/>
  <c r="R18" i="7"/>
  <c r="S18" i="7" s="1"/>
  <c r="T18" i="7" s="1"/>
  <c r="Q65" i="7"/>
  <c r="E49" i="2" s="1"/>
  <c r="AF49" i="2" s="1"/>
  <c r="R33" i="7"/>
  <c r="S33" i="7" s="1"/>
  <c r="T33" i="7" s="1"/>
  <c r="R49" i="7"/>
  <c r="S49" i="7" s="1"/>
  <c r="T49" i="7" s="1"/>
  <c r="R52" i="7"/>
  <c r="S52" i="7" s="1"/>
  <c r="T52" i="7" s="1"/>
  <c r="R44" i="7"/>
  <c r="S44" i="7" s="1"/>
  <c r="T44" i="7" s="1"/>
  <c r="R41" i="7"/>
  <c r="R42" i="7"/>
  <c r="S42" i="7" s="1"/>
  <c r="T42" i="7" s="1"/>
  <c r="R45" i="7"/>
  <c r="S45" i="7" s="1"/>
  <c r="T45" i="7" s="1"/>
  <c r="R36" i="7"/>
  <c r="S36" i="7" s="1"/>
  <c r="T36" i="7" s="1"/>
  <c r="R53" i="7"/>
  <c r="S53" i="7" s="1"/>
  <c r="T53" i="7" s="1"/>
  <c r="Q17" i="6"/>
  <c r="R17" i="6" s="1"/>
  <c r="S17" i="6" s="1"/>
  <c r="Q13" i="6"/>
  <c r="R13" i="6" s="1"/>
  <c r="S13" i="6" s="1"/>
  <c r="Q12" i="6"/>
  <c r="R12" i="6" s="1"/>
  <c r="S12" i="6" s="1"/>
  <c r="Q22" i="6"/>
  <c r="R22" i="6" s="1"/>
  <c r="Q27" i="6"/>
  <c r="R27" i="6" s="1"/>
  <c r="S27" i="6" s="1"/>
  <c r="Q25" i="6"/>
  <c r="R25" i="6" s="1"/>
  <c r="S25" i="6" s="1"/>
  <c r="Q30" i="6"/>
  <c r="R30" i="6" s="1"/>
  <c r="S30" i="6" s="1"/>
  <c r="T94" i="3"/>
  <c r="F14" i="2"/>
  <c r="AG14" i="2" s="1"/>
  <c r="Q190" i="5"/>
  <c r="R190" i="5" s="1"/>
  <c r="S190" i="5" s="1"/>
  <c r="Q186" i="5"/>
  <c r="R186" i="5" s="1"/>
  <c r="S186" i="5" s="1"/>
  <c r="Q175" i="5"/>
  <c r="R175" i="5" s="1"/>
  <c r="S175" i="5" s="1"/>
  <c r="Q162" i="5"/>
  <c r="R162" i="5" s="1"/>
  <c r="S162" i="5" s="1"/>
  <c r="Q187" i="5"/>
  <c r="R187" i="5" s="1"/>
  <c r="S187" i="5" s="1"/>
  <c r="Q166" i="5"/>
  <c r="R166" i="5" s="1"/>
  <c r="S166" i="5" s="1"/>
  <c r="Q181" i="5"/>
  <c r="R181" i="5" s="1"/>
  <c r="S181" i="5" s="1"/>
  <c r="Q179" i="5"/>
  <c r="R179" i="5" s="1"/>
  <c r="S179" i="5" s="1"/>
  <c r="Q234" i="5"/>
  <c r="Q157" i="5"/>
  <c r="R157" i="5" s="1"/>
  <c r="S157" i="5" s="1"/>
  <c r="Q168" i="5"/>
  <c r="R168" i="5" s="1"/>
  <c r="S168" i="5" s="1"/>
  <c r="Q191" i="5"/>
  <c r="R191" i="5" s="1"/>
  <c r="S191" i="5" s="1"/>
  <c r="Q171" i="5"/>
  <c r="R171" i="5" s="1"/>
  <c r="S171" i="5" s="1"/>
  <c r="Q167" i="5"/>
  <c r="R167" i="5" s="1"/>
  <c r="S167" i="5" s="1"/>
  <c r="Q189" i="5"/>
  <c r="R189" i="5" s="1"/>
  <c r="S189" i="5" s="1"/>
  <c r="Q208" i="5"/>
  <c r="R208" i="5" s="1"/>
  <c r="S208" i="5" s="1"/>
  <c r="Q193" i="5"/>
  <c r="R193" i="5" s="1"/>
  <c r="S193" i="5" s="1"/>
  <c r="Q218" i="5"/>
  <c r="R218" i="5" s="1"/>
  <c r="S218" i="5" s="1"/>
  <c r="Q213" i="5"/>
  <c r="R213" i="5" s="1"/>
  <c r="S213" i="5" s="1"/>
  <c r="Q197" i="5"/>
  <c r="R197" i="5" s="1"/>
  <c r="S197" i="5" s="1"/>
  <c r="Q207" i="5"/>
  <c r="R207" i="5" s="1"/>
  <c r="S207" i="5" s="1"/>
  <c r="Q212" i="5"/>
  <c r="R212" i="5" s="1"/>
  <c r="S212" i="5" s="1"/>
  <c r="Q196" i="5"/>
  <c r="R196" i="5" s="1"/>
  <c r="S196" i="5" s="1"/>
  <c r="Q200" i="5"/>
  <c r="R200" i="5" s="1"/>
  <c r="S200" i="5" s="1"/>
  <c r="Q216" i="5"/>
  <c r="R216" i="5" s="1"/>
  <c r="S216" i="5" s="1"/>
  <c r="Q210" i="5"/>
  <c r="R210" i="5" s="1"/>
  <c r="S210" i="5" s="1"/>
  <c r="Q195" i="5"/>
  <c r="R195" i="5" s="1"/>
  <c r="S195" i="5" s="1"/>
  <c r="Q205" i="5"/>
  <c r="R205" i="5" s="1"/>
  <c r="S205" i="5" s="1"/>
  <c r="Q220" i="5"/>
  <c r="R220" i="5" s="1"/>
  <c r="S220" i="5" s="1"/>
  <c r="Q204" i="5"/>
  <c r="R204" i="5" s="1"/>
  <c r="S204" i="5" s="1"/>
  <c r="Q194" i="5"/>
  <c r="R194" i="5" s="1"/>
  <c r="S194" i="5" s="1"/>
  <c r="Q202" i="5"/>
  <c r="R202" i="5" s="1"/>
  <c r="S202" i="5" s="1"/>
  <c r="Q151" i="5"/>
  <c r="R151" i="5" s="1"/>
  <c r="S151" i="5" s="1"/>
  <c r="Q124" i="5"/>
  <c r="R124" i="5" s="1"/>
  <c r="S124" i="5" s="1"/>
  <c r="Q121" i="5"/>
  <c r="R121" i="5" s="1"/>
  <c r="S121" i="5" s="1"/>
  <c r="Q133" i="5"/>
  <c r="R133" i="5" s="1"/>
  <c r="S133" i="5" s="1"/>
  <c r="Q132" i="5"/>
  <c r="R132" i="5" s="1"/>
  <c r="S132" i="5" s="1"/>
  <c r="Q149" i="5"/>
  <c r="R149" i="5" s="1"/>
  <c r="S149" i="5" s="1"/>
  <c r="Q113" i="5"/>
  <c r="R113" i="5" s="1"/>
  <c r="S113" i="5" s="1"/>
  <c r="Q148" i="5"/>
  <c r="R148" i="5" s="1"/>
  <c r="S148" i="5" s="1"/>
  <c r="Q109" i="5"/>
  <c r="R109" i="5" s="1"/>
  <c r="S109" i="5" s="1"/>
  <c r="Q127" i="5"/>
  <c r="R127" i="5" s="1"/>
  <c r="S127" i="5" s="1"/>
  <c r="Q122" i="5"/>
  <c r="R122" i="5" s="1"/>
  <c r="S122" i="5" s="1"/>
  <c r="Q153" i="5"/>
  <c r="R153" i="5" s="1"/>
  <c r="S153" i="5" s="1"/>
  <c r="Q154" i="5"/>
  <c r="R154" i="5" s="1"/>
  <c r="S154" i="5" s="1"/>
  <c r="Q117" i="5"/>
  <c r="R117" i="5" s="1"/>
  <c r="S117" i="5" s="1"/>
  <c r="Q111" i="5"/>
  <c r="R111" i="5" s="1"/>
  <c r="S111" i="5" s="1"/>
  <c r="Q146" i="5"/>
  <c r="R146" i="5" s="1"/>
  <c r="S146" i="5" s="1"/>
  <c r="Q137" i="5"/>
  <c r="R137" i="5" s="1"/>
  <c r="S137" i="5" s="1"/>
  <c r="Q114" i="5"/>
  <c r="R114" i="5" s="1"/>
  <c r="S114" i="5" s="1"/>
  <c r="Q138" i="5"/>
  <c r="R138" i="5" s="1"/>
  <c r="S138" i="5" s="1"/>
  <c r="Q156" i="5"/>
  <c r="R156" i="5" s="1"/>
  <c r="S156" i="5" s="1"/>
  <c r="Q129" i="5"/>
  <c r="R129" i="5" s="1"/>
  <c r="S129" i="5" s="1"/>
  <c r="Q125" i="5"/>
  <c r="R125" i="5" s="1"/>
  <c r="S125" i="5" s="1"/>
  <c r="Q143" i="5"/>
  <c r="R143" i="5" s="1"/>
  <c r="S143" i="5" s="1"/>
  <c r="Q141" i="5"/>
  <c r="R141" i="5" s="1"/>
  <c r="S141" i="5" s="1"/>
  <c r="Q135" i="5"/>
  <c r="R135" i="5" s="1"/>
  <c r="S135" i="5" s="1"/>
  <c r="Q130" i="5"/>
  <c r="R130" i="5" s="1"/>
  <c r="S130" i="5" s="1"/>
  <c r="Q119" i="5"/>
  <c r="R119" i="5" s="1"/>
  <c r="S119" i="5" s="1"/>
  <c r="Q140" i="5"/>
  <c r="R140" i="5" s="1"/>
  <c r="S140" i="5" s="1"/>
  <c r="Q145" i="5"/>
  <c r="R145" i="5" s="1"/>
  <c r="S145" i="5" s="1"/>
  <c r="Q48" i="5"/>
  <c r="R48" i="5" s="1"/>
  <c r="S48" i="5" s="1"/>
  <c r="Q27" i="5"/>
  <c r="R27" i="5" s="1"/>
  <c r="S27" i="5" s="1"/>
  <c r="Q49" i="5"/>
  <c r="R49" i="5" s="1"/>
  <c r="S49" i="5" s="1"/>
  <c r="Q18" i="5"/>
  <c r="R18" i="5" s="1"/>
  <c r="S18" i="5" s="1"/>
  <c r="Q19" i="5"/>
  <c r="R19" i="5" s="1"/>
  <c r="S19" i="5" s="1"/>
  <c r="Q44" i="5"/>
  <c r="R44" i="5" s="1"/>
  <c r="S44" i="5" s="1"/>
  <c r="Q40" i="5"/>
  <c r="R40" i="5" s="1"/>
  <c r="S40" i="5" s="1"/>
  <c r="Q24" i="5"/>
  <c r="R24" i="5" s="1"/>
  <c r="S24" i="5" s="1"/>
  <c r="Q32" i="5"/>
  <c r="R32" i="5" s="1"/>
  <c r="S32" i="5" s="1"/>
  <c r="Q25" i="5"/>
  <c r="R25" i="5" s="1"/>
  <c r="S25" i="5" s="1"/>
  <c r="Q41" i="5"/>
  <c r="R41" i="5" s="1"/>
  <c r="S41" i="5" s="1"/>
  <c r="Q28" i="5"/>
  <c r="R28" i="5" s="1"/>
  <c r="S28" i="5" s="1"/>
  <c r="Q20" i="5"/>
  <c r="R20" i="5" s="1"/>
  <c r="S20" i="5" s="1"/>
  <c r="Q43" i="5"/>
  <c r="R43" i="5" s="1"/>
  <c r="S43" i="5" s="1"/>
  <c r="Q12" i="5"/>
  <c r="R12" i="5" s="1"/>
  <c r="S12" i="5" s="1"/>
  <c r="Q33" i="5"/>
  <c r="R33" i="5" s="1"/>
  <c r="S33" i="5" s="1"/>
  <c r="Q26" i="5"/>
  <c r="R26" i="5" s="1"/>
  <c r="S26" i="5" s="1"/>
  <c r="Q36" i="5"/>
  <c r="R36" i="5" s="1"/>
  <c r="S36" i="5" s="1"/>
  <c r="Q17" i="5"/>
  <c r="R17" i="5" s="1"/>
  <c r="S17" i="5" s="1"/>
  <c r="Q35" i="5"/>
  <c r="R35" i="5" s="1"/>
  <c r="S35" i="5" s="1"/>
  <c r="Q34" i="5"/>
  <c r="R34" i="5" s="1"/>
  <c r="S34" i="5" s="1"/>
  <c r="Q16" i="5"/>
  <c r="R16" i="5" s="1"/>
  <c r="S16" i="5" s="1"/>
  <c r="Q79" i="5"/>
  <c r="R79" i="5" s="1"/>
  <c r="S79" i="5" s="1"/>
  <c r="Q89" i="5"/>
  <c r="R89" i="5" s="1"/>
  <c r="S89" i="5" s="1"/>
  <c r="Q73" i="5"/>
  <c r="R73" i="5" s="1"/>
  <c r="S73" i="5" s="1"/>
  <c r="Q88" i="5"/>
  <c r="R88" i="5" s="1"/>
  <c r="S88" i="5" s="1"/>
  <c r="Q75" i="5"/>
  <c r="R75" i="5" s="1"/>
  <c r="S75" i="5" s="1"/>
  <c r="Q95" i="5"/>
  <c r="R95" i="5" s="1"/>
  <c r="S95" i="5" s="1"/>
  <c r="Q87" i="5"/>
  <c r="R87" i="5" s="1"/>
  <c r="S87" i="5" s="1"/>
  <c r="Q80" i="5"/>
  <c r="R80" i="5" s="1"/>
  <c r="S80" i="5" s="1"/>
  <c r="Q83" i="5"/>
  <c r="R83" i="5" s="1"/>
  <c r="S83" i="5" s="1"/>
  <c r="Q86" i="5"/>
  <c r="R86" i="5" s="1"/>
  <c r="S86" i="5" s="1"/>
  <c r="Q81" i="5"/>
  <c r="R81" i="5" s="1"/>
  <c r="S81" i="5" s="1"/>
  <c r="Q69" i="5"/>
  <c r="R69" i="5" s="1"/>
  <c r="S69" i="5" s="1"/>
  <c r="Q74" i="5"/>
  <c r="R74" i="5" s="1"/>
  <c r="S74" i="5" s="1"/>
  <c r="D23" i="2"/>
  <c r="B36" i="2"/>
  <c r="P231" i="5"/>
  <c r="E31" i="2" s="1"/>
  <c r="AF31" i="2" s="1"/>
  <c r="R97" i="5"/>
  <c r="S97" i="5" s="1"/>
  <c r="P66" i="5"/>
  <c r="Q52" i="5"/>
  <c r="R52" i="5" s="1"/>
  <c r="S52" i="5" s="1"/>
  <c r="Q59" i="5"/>
  <c r="R59" i="5" s="1"/>
  <c r="S59" i="5" s="1"/>
  <c r="Q231" i="5"/>
  <c r="F31" i="2" s="1"/>
  <c r="AG31" i="2" s="1"/>
  <c r="Q54" i="5"/>
  <c r="R54" i="5" s="1"/>
  <c r="S54" i="5" s="1"/>
  <c r="Q53" i="5"/>
  <c r="R53" i="5" s="1"/>
  <c r="S53" i="5" s="1"/>
  <c r="Q60" i="5"/>
  <c r="R60" i="5" s="1"/>
  <c r="S60" i="5" s="1"/>
  <c r="E14" i="2"/>
  <c r="AF14" i="2" s="1"/>
  <c r="Q96" i="5"/>
  <c r="R96" i="5" s="1"/>
  <c r="S96" i="5" s="1"/>
  <c r="D27" i="2"/>
  <c r="P19" i="6"/>
  <c r="E39" i="2" s="1"/>
  <c r="AF39" i="2" s="1"/>
  <c r="Q55" i="6"/>
  <c r="R55" i="6" s="1"/>
  <c r="S55" i="6" s="1"/>
  <c r="N222" i="5"/>
  <c r="N241" i="5" s="1"/>
  <c r="S28" i="7"/>
  <c r="O52" i="3"/>
  <c r="P105" i="5"/>
  <c r="E25" i="2" s="1"/>
  <c r="AF25" i="2" s="1"/>
  <c r="N52" i="3"/>
  <c r="D43" i="2"/>
  <c r="AE43" i="2" s="1"/>
  <c r="M46" i="6"/>
  <c r="D37" i="2"/>
  <c r="Q99" i="5"/>
  <c r="R99" i="5" s="1"/>
  <c r="S99" i="5" s="1"/>
  <c r="O83" i="3"/>
  <c r="P83" i="3"/>
  <c r="O24" i="7"/>
  <c r="T83" i="3"/>
  <c r="G16" i="2" s="1"/>
  <c r="AH16" i="2" s="1"/>
  <c r="N46" i="6"/>
  <c r="O46" i="6"/>
  <c r="C29" i="2" l="1"/>
  <c r="U73" i="3"/>
  <c r="U78" i="3" s="1"/>
  <c r="T78" i="3"/>
  <c r="G14" i="2" s="1"/>
  <c r="AH14" i="2" s="1"/>
  <c r="U55" i="3"/>
  <c r="U70" i="3" s="1"/>
  <c r="T70" i="3"/>
  <c r="R65" i="7"/>
  <c r="F49" i="2" s="1"/>
  <c r="AG49" i="2" s="1"/>
  <c r="D35" i="2"/>
  <c r="R234" i="5"/>
  <c r="Q238" i="5"/>
  <c r="F33" i="2" s="1"/>
  <c r="AG33" i="2" s="1"/>
  <c r="C37" i="2"/>
  <c r="C43" i="2"/>
  <c r="AD43" i="2" s="1"/>
  <c r="C27" i="2"/>
  <c r="C23" i="2"/>
  <c r="P36" i="6"/>
  <c r="E41" i="2" s="1"/>
  <c r="AF41" i="2" s="1"/>
  <c r="S41" i="7"/>
  <c r="T41" i="7" s="1"/>
  <c r="S22" i="6"/>
  <c r="S36" i="6" s="1"/>
  <c r="U94" i="3"/>
  <c r="Q36" i="6"/>
  <c r="F41" i="2" s="1"/>
  <c r="AG41" i="2" s="1"/>
  <c r="R36" i="6"/>
  <c r="G37" i="2" s="1"/>
  <c r="AH37" i="2" s="1"/>
  <c r="E23" i="2"/>
  <c r="AF23" i="2" s="1"/>
  <c r="P24" i="7"/>
  <c r="Q66" i="5"/>
  <c r="S105" i="5"/>
  <c r="H25" i="2" s="1"/>
  <c r="R105" i="5"/>
  <c r="G25" i="2" s="1"/>
  <c r="AH25" i="2" s="1"/>
  <c r="O86" i="3"/>
  <c r="R66" i="5"/>
  <c r="G23" i="2" s="1"/>
  <c r="AH23" i="2" s="1"/>
  <c r="Q105" i="5"/>
  <c r="F25" i="2" s="1"/>
  <c r="AG25" i="2" s="1"/>
  <c r="U83" i="3"/>
  <c r="H16" i="2" s="1"/>
  <c r="AI16" i="2" s="1"/>
  <c r="B20" i="2"/>
  <c r="P52" i="3"/>
  <c r="P86" i="3" s="1"/>
  <c r="S66" i="5"/>
  <c r="Q19" i="6"/>
  <c r="F39" i="2" s="1"/>
  <c r="AG39" i="2" s="1"/>
  <c r="T28" i="7"/>
  <c r="E12" i="2"/>
  <c r="F12" i="2"/>
  <c r="N86" i="3"/>
  <c r="D8" i="2"/>
  <c r="O222" i="5"/>
  <c r="O241" i="5" s="1"/>
  <c r="S231" i="5"/>
  <c r="H31" i="2" s="1"/>
  <c r="AI31" i="2" s="1"/>
  <c r="R231" i="5"/>
  <c r="G31" i="2" s="1"/>
  <c r="AH31" i="2" s="1"/>
  <c r="S234" i="5" l="1"/>
  <c r="S238" i="5" s="1"/>
  <c r="H33" i="2" s="1"/>
  <c r="AI33" i="2" s="1"/>
  <c r="R238" i="5"/>
  <c r="G33" i="2" s="1"/>
  <c r="AH33" i="2" s="1"/>
  <c r="C35" i="2"/>
  <c r="D20" i="2"/>
  <c r="B21" i="2"/>
  <c r="E37" i="2"/>
  <c r="AF37" i="2" s="1"/>
  <c r="P46" i="6"/>
  <c r="F37" i="2"/>
  <c r="AG37" i="2" s="1"/>
  <c r="T65" i="7"/>
  <c r="H49" i="2" s="1"/>
  <c r="AI49" i="2" s="1"/>
  <c r="S65" i="7"/>
  <c r="G49" i="2" s="1"/>
  <c r="AH49" i="2" s="1"/>
  <c r="H23" i="2"/>
  <c r="F23" i="2"/>
  <c r="AG23" i="2" s="1"/>
  <c r="R24" i="7"/>
  <c r="Q24" i="7"/>
  <c r="C8" i="2"/>
  <c r="P222" i="5"/>
  <c r="P241" i="5" s="1"/>
  <c r="G12" i="2"/>
  <c r="H14" i="2"/>
  <c r="R19" i="6"/>
  <c r="G39" i="2" s="1"/>
  <c r="AH39" i="2" s="1"/>
  <c r="S19" i="6"/>
  <c r="H39" i="2" s="1"/>
  <c r="G41" i="2"/>
  <c r="AH41" i="2" s="1"/>
  <c r="H41" i="2"/>
  <c r="AI41" i="2" s="1"/>
  <c r="Q46" i="6"/>
  <c r="S52" i="3"/>
  <c r="F8" i="2" s="1"/>
  <c r="AG8" i="2" s="1"/>
  <c r="Q52" i="3"/>
  <c r="C20" i="2" l="1"/>
  <c r="Q222" i="5"/>
  <c r="E29" i="2"/>
  <c r="AF29" i="2" s="1"/>
  <c r="S24" i="7"/>
  <c r="G43" i="2" s="1"/>
  <c r="AH43" i="2" s="1"/>
  <c r="T24" i="7"/>
  <c r="E43" i="2"/>
  <c r="AF43" i="2" s="1"/>
  <c r="F43" i="2"/>
  <c r="AG43" i="2" s="1"/>
  <c r="Q86" i="3"/>
  <c r="E8" i="2"/>
  <c r="AF8" i="2" s="1"/>
  <c r="T52" i="3"/>
  <c r="G8" i="2" s="1"/>
  <c r="AH8" i="2" s="1"/>
  <c r="E27" i="2"/>
  <c r="AF27" i="2" s="1"/>
  <c r="H12" i="2"/>
  <c r="S86" i="3"/>
  <c r="S46" i="6"/>
  <c r="H37" i="2"/>
  <c r="R46" i="6"/>
  <c r="E35" i="2" l="1"/>
  <c r="F29" i="2"/>
  <c r="AG29" i="2" s="1"/>
  <c r="Q241" i="5"/>
  <c r="F20" i="2"/>
  <c r="E20" i="2"/>
  <c r="F27" i="2"/>
  <c r="AG27" i="2" s="1"/>
  <c r="R222" i="5"/>
  <c r="R241" i="5" s="1"/>
  <c r="H43" i="2"/>
  <c r="AI43" i="2" s="1"/>
  <c r="U52" i="3"/>
  <c r="T86" i="3"/>
  <c r="G20" i="2"/>
  <c r="E21" i="2" l="1"/>
  <c r="F35" i="2"/>
  <c r="G29" i="2"/>
  <c r="AH29" i="2" s="1"/>
  <c r="G27" i="2"/>
  <c r="AH27" i="2" s="1"/>
  <c r="S222" i="5"/>
  <c r="U86" i="3"/>
  <c r="H8" i="2"/>
  <c r="AI8" i="2" s="1"/>
  <c r="H29" i="2" l="1"/>
  <c r="S241" i="5"/>
  <c r="G35" i="2"/>
  <c r="H20" i="2"/>
  <c r="H27" i="2"/>
  <c r="H21" i="2" l="1"/>
  <c r="H35" i="2"/>
  <c r="AI37" i="2" l="1"/>
  <c r="AE25" i="2"/>
  <c r="K35" i="2"/>
  <c r="K20" i="2"/>
  <c r="AE14" i="2"/>
  <c r="AE27" i="2"/>
  <c r="AE39" i="2"/>
  <c r="AE37" i="2"/>
  <c r="AE29" i="2"/>
  <c r="AD8" i="2" l="1"/>
  <c r="AE8" i="2"/>
  <c r="AD23" i="2"/>
  <c r="AE23" i="2"/>
  <c r="AD27" i="2"/>
  <c r="AC20" i="2"/>
  <c r="AD29" i="2"/>
  <c r="AD25" i="2"/>
  <c r="AD39" i="2"/>
  <c r="AD14" i="2"/>
  <c r="AD37" i="2"/>
  <c r="M20" i="2"/>
  <c r="M35" i="2"/>
  <c r="AE20" i="2" l="1"/>
  <c r="AE35" i="2"/>
  <c r="L35" i="2"/>
  <c r="AD35" i="2"/>
  <c r="AD20" i="2"/>
  <c r="L20" i="2"/>
  <c r="AI23" i="2" l="1"/>
  <c r="N35" i="2" l="1"/>
  <c r="AF35" i="2"/>
  <c r="AI18" i="2"/>
  <c r="N20" i="2"/>
  <c r="AF20" i="2" l="1"/>
  <c r="AG35" i="2"/>
  <c r="O35" i="2"/>
  <c r="AI27" i="2"/>
  <c r="AI29" i="2"/>
  <c r="AI25" i="2"/>
  <c r="AI39" i="2"/>
  <c r="AI14" i="2"/>
  <c r="O20" i="2"/>
  <c r="AG20" i="2" l="1"/>
  <c r="Q35" i="2"/>
  <c r="P35" i="2"/>
  <c r="AH35" i="2"/>
  <c r="P20" i="2"/>
  <c r="Q20" i="2"/>
  <c r="AI20" i="2" l="1"/>
  <c r="AH20" i="2"/>
  <c r="AI35" i="2"/>
  <c r="N50" i="9" l="1"/>
  <c r="N40" i="9"/>
  <c r="K19" i="9"/>
  <c r="N19" i="9" s="1"/>
  <c r="N25" i="9" s="1"/>
  <c r="N26" i="9" s="1"/>
  <c r="N41" i="9"/>
  <c r="J19" i="9"/>
  <c r="M19" i="9" s="1"/>
  <c r="M25" i="9" s="1"/>
  <c r="M50" i="9"/>
  <c r="M40" i="9"/>
  <c r="P40" i="9" s="1"/>
  <c r="M41" i="9"/>
  <c r="P41" i="9" s="1"/>
  <c r="AF76" i="16" l="1"/>
  <c r="AH76" i="16" s="1"/>
  <c r="AI76" i="16" s="1"/>
  <c r="AK76" i="16" s="1"/>
  <c r="B45" i="15"/>
  <c r="C45" i="15"/>
  <c r="D45" i="15"/>
  <c r="E45" i="15"/>
  <c r="F45" i="15"/>
  <c r="Q40" i="9"/>
  <c r="Q41" i="9"/>
  <c r="B41" i="15"/>
  <c r="C41" i="15"/>
  <c r="E41" i="15"/>
  <c r="F41" i="15"/>
  <c r="D41" i="15"/>
  <c r="B40" i="15"/>
  <c r="B35" i="15" s="1"/>
  <c r="C40" i="15"/>
  <c r="C35" i="15" s="1"/>
  <c r="F40" i="15"/>
  <c r="F35" i="15" s="1"/>
  <c r="D40" i="15"/>
  <c r="D35" i="15" s="1"/>
  <c r="E40" i="15"/>
  <c r="E35" i="15" s="1"/>
  <c r="B53" i="2"/>
  <c r="M26" i="9"/>
  <c r="O25" i="9"/>
  <c r="N51" i="9"/>
  <c r="N54" i="9" s="1"/>
  <c r="M51" i="9"/>
  <c r="M54" i="9" s="1"/>
  <c r="AF75" i="16" l="1"/>
  <c r="B44" i="15"/>
  <c r="B36" i="15" s="1"/>
  <c r="K47" i="2" s="1"/>
  <c r="C44" i="15"/>
  <c r="C36" i="15" s="1"/>
  <c r="N47" i="2" s="1"/>
  <c r="D44" i="15"/>
  <c r="D36" i="15" s="1"/>
  <c r="O47" i="2" s="1"/>
  <c r="AG47" i="2" s="1"/>
  <c r="F44" i="15"/>
  <c r="F36" i="15" s="1"/>
  <c r="Q47" i="2" s="1"/>
  <c r="E44" i="15"/>
  <c r="E36" i="15" s="1"/>
  <c r="P47" i="2" s="1"/>
  <c r="K45" i="2"/>
  <c r="B37" i="15"/>
  <c r="B49" i="15" s="1"/>
  <c r="B53" i="15" s="1"/>
  <c r="P45" i="2"/>
  <c r="Q45" i="2"/>
  <c r="F37" i="15"/>
  <c r="F49" i="15" s="1"/>
  <c r="F53" i="15" s="1"/>
  <c r="N45" i="2"/>
  <c r="N51" i="2" s="1"/>
  <c r="N55" i="2" s="1"/>
  <c r="C37" i="15"/>
  <c r="C49" i="15" s="1"/>
  <c r="C53" i="15" s="1"/>
  <c r="D37" i="15"/>
  <c r="D49" i="15" s="1"/>
  <c r="D53" i="15" s="1"/>
  <c r="O45" i="2"/>
  <c r="O51" i="2" s="1"/>
  <c r="O55" i="2" s="1"/>
  <c r="M56" i="7"/>
  <c r="M59" i="7" s="1"/>
  <c r="M52" i="9"/>
  <c r="N52" i="9"/>
  <c r="AC53" i="2"/>
  <c r="H53" i="2"/>
  <c r="AI53" i="2" s="1"/>
  <c r="E6" i="7"/>
  <c r="O51" i="9"/>
  <c r="E37" i="15" l="1"/>
  <c r="E49" i="15" s="1"/>
  <c r="E53" i="15" s="1"/>
  <c r="P51" i="2"/>
  <c r="P55" i="2" s="1"/>
  <c r="Q51" i="2"/>
  <c r="Q55" i="2" s="1"/>
  <c r="Q56" i="2" s="1"/>
  <c r="M47" i="2"/>
  <c r="L47" i="2" s="1"/>
  <c r="AF70" i="16"/>
  <c r="AH75" i="16"/>
  <c r="AI75" i="16" s="1"/>
  <c r="AK75" i="16" s="1"/>
  <c r="O56" i="2"/>
  <c r="N56" i="2"/>
  <c r="M45" i="2"/>
  <c r="K51" i="2"/>
  <c r="K55" i="2" s="1"/>
  <c r="K56" i="2" s="1"/>
  <c r="F6" i="3"/>
  <c r="G6" i="3" s="1"/>
  <c r="N56" i="7"/>
  <c r="P56" i="2" l="1"/>
  <c r="T47" i="2"/>
  <c r="AH70" i="16"/>
  <c r="AF72" i="16"/>
  <c r="AF77" i="16" s="1"/>
  <c r="L45" i="2"/>
  <c r="L51" i="2" s="1"/>
  <c r="L55" i="2" s="1"/>
  <c r="M51" i="2"/>
  <c r="M55" i="2" s="1"/>
  <c r="O56" i="7"/>
  <c r="N59" i="7"/>
  <c r="D45" i="2" s="1"/>
  <c r="D51" i="2" s="1"/>
  <c r="B45" i="2"/>
  <c r="M67" i="7"/>
  <c r="E7" i="7" s="1"/>
  <c r="AI70" i="16" l="1"/>
  <c r="W47" i="2"/>
  <c r="AH72" i="16"/>
  <c r="AI72" i="16" s="1"/>
  <c r="AK72" i="16" s="1"/>
  <c r="V47" i="2"/>
  <c r="U47" i="2" s="1"/>
  <c r="T51" i="2"/>
  <c r="T55" i="2" s="1"/>
  <c r="T56" i="2" s="1"/>
  <c r="AC47" i="2"/>
  <c r="AC45" i="2"/>
  <c r="B48" i="2"/>
  <c r="B51" i="2" s="1"/>
  <c r="N67" i="7"/>
  <c r="P56" i="7"/>
  <c r="O59" i="7"/>
  <c r="O67" i="7" s="1"/>
  <c r="AD47" i="2" l="1"/>
  <c r="U51" i="2"/>
  <c r="U55" i="2" s="1"/>
  <c r="AE47" i="2"/>
  <c r="V51" i="2"/>
  <c r="V55" i="2" s="1"/>
  <c r="W51" i="2"/>
  <c r="W55" i="2" s="1"/>
  <c r="W56" i="2" s="1"/>
  <c r="AF47" i="2"/>
  <c r="Y47" i="2"/>
  <c r="AK70" i="16"/>
  <c r="Z47" i="2" s="1"/>
  <c r="AC51" i="2"/>
  <c r="C45" i="2"/>
  <c r="AE45" i="2"/>
  <c r="B55" i="2"/>
  <c r="B56" i="2" s="1"/>
  <c r="Q56" i="7"/>
  <c r="P59" i="7"/>
  <c r="P67" i="7" s="1"/>
  <c r="D55" i="2"/>
  <c r="Z51" i="2" l="1"/>
  <c r="Z55" i="2" s="1"/>
  <c r="Z56" i="2" s="1"/>
  <c r="AI47" i="2"/>
  <c r="Y51" i="2"/>
  <c r="Y55" i="2" s="1"/>
  <c r="Y56" i="2" s="1"/>
  <c r="AH47" i="2"/>
  <c r="AD45" i="2"/>
  <c r="AD51" i="2" s="1"/>
  <c r="AD55" i="2" s="1"/>
  <c r="C51" i="2"/>
  <c r="C55" i="2" s="1"/>
  <c r="AE51" i="2"/>
  <c r="AE55" i="2" s="1"/>
  <c r="AC55" i="2"/>
  <c r="R56" i="7"/>
  <c r="Q59" i="7"/>
  <c r="AD56" i="2" l="1"/>
  <c r="AC56" i="2"/>
  <c r="AE56" i="2"/>
  <c r="E45" i="2"/>
  <c r="Q67" i="7"/>
  <c r="S56" i="7"/>
  <c r="R59" i="7"/>
  <c r="AF45" i="2" l="1"/>
  <c r="E51" i="2"/>
  <c r="E55" i="2" s="1"/>
  <c r="F45" i="2"/>
  <c r="R67" i="7"/>
  <c r="T56" i="7"/>
  <c r="T59" i="7" s="1"/>
  <c r="H45" i="2" s="1"/>
  <c r="S59" i="7"/>
  <c r="AF51" i="2" l="1"/>
  <c r="AF55" i="2" s="1"/>
  <c r="AI45" i="2"/>
  <c r="H51" i="2"/>
  <c r="AG45" i="2"/>
  <c r="F51" i="2"/>
  <c r="F55" i="2" s="1"/>
  <c r="G45" i="2"/>
  <c r="S67" i="7"/>
  <c r="T67" i="7"/>
  <c r="AG51" i="2" l="1"/>
  <c r="AG55" i="2" s="1"/>
  <c r="AI51" i="2"/>
  <c r="AF56" i="2"/>
  <c r="AH45" i="2"/>
  <c r="G51" i="2"/>
  <c r="G55" i="2" s="1"/>
  <c r="H55" i="2"/>
  <c r="AH51" i="2" l="1"/>
  <c r="AH55" i="2" s="1"/>
  <c r="AG56" i="2"/>
  <c r="AI55" i="2"/>
  <c r="AI56" i="2" l="1"/>
  <c r="AH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Rodriguez</author>
  </authors>
  <commentList>
    <comment ref="O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Add / Replace</t>
        </r>
      </text>
    </comment>
    <comment ref="P2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New / Used</t>
        </r>
      </text>
    </comment>
    <comment ref="AG28" authorId="0" shapeId="0" xr:uid="{00000000-0006-0000-0100-000003000000}">
      <text>
        <r>
          <rPr>
            <sz val="9"/>
            <color indexed="81"/>
            <rFont val="Tahoma"/>
            <family val="2"/>
          </rPr>
          <t>Required if PO Item is marked as 'R' and if Heavy Equipment or Truck</t>
        </r>
      </text>
    </comment>
    <comment ref="AI28" authorId="0" shapeId="0" xr:uid="{00000000-0006-0000-0100-000004000000}">
      <text>
        <r>
          <rPr>
            <sz val="9"/>
            <color indexed="81"/>
            <rFont val="Tahoma"/>
            <family val="2"/>
          </rPr>
          <t>Required if PO Item is marked as 'R' and if Heavy Equipment or Truck</t>
        </r>
      </text>
    </comment>
    <comment ref="AK2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This field will not be uploaded to DMS</t>
        </r>
      </text>
    </comment>
    <comment ref="AL28" authorId="0" shapeId="0" xr:uid="{AB9C86B8-D123-480B-877A-FFC78B9B7812}">
      <text>
        <r>
          <rPr>
            <b/>
            <sz val="9"/>
            <color indexed="81"/>
            <rFont val="Tahoma"/>
            <family val="2"/>
          </rPr>
          <t>This field will not be uploaded to DMS</t>
        </r>
      </text>
    </comment>
    <comment ref="AM28" authorId="0" shapeId="0" xr:uid="{7FB45CF3-DC1A-4301-BCE9-B8870E174979}">
      <text>
        <r>
          <rPr>
            <b/>
            <sz val="9"/>
            <color indexed="81"/>
            <rFont val="Tahoma"/>
            <family val="2"/>
          </rPr>
          <t>This field will not be uploaded to DMS</t>
        </r>
      </text>
    </comment>
    <comment ref="AO2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This field will not be uploaded to DMS
</t>
        </r>
        <r>
          <rPr>
            <sz val="9"/>
            <color indexed="81"/>
            <rFont val="Tahoma"/>
            <family val="2"/>
          </rPr>
          <t>Text will become a hyperlink when you pull again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Puryear</author>
  </authors>
  <commentList>
    <comment ref="R10" authorId="0" shapeId="0" xr:uid="{00000000-0006-0000-0100-000001000000}">
      <text>
        <r>
          <rPr>
            <sz val="9"/>
            <color indexed="81"/>
            <rFont val="Tahoma"/>
            <family val="2"/>
          </rPr>
          <t>Multiple accounts are allowed
Example: 14110,15110 
or a range of accounts 
Example:
14110..15110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</authors>
  <commentList>
    <comment ref="D5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These trucks do some recycling along with other work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C16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Not sure if these are recycling are not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J3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All billed customers are at 2032, so 100% (or 1), is factored here.</t>
        </r>
      </text>
    </comment>
  </commentList>
</comments>
</file>

<file path=xl/sharedStrings.xml><?xml version="1.0" encoding="utf-8"?>
<sst xmlns="http://schemas.openxmlformats.org/spreadsheetml/2006/main" count="5680" uniqueCount="1551">
  <si>
    <r>
      <rPr>
        <sz val="8"/>
        <rFont val="Arial"/>
        <family val="2"/>
      </rPr>
      <t>Date In</t>
    </r>
  </si>
  <si>
    <r>
      <rPr>
        <sz val="8"/>
        <rFont val="Arial"/>
        <family val="2"/>
      </rPr>
      <t>Book</t>
    </r>
  </si>
  <si>
    <r>
      <rPr>
        <sz val="8"/>
        <rFont val="Arial"/>
        <family val="2"/>
      </rPr>
      <t>Book Sal</t>
    </r>
  </si>
  <si>
    <r>
      <rPr>
        <sz val="8"/>
        <rFont val="Arial"/>
        <family val="2"/>
      </rPr>
      <t>Book Prior</t>
    </r>
  </si>
  <si>
    <r>
      <rPr>
        <sz val="8"/>
        <rFont val="Arial"/>
        <family val="2"/>
      </rPr>
      <t>Book Current</t>
    </r>
  </si>
  <si>
    <r>
      <rPr>
        <sz val="8"/>
        <rFont val="Arial"/>
        <family val="2"/>
      </rPr>
      <t>Book Net</t>
    </r>
  </si>
  <si>
    <r>
      <rPr>
        <sz val="8"/>
        <rFont val="Arial"/>
        <family val="2"/>
      </rPr>
      <t>d</t>
    </r>
  </si>
  <si>
    <r>
      <rPr>
        <sz val="8"/>
        <rFont val="Arial"/>
        <family val="2"/>
      </rPr>
      <t>Disposal</t>
    </r>
  </si>
  <si>
    <r>
      <rPr>
        <u/>
        <sz val="8"/>
        <rFont val="Arial"/>
        <family val="2"/>
      </rPr>
      <t>Asse</t>
    </r>
    <r>
      <rPr>
        <sz val="8"/>
        <rFont val="Arial"/>
        <family val="2"/>
      </rPr>
      <t xml:space="preserve">t   </t>
    </r>
    <r>
      <rPr>
        <u/>
        <sz val="8"/>
        <rFont val="Times New Roman"/>
        <family val="1"/>
      </rPr>
      <t>                    </t>
    </r>
    <r>
      <rPr>
        <u/>
        <sz val="8"/>
        <rFont val="Arial"/>
        <family val="2"/>
      </rPr>
      <t>Property Description                  </t>
    </r>
  </si>
  <si>
    <r>
      <rPr>
        <u/>
        <sz val="8"/>
        <rFont val="Arial"/>
        <family val="2"/>
      </rPr>
      <t>Service</t>
    </r>
  </si>
  <si>
    <r>
      <rPr>
        <u/>
        <sz val="8"/>
        <rFont val="Times New Roman"/>
        <family val="1"/>
      </rPr>
      <t>       </t>
    </r>
    <r>
      <rPr>
        <u/>
        <sz val="8"/>
        <rFont val="Arial"/>
        <family val="2"/>
      </rPr>
      <t>Cost       </t>
    </r>
  </si>
  <si>
    <r>
      <rPr>
        <u/>
        <sz val="8"/>
        <rFont val="Arial"/>
        <family val="2"/>
      </rPr>
      <t>c</t>
    </r>
  </si>
  <si>
    <r>
      <rPr>
        <u/>
        <sz val="8"/>
        <rFont val="Arial"/>
        <family val="2"/>
      </rPr>
      <t>Method</t>
    </r>
  </si>
  <si>
    <r>
      <rPr>
        <u/>
        <sz val="8"/>
        <rFont val="Arial"/>
        <family val="2"/>
      </rPr>
      <t>Period</t>
    </r>
  </si>
  <si>
    <r>
      <rPr>
        <u/>
        <sz val="8"/>
        <rFont val="Times New Roman"/>
        <family val="1"/>
      </rPr>
      <t>      </t>
    </r>
    <r>
      <rPr>
        <u/>
        <sz val="8"/>
        <rFont val="Arial"/>
        <family val="2"/>
      </rPr>
      <t>Value      </t>
    </r>
  </si>
  <si>
    <r>
      <rPr>
        <u/>
        <sz val="8"/>
        <rFont val="Arial"/>
        <family val="2"/>
      </rPr>
      <t>Depreciation</t>
    </r>
  </si>
  <si>
    <r>
      <rPr>
        <u/>
        <sz val="8"/>
        <rFont val="Times New Roman"/>
        <family val="1"/>
      </rPr>
      <t>   </t>
    </r>
    <r>
      <rPr>
        <u/>
        <sz val="8"/>
        <rFont val="Arial"/>
        <family val="2"/>
      </rPr>
      <t>End Depr   </t>
    </r>
  </si>
  <si>
    <r>
      <rPr>
        <u/>
        <sz val="8"/>
        <rFont val="Times New Roman"/>
        <family val="1"/>
      </rPr>
      <t> </t>
    </r>
    <r>
      <rPr>
        <u/>
        <sz val="8"/>
        <rFont val="Arial"/>
        <family val="2"/>
      </rPr>
      <t>Book Value</t>
    </r>
  </si>
  <si>
    <r>
      <rPr>
        <u/>
        <sz val="8"/>
        <rFont val="Times New Roman"/>
        <family val="1"/>
      </rPr>
      <t> </t>
    </r>
    <r>
      <rPr>
        <u/>
        <sz val="8"/>
        <rFont val="Arial"/>
        <family val="2"/>
      </rPr>
      <t>t</t>
    </r>
  </si>
  <si>
    <r>
      <rPr>
        <u/>
        <sz val="8"/>
        <rFont val="Times New Roman"/>
        <family val="1"/>
      </rPr>
      <t>     </t>
    </r>
    <r>
      <rPr>
        <u/>
        <sz val="8"/>
        <rFont val="Arial"/>
        <family val="2"/>
      </rPr>
      <t>Method    </t>
    </r>
  </si>
  <si>
    <r>
      <rPr>
        <b/>
        <u/>
        <sz val="8"/>
        <rFont val="Times New Roman"/>
        <family val="1"/>
      </rPr>
      <t>Group:  222.1 Drop Boxes</t>
    </r>
  </si>
  <si>
    <r>
      <rPr>
        <sz val="8"/>
        <rFont val="Times New Roman"/>
        <family val="1"/>
      </rPr>
      <t>2 - 40YD Drop Boxes</t>
    </r>
  </si>
  <si>
    <r>
      <rPr>
        <sz val="8"/>
        <rFont val="Times New Roman"/>
        <family val="1"/>
      </rPr>
      <t>S/L</t>
    </r>
  </si>
  <si>
    <r>
      <rPr>
        <sz val="8"/>
        <rFont val="Times New Roman"/>
        <family val="1"/>
      </rPr>
      <t>1 - 20YD Drop Box</t>
    </r>
  </si>
  <si>
    <r>
      <rPr>
        <sz val="8"/>
        <rFont val="Times New Roman"/>
        <family val="1"/>
      </rPr>
      <t>3 - 40YD Front Loaders</t>
    </r>
  </si>
  <si>
    <r>
      <rPr>
        <sz val="8"/>
        <rFont val="Times New Roman"/>
        <family val="1"/>
      </rPr>
      <t>50 - Swivel Casters for Front Loaders</t>
    </r>
  </si>
  <si>
    <r>
      <rPr>
        <sz val="8"/>
        <rFont val="Times New Roman"/>
        <family val="1"/>
      </rPr>
      <t>1 - 4YD Front Loader</t>
    </r>
  </si>
  <si>
    <r>
      <rPr>
        <sz val="8"/>
        <rFont val="Times New Roman"/>
        <family val="1"/>
      </rPr>
      <t>1 - 5YD Front Loader</t>
    </r>
  </si>
  <si>
    <r>
      <rPr>
        <sz val="8"/>
        <rFont val="Times New Roman"/>
        <family val="1"/>
      </rPr>
      <t>2 - 6YD Front Loaders</t>
    </r>
  </si>
  <si>
    <r>
      <rPr>
        <sz val="8"/>
        <rFont val="Times New Roman"/>
        <family val="1"/>
      </rPr>
      <t>Wastequip FL Lids - 50 - 59x37 Lids</t>
    </r>
  </si>
  <si>
    <r>
      <rPr>
        <sz val="8"/>
        <rFont val="Times New Roman"/>
        <family val="1"/>
      </rPr>
      <t>50 - 59x37 Lids</t>
    </r>
  </si>
  <si>
    <r>
      <rPr>
        <sz val="8"/>
        <rFont val="Times New Roman"/>
        <family val="1"/>
      </rPr>
      <t>1-30YD Drop Box &amp; 1-20YD Drop Box</t>
    </r>
  </si>
  <si>
    <r>
      <rPr>
        <sz val="8"/>
        <rFont val="Times New Roman"/>
        <family val="1"/>
      </rPr>
      <t>1 - 30YD Drop Box w/Lid</t>
    </r>
  </si>
  <si>
    <r>
      <rPr>
        <sz val="8"/>
        <rFont val="Times New Roman"/>
        <family val="1"/>
      </rPr>
      <t>1 - 30YD Drop Box</t>
    </r>
  </si>
  <si>
    <r>
      <rPr>
        <sz val="8"/>
        <rFont val="Times New Roman"/>
        <family val="1"/>
      </rPr>
      <t>1 - 30YD Drop Box w/Open Top</t>
    </r>
  </si>
  <si>
    <r>
      <rPr>
        <sz val="8"/>
        <rFont val="Times New Roman"/>
        <family val="1"/>
      </rPr>
      <t>3 - 4YD Drop Boxes</t>
    </r>
  </si>
  <si>
    <r>
      <rPr>
        <sz val="8"/>
        <rFont val="Times New Roman"/>
        <family val="1"/>
      </rPr>
      <t>1 - 20YD Drop Box w/Open Top</t>
    </r>
  </si>
  <si>
    <r>
      <rPr>
        <sz val="8"/>
        <rFont val="Times New Roman"/>
        <family val="1"/>
      </rPr>
      <t>1 - 40YD Drop Box</t>
    </r>
  </si>
  <si>
    <r>
      <rPr>
        <sz val="8"/>
        <rFont val="Times New Roman"/>
        <family val="1"/>
      </rPr>
      <t>2 - 30YD Drop Boxes w/Open Top</t>
    </r>
  </si>
  <si>
    <r>
      <rPr>
        <sz val="8"/>
        <rFont val="Times New Roman"/>
        <family val="1"/>
      </rPr>
      <t>2 - 20YD Drop Boxes w/Open Top</t>
    </r>
  </si>
  <si>
    <r>
      <rPr>
        <sz val="8"/>
        <rFont val="Times New Roman"/>
        <family val="1"/>
      </rPr>
      <t>2 - 20YD Drop Boxes</t>
    </r>
  </si>
  <si>
    <r>
      <rPr>
        <b/>
        <sz val="8"/>
        <rFont val="Times New Roman"/>
        <family val="1"/>
      </rPr>
      <t>222.1 Drop Boxes</t>
    </r>
  </si>
  <si>
    <r>
      <rPr>
        <sz val="8"/>
        <rFont val="Times New Roman"/>
        <family val="1"/>
      </rPr>
      <t>c</t>
    </r>
  </si>
  <si>
    <r>
      <rPr>
        <b/>
        <u/>
        <sz val="8"/>
        <rFont val="Times New Roman"/>
        <family val="1"/>
      </rPr>
      <t>Group:  222.11 Containers</t>
    </r>
  </si>
  <si>
    <r>
      <rPr>
        <sz val="8"/>
        <rFont val="Times New Roman"/>
        <family val="1"/>
      </rPr>
      <t>3YD Front Loader</t>
    </r>
  </si>
  <si>
    <r>
      <rPr>
        <sz val="8"/>
        <rFont val="Times New Roman"/>
        <family val="1"/>
      </rPr>
      <t>1.5YD Front Loader</t>
    </r>
  </si>
  <si>
    <r>
      <rPr>
        <sz val="8"/>
        <rFont val="Times New Roman"/>
        <family val="1"/>
      </rPr>
      <t>2YD Front Loader</t>
    </r>
  </si>
  <si>
    <r>
      <rPr>
        <sz val="8"/>
        <rFont val="Times New Roman"/>
        <family val="1"/>
      </rPr>
      <t>5YD Front Loader</t>
    </r>
  </si>
  <si>
    <r>
      <rPr>
        <sz val="8"/>
        <rFont val="Times New Roman"/>
        <family val="1"/>
      </rPr>
      <t>3 - 5YD Front Loaders</t>
    </r>
  </si>
  <si>
    <r>
      <rPr>
        <sz val="8"/>
        <rFont val="Times New Roman"/>
        <family val="1"/>
      </rPr>
      <t>3 - 2YD Front Loaders</t>
    </r>
  </si>
  <si>
    <r>
      <rPr>
        <sz val="8"/>
        <rFont val="Times New Roman"/>
        <family val="1"/>
      </rPr>
      <t>1 - 4YD Front Load Containers</t>
    </r>
  </si>
  <si>
    <r>
      <rPr>
        <sz val="8"/>
        <rFont val="Times New Roman"/>
        <family val="1"/>
      </rPr>
      <t>1 - 6YD Front Load Containers</t>
    </r>
  </si>
  <si>
    <r>
      <rPr>
        <sz val="8"/>
        <rFont val="Times New Roman"/>
        <family val="1"/>
      </rPr>
      <t>1 - 2YD Front Load Containers</t>
    </r>
  </si>
  <si>
    <r>
      <rPr>
        <sz val="8"/>
        <rFont val="Times New Roman"/>
        <family val="1"/>
      </rPr>
      <t>1 - 3YD Front Load Containers</t>
    </r>
  </si>
  <si>
    <r>
      <rPr>
        <sz val="8"/>
        <rFont val="Times New Roman"/>
        <family val="1"/>
      </rPr>
      <t>1 - 6YD Front Loader</t>
    </r>
  </si>
  <si>
    <r>
      <rPr>
        <sz val="8"/>
        <rFont val="Times New Roman"/>
        <family val="1"/>
      </rPr>
      <t>2 - 2YD Front Loaders</t>
    </r>
  </si>
  <si>
    <r>
      <rPr>
        <sz val="8"/>
        <rFont val="Times New Roman"/>
        <family val="1"/>
      </rPr>
      <t>1 - 2YD Front Loader</t>
    </r>
  </si>
  <si>
    <r>
      <rPr>
        <sz val="8"/>
        <rFont val="Times New Roman"/>
        <family val="1"/>
      </rPr>
      <t>1 - 3YD Front Loader</t>
    </r>
  </si>
  <si>
    <r>
      <rPr>
        <sz val="8"/>
        <rFont val="Times New Roman"/>
        <family val="1"/>
      </rPr>
      <t>1 - 1.5YD Front Loader</t>
    </r>
  </si>
  <si>
    <r>
      <rPr>
        <sz val="8"/>
        <rFont val="Times New Roman"/>
        <family val="1"/>
      </rPr>
      <t>2 - 4YD Front Loaders</t>
    </r>
  </si>
  <si>
    <r>
      <rPr>
        <sz val="8"/>
        <rFont val="Times New Roman"/>
        <family val="1"/>
      </rPr>
      <t>1 - 3YD Slant Top Container</t>
    </r>
  </si>
  <si>
    <r>
      <rPr>
        <sz val="8"/>
        <rFont val="Times New Roman"/>
        <family val="1"/>
      </rPr>
      <t>1 - 4YD Slant Top Container</t>
    </r>
  </si>
  <si>
    <r>
      <rPr>
        <sz val="8"/>
        <rFont val="Times New Roman"/>
        <family val="1"/>
      </rPr>
      <t>1 - 5YD Slant Top Container</t>
    </r>
  </si>
  <si>
    <r>
      <rPr>
        <sz val="8"/>
        <rFont val="Times New Roman"/>
        <family val="1"/>
      </rPr>
      <t>1 - 2YD Slant Top Container</t>
    </r>
  </si>
  <si>
    <r>
      <rPr>
        <sz val="8"/>
        <rFont val="Times New Roman"/>
        <family val="1"/>
      </rPr>
      <t>1 - 6YD Slant Top Container</t>
    </r>
  </si>
  <si>
    <r>
      <rPr>
        <sz val="8"/>
        <rFont val="Times New Roman"/>
        <family val="1"/>
      </rPr>
      <t>1-6YD Slant Top Containers</t>
    </r>
  </si>
  <si>
    <r>
      <rPr>
        <sz val="8"/>
        <rFont val="Times New Roman"/>
        <family val="1"/>
      </rPr>
      <t>4-6YD Slant Top Containers</t>
    </r>
  </si>
  <si>
    <r>
      <rPr>
        <sz val="8"/>
        <rFont val="Times New Roman"/>
        <family val="1"/>
      </rPr>
      <t>1-3YD Front Load Container</t>
    </r>
  </si>
  <si>
    <r>
      <rPr>
        <sz val="8"/>
        <rFont val="Times New Roman"/>
        <family val="1"/>
      </rPr>
      <t>1-2YD Container</t>
    </r>
  </si>
  <si>
    <r>
      <rPr>
        <sz val="8"/>
        <rFont val="Times New Roman"/>
        <family val="1"/>
      </rPr>
      <t>1-3YD Container</t>
    </r>
  </si>
  <si>
    <r>
      <rPr>
        <sz val="8"/>
        <rFont val="Times New Roman"/>
        <family val="1"/>
      </rPr>
      <t>6 - 2YD Containers</t>
    </r>
  </si>
  <si>
    <r>
      <rPr>
        <sz val="8"/>
        <rFont val="Times New Roman"/>
        <family val="1"/>
      </rPr>
      <t>2 - 4YD Containers</t>
    </r>
  </si>
  <si>
    <r>
      <rPr>
        <sz val="8"/>
        <rFont val="Times New Roman"/>
        <family val="1"/>
      </rPr>
      <t>2-2YD Slant Top Containers</t>
    </r>
  </si>
  <si>
    <r>
      <rPr>
        <sz val="8"/>
        <rFont val="Times New Roman"/>
        <family val="1"/>
      </rPr>
      <t>2-3YD Slant Top Containers</t>
    </r>
  </si>
  <si>
    <r>
      <rPr>
        <sz val="8"/>
        <rFont val="Times New Roman"/>
        <family val="1"/>
      </rPr>
      <t>1-6YD Container</t>
    </r>
  </si>
  <si>
    <r>
      <rPr>
        <sz val="8"/>
        <rFont val="Times New Roman"/>
        <family val="1"/>
      </rPr>
      <t>1-5YD Container</t>
    </r>
  </si>
  <si>
    <r>
      <rPr>
        <sz val="8"/>
        <rFont val="Times New Roman"/>
        <family val="1"/>
      </rPr>
      <t>1 - 6YD Container</t>
    </r>
  </si>
  <si>
    <r>
      <rPr>
        <sz val="8"/>
        <rFont val="Times New Roman"/>
        <family val="1"/>
      </rPr>
      <t>1 - 5YD Container</t>
    </r>
  </si>
  <si>
    <r>
      <rPr>
        <sz val="8"/>
        <rFont val="Times New Roman"/>
        <family val="1"/>
      </rPr>
      <t>4 - 4YD Container</t>
    </r>
  </si>
  <si>
    <r>
      <rPr>
        <sz val="8"/>
        <rFont val="Times New Roman"/>
        <family val="1"/>
      </rPr>
      <t>4 - 3YD Container</t>
    </r>
  </si>
  <si>
    <r>
      <rPr>
        <sz val="8"/>
        <rFont val="Times New Roman"/>
        <family val="1"/>
      </rPr>
      <t>3 - 4YD Container</t>
    </r>
  </si>
  <si>
    <r>
      <rPr>
        <b/>
        <sz val="8"/>
        <rFont val="Times New Roman"/>
        <family val="1"/>
      </rPr>
      <t>222.11 Containers</t>
    </r>
  </si>
  <si>
    <r>
      <rPr>
        <b/>
        <u/>
        <sz val="8"/>
        <rFont val="Times New Roman"/>
        <family val="1"/>
      </rPr>
      <t>Group:  222.12 Garbage Collection</t>
    </r>
  </si>
  <si>
    <r>
      <rPr>
        <sz val="8"/>
        <rFont val="Times New Roman"/>
        <family val="1"/>
      </rPr>
      <t>1989 GMC Sewer Truck (1/2 Owned)</t>
    </r>
  </si>
  <si>
    <r>
      <rPr>
        <sz val="8"/>
        <rFont val="Times New Roman"/>
        <family val="1"/>
      </rPr>
      <t>TK#10 2006 Peterbilt MBL Body</t>
    </r>
  </si>
  <si>
    <r>
      <rPr>
        <sz val="8"/>
        <rFont val="Times New Roman"/>
        <family val="1"/>
      </rPr>
      <t>TK#10 2007 Peterbilt Chassis MBL (Book)</t>
    </r>
  </si>
  <si>
    <r>
      <rPr>
        <sz val="8"/>
        <rFont val="Times New Roman"/>
        <family val="1"/>
      </rPr>
      <t>TK#10 2007 Peterbilt Chassis MBL (Tax)</t>
    </r>
  </si>
  <si>
    <r>
      <rPr>
        <sz val="8"/>
        <rFont val="Times New Roman"/>
        <family val="1"/>
      </rPr>
      <t>12 In-Dash JVC Blue Tooth Stereos</t>
    </r>
  </si>
  <si>
    <r>
      <rPr>
        <sz val="8"/>
        <rFont val="Times New Roman"/>
        <family val="1"/>
      </rPr>
      <t>TK#15 2011 Peterbilt 32</t>
    </r>
  </si>
  <si>
    <r>
      <rPr>
        <sz val="8"/>
        <rFont val="Times New Roman"/>
        <family val="1"/>
      </rPr>
      <t>TK#15 Compactor System</t>
    </r>
  </si>
  <si>
    <r>
      <rPr>
        <sz val="8"/>
        <rFont val="Times New Roman"/>
        <family val="1"/>
      </rPr>
      <t>TK#24-2012 Peterbilt 320 Front Loader Packer</t>
    </r>
  </si>
  <si>
    <r>
      <rPr>
        <sz val="8"/>
        <rFont val="Times New Roman"/>
        <family val="1"/>
      </rPr>
      <t>TK#27-2012 Peterbilt 365 Drop Box Truck</t>
    </r>
  </si>
  <si>
    <r>
      <rPr>
        <sz val="8"/>
        <rFont val="Times New Roman"/>
        <family val="1"/>
      </rPr>
      <t>TK#7 (3BPZLJOX3EF242064)</t>
    </r>
  </si>
  <si>
    <r>
      <rPr>
        <sz val="8"/>
        <rFont val="Times New Roman"/>
        <family val="1"/>
      </rPr>
      <t>TK#10 Engine Rebuild</t>
    </r>
  </si>
  <si>
    <r>
      <rPr>
        <sz val="8"/>
        <rFont val="Times New Roman"/>
        <family val="1"/>
      </rPr>
      <t>TK#4 2015 (3BPZLJOX9GF107108)</t>
    </r>
  </si>
  <si>
    <r>
      <rPr>
        <sz val="8"/>
        <rFont val="Times New Roman"/>
        <family val="1"/>
      </rPr>
      <t>TK#4 New 2015 (3BPZLJOX9GF107108)</t>
    </r>
  </si>
  <si>
    <r>
      <rPr>
        <sz val="8"/>
        <rFont val="Times New Roman"/>
        <family val="1"/>
      </rPr>
      <t>TK#15 Catalyst Module Repair</t>
    </r>
  </si>
  <si>
    <r>
      <rPr>
        <sz val="8"/>
        <rFont val="Times New Roman"/>
        <family val="1"/>
      </rPr>
      <t>TK#24 Turbocharger</t>
    </r>
  </si>
  <si>
    <r>
      <rPr>
        <sz val="8"/>
        <rFont val="Times New Roman"/>
        <family val="1"/>
      </rPr>
      <t>TK#15 Air Actuator &amp; Grabber Cylinder</t>
    </r>
  </si>
  <si>
    <r>
      <rPr>
        <sz val="8"/>
        <rFont val="Times New Roman"/>
        <family val="1"/>
      </rPr>
      <t>TK#6 Chassis (3BXLJ0X3JF184323)</t>
    </r>
  </si>
  <si>
    <r>
      <rPr>
        <sz val="8"/>
        <rFont val="Times New Roman"/>
        <family val="1"/>
      </rPr>
      <t>TK#15 Steering Wheel Assembly Repair</t>
    </r>
  </si>
  <si>
    <r>
      <rPr>
        <sz val="8"/>
        <rFont val="Times New Roman"/>
        <family val="1"/>
      </rPr>
      <t>TK#2 Engine Jake and Coolant Lines Repair</t>
    </r>
  </si>
  <si>
    <r>
      <rPr>
        <sz val="8"/>
        <rFont val="Times New Roman"/>
        <family val="1"/>
      </rPr>
      <t>Welding on Pivot Arms and Purchase 2 Grabbe</t>
    </r>
  </si>
  <si>
    <r>
      <rPr>
        <sz val="8"/>
        <rFont val="Times New Roman"/>
        <family val="1"/>
      </rPr>
      <t>TK#30P Dump Trailer Chassis</t>
    </r>
  </si>
  <si>
    <r>
      <rPr>
        <sz val="8"/>
        <rFont val="Times New Roman"/>
        <family val="1"/>
      </rPr>
      <t>TK#6 Front Loader Body</t>
    </r>
  </si>
  <si>
    <r>
      <rPr>
        <sz val="8"/>
        <rFont val="Times New Roman"/>
        <family val="1"/>
      </rPr>
      <t>TK#10 Cooling System and Injectors Work</t>
    </r>
  </si>
  <si>
    <r>
      <rPr>
        <sz val="8"/>
        <rFont val="Times New Roman"/>
        <family val="1"/>
      </rPr>
      <t>TK#30P Painting</t>
    </r>
  </si>
  <si>
    <r>
      <rPr>
        <sz val="8"/>
        <rFont val="Times New Roman"/>
        <family val="1"/>
      </rPr>
      <t>TK#70 (VIN#1NPSL70X6KD498666)</t>
    </r>
  </si>
  <si>
    <r>
      <rPr>
        <sz val="8"/>
        <rFont val="Times New Roman"/>
        <family val="1"/>
      </rPr>
      <t>TK#24 ICP Kit</t>
    </r>
  </si>
  <si>
    <r>
      <rPr>
        <sz val="8"/>
        <rFont val="Times New Roman"/>
        <family val="1"/>
      </rPr>
      <t>TK#70 Rolloff Chassis and Mounting</t>
    </r>
  </si>
  <si>
    <r>
      <rPr>
        <sz val="8"/>
        <rFont val="Times New Roman"/>
        <family val="1"/>
      </rPr>
      <t>TK#70 Painting</t>
    </r>
  </si>
  <si>
    <r>
      <rPr>
        <sz val="8"/>
        <rFont val="Times New Roman"/>
        <family val="1"/>
      </rPr>
      <t>TL128 - Painting</t>
    </r>
  </si>
  <si>
    <r>
      <rPr>
        <sz val="8"/>
        <rFont val="Times New Roman"/>
        <family val="1"/>
      </rPr>
      <t>TK#24 Brake Repair/Filter Replacement</t>
    </r>
  </si>
  <si>
    <r>
      <rPr>
        <sz val="8"/>
        <rFont val="Times New Roman"/>
        <family val="1"/>
      </rPr>
      <t>TK#15 Replace Front Differential</t>
    </r>
  </si>
  <si>
    <r>
      <rPr>
        <sz val="8"/>
        <rFont val="Times New Roman"/>
        <family val="1"/>
      </rPr>
      <t>TL128 - Springs and Hinges</t>
    </r>
  </si>
  <si>
    <r>
      <rPr>
        <sz val="8"/>
        <rFont val="Times New Roman"/>
        <family val="1"/>
      </rPr>
      <t>TK#70 Licensing</t>
    </r>
  </si>
  <si>
    <r>
      <rPr>
        <sz val="8"/>
        <rFont val="Times New Roman"/>
        <family val="1"/>
      </rPr>
      <t>TK#10 Transmission Replacement</t>
    </r>
  </si>
  <si>
    <r>
      <rPr>
        <sz val="8"/>
        <rFont val="Times New Roman"/>
        <family val="1"/>
      </rPr>
      <t>TK#39 Fuel Pump Replacement</t>
    </r>
  </si>
  <si>
    <r>
      <rPr>
        <sz val="8"/>
        <rFont val="Times New Roman"/>
        <family val="1"/>
      </rPr>
      <t>TK#24 Dosing Unit Repair</t>
    </r>
  </si>
  <si>
    <r>
      <rPr>
        <sz val="8"/>
        <rFont val="Times New Roman"/>
        <family val="1"/>
      </rPr>
      <t>TK#24 Electrical Work in Engine Harness</t>
    </r>
  </si>
  <si>
    <r>
      <rPr>
        <sz val="8"/>
        <rFont val="Times New Roman"/>
        <family val="1"/>
      </rPr>
      <t>TK#4 Combined Flow Block</t>
    </r>
  </si>
  <si>
    <r>
      <rPr>
        <sz val="8"/>
        <rFont val="Times New Roman"/>
        <family val="1"/>
      </rPr>
      <t>TK#7 Stack Valve and Lift Control Valve</t>
    </r>
  </si>
  <si>
    <r>
      <rPr>
        <sz val="8"/>
        <rFont val="Times New Roman"/>
        <family val="1"/>
      </rPr>
      <t>TK#27 Install New Harness and Gaskets</t>
    </r>
  </si>
  <si>
    <r>
      <rPr>
        <sz val="8"/>
        <rFont val="Times New Roman"/>
        <family val="1"/>
      </rPr>
      <t>TK#24 Replacement of ECM and Fuel Pump</t>
    </r>
  </si>
  <si>
    <r>
      <rPr>
        <sz val="8"/>
        <rFont val="Times New Roman"/>
        <family val="1"/>
      </rPr>
      <t>TK#15 Injection Pump Replacement</t>
    </r>
  </si>
  <si>
    <r>
      <rPr>
        <sz val="8"/>
        <rFont val="Times New Roman"/>
        <family val="1"/>
      </rPr>
      <t>TK#7 New Chassis</t>
    </r>
  </si>
  <si>
    <r>
      <rPr>
        <sz val="8"/>
        <rFont val="Times New Roman"/>
        <family val="1"/>
      </rPr>
      <t>TK#10 Lift Control Valve</t>
    </r>
  </si>
  <si>
    <r>
      <rPr>
        <sz val="8"/>
        <rFont val="Times New Roman"/>
        <family val="1"/>
      </rPr>
      <t>TK#9 (1NPCLPOXXLD663530)</t>
    </r>
  </si>
  <si>
    <r>
      <rPr>
        <sz val="8"/>
        <rFont val="Times New Roman"/>
        <family val="1"/>
      </rPr>
      <t>TK#15 Replace 23YD Cylinder</t>
    </r>
  </si>
  <si>
    <r>
      <rPr>
        <sz val="8"/>
        <rFont val="Times New Roman"/>
        <family val="1"/>
      </rPr>
      <t>TK#9 Licensing</t>
    </r>
  </si>
  <si>
    <r>
      <rPr>
        <sz val="8"/>
        <rFont val="Times New Roman"/>
        <family val="1"/>
      </rPr>
      <t>New Mobile #29 Painting</t>
    </r>
  </si>
  <si>
    <r>
      <rPr>
        <sz val="8"/>
        <rFont val="Times New Roman"/>
        <family val="1"/>
      </rPr>
      <t>Old TK#29 (WCE) Body Swap to New TK#29</t>
    </r>
  </si>
  <si>
    <r>
      <rPr>
        <sz val="8"/>
        <rFont val="Times New Roman"/>
        <family val="1"/>
      </rPr>
      <t>TK#15 Pump Replacement</t>
    </r>
  </si>
  <si>
    <r>
      <rPr>
        <sz val="8"/>
        <rFont val="Times New Roman"/>
        <family val="1"/>
      </rPr>
      <t>TK#39 23YD Cylinder w/Scrapers</t>
    </r>
  </si>
  <si>
    <r>
      <rPr>
        <sz val="8"/>
        <rFont val="Times New Roman"/>
        <family val="1"/>
      </rPr>
      <t>Out of Service</t>
    </r>
  </si>
  <si>
    <r>
      <rPr>
        <sz val="8"/>
        <rFont val="Times New Roman"/>
        <family val="1"/>
      </rPr>
      <t>TK#15 Turbocharger Replacement</t>
    </r>
  </si>
  <si>
    <r>
      <rPr>
        <sz val="8"/>
        <rFont val="Times New Roman"/>
        <family val="1"/>
      </rPr>
      <t>TK#39 Hydraulic Valve Replacement</t>
    </r>
  </si>
  <si>
    <r>
      <rPr>
        <sz val="8"/>
        <rFont val="Times New Roman"/>
        <family val="1"/>
      </rPr>
      <t>TK#39 (3BPDLI0X7LF109038)</t>
    </r>
  </si>
  <si>
    <r>
      <rPr>
        <sz val="8"/>
        <rFont val="Times New Roman"/>
        <family val="1"/>
      </rPr>
      <t>TK#39 Graber Cylinder 7000</t>
    </r>
  </si>
  <si>
    <r>
      <rPr>
        <sz val="8"/>
        <rFont val="Times New Roman"/>
        <family val="1"/>
      </rPr>
      <t>TK#15 New Computer System</t>
    </r>
  </si>
  <si>
    <r>
      <rPr>
        <sz val="8"/>
        <rFont val="Times New Roman"/>
        <family val="1"/>
      </rPr>
      <t>TK#29 Triple Cam System</t>
    </r>
  </si>
  <si>
    <r>
      <rPr>
        <b/>
        <sz val="8"/>
        <rFont val="Times New Roman"/>
        <family val="1"/>
      </rPr>
      <t>222.12 Garbage Collection</t>
    </r>
  </si>
  <si>
    <r>
      <rPr>
        <b/>
        <u/>
        <sz val="8"/>
        <rFont val="Times New Roman"/>
        <family val="1"/>
      </rPr>
      <t>Group:  223.1 Serv Cars &amp; Equip</t>
    </r>
  </si>
  <si>
    <r>
      <rPr>
        <sz val="8"/>
        <rFont val="Times New Roman"/>
        <family val="1"/>
      </rPr>
      <t>61    FL Trailer (Shared)</t>
    </r>
  </si>
  <si>
    <r>
      <rPr>
        <sz val="8"/>
        <rFont val="Times New Roman"/>
        <family val="1"/>
      </rPr>
      <t>73    TK#8 2005 F250 Ford Pickup</t>
    </r>
  </si>
  <si>
    <r>
      <rPr>
        <sz val="8"/>
        <rFont val="Times New Roman"/>
        <family val="1"/>
      </rPr>
      <t>155    2010 Toyota Prius-Hybrid Car</t>
    </r>
  </si>
  <si>
    <r>
      <rPr>
        <sz val="8"/>
        <rFont val="Times New Roman"/>
        <family val="1"/>
      </rPr>
      <t>162    TK#13 2010 Ford F250</t>
    </r>
  </si>
  <si>
    <r>
      <rPr>
        <sz val="8"/>
        <rFont val="Times New Roman"/>
        <family val="1"/>
      </rPr>
      <t>172    TK#39 Ford F-350</t>
    </r>
  </si>
  <si>
    <r>
      <rPr>
        <sz val="8"/>
        <rFont val="Times New Roman"/>
        <family val="1"/>
      </rPr>
      <t>183    TK#41 2012 Ford F250</t>
    </r>
  </si>
  <si>
    <r>
      <rPr>
        <sz val="8"/>
        <rFont val="Times New Roman"/>
        <family val="1"/>
      </rPr>
      <t>268    TK#41 AC Clutch Repair</t>
    </r>
  </si>
  <si>
    <r>
      <rPr>
        <sz val="8"/>
        <rFont val="Times New Roman"/>
        <family val="1"/>
      </rPr>
      <t>287    TK#1 2018 F-150 (VIN #1FTFW1E50JFA7276   11/14/17</t>
    </r>
  </si>
  <si>
    <r>
      <rPr>
        <sz val="8"/>
        <rFont val="Times New Roman"/>
        <family val="1"/>
      </rPr>
      <t>288    TK#55 2018 F-150 (VIN #1FTFW1EG5JFA65    11/20/17</t>
    </r>
  </si>
  <si>
    <r>
      <rPr>
        <sz val="8"/>
        <rFont val="Times New Roman"/>
        <family val="1"/>
      </rPr>
      <t>319    TK#55 Body Damage Repair                                 11/09/18</t>
    </r>
  </si>
  <si>
    <r>
      <rPr>
        <b/>
        <sz val="8"/>
        <rFont val="Times New Roman"/>
        <family val="1"/>
      </rPr>
      <t>223.1 Serv Cars &amp; Equip</t>
    </r>
  </si>
  <si>
    <r>
      <rPr>
        <b/>
        <u/>
        <sz val="8"/>
        <rFont val="Times New Roman"/>
        <family val="1"/>
      </rPr>
      <t>Group:  224.1 Carts</t>
    </r>
  </si>
  <si>
    <r>
      <rPr>
        <sz val="8"/>
        <rFont val="Times New Roman"/>
        <family val="1"/>
      </rPr>
      <t>100-35 Gallon Trashbarrels</t>
    </r>
  </si>
  <si>
    <r>
      <rPr>
        <sz val="8"/>
        <rFont val="Times New Roman"/>
        <family val="1"/>
      </rPr>
      <t>100-100 Gallon Trashbarrels</t>
    </r>
  </si>
  <si>
    <r>
      <rPr>
        <sz val="8"/>
        <rFont val="Times New Roman"/>
        <family val="1"/>
      </rPr>
      <t>40-300 Gallon Trashbarrels</t>
    </r>
  </si>
  <si>
    <r>
      <rPr>
        <sz val="8"/>
        <rFont val="Times New Roman"/>
        <family val="1"/>
      </rPr>
      <t>100-65 Gallon Trashbarrels</t>
    </r>
  </si>
  <si>
    <r>
      <rPr>
        <sz val="8"/>
        <rFont val="Times New Roman"/>
        <family val="1"/>
      </rPr>
      <t>50-35 Gallon Trashbarrels</t>
    </r>
  </si>
  <si>
    <r>
      <rPr>
        <sz val="8"/>
        <rFont val="Times New Roman"/>
        <family val="1"/>
      </rPr>
      <t>50-65 Gallon Trashbarrels</t>
    </r>
  </si>
  <si>
    <r>
      <rPr>
        <sz val="8"/>
        <rFont val="Times New Roman"/>
        <family val="1"/>
      </rPr>
      <t>100-100 Gallon Trash Barrels</t>
    </r>
  </si>
  <si>
    <r>
      <rPr>
        <sz val="8"/>
        <rFont val="Times New Roman"/>
        <family val="1"/>
      </rPr>
      <t>50 - 35 Gallon Trash Barrels</t>
    </r>
  </si>
  <si>
    <r>
      <rPr>
        <sz val="8"/>
        <rFont val="Times New Roman"/>
        <family val="1"/>
      </rPr>
      <t>100 - 65 Gallon Trash Barrels</t>
    </r>
  </si>
  <si>
    <r>
      <rPr>
        <sz val="8"/>
        <rFont val="Times New Roman"/>
        <family val="1"/>
      </rPr>
      <t>100 - 100 Gallon Trash Barrels</t>
    </r>
  </si>
  <si>
    <r>
      <rPr>
        <sz val="8"/>
        <rFont val="Times New Roman"/>
        <family val="1"/>
      </rPr>
      <t>50 - 65 Gallon Trash Barrels</t>
    </r>
  </si>
  <si>
    <r>
      <rPr>
        <sz val="8"/>
        <rFont val="Times New Roman"/>
        <family val="1"/>
      </rPr>
      <t>24 - 100 Gallon Trash Barrels</t>
    </r>
  </si>
  <si>
    <r>
      <rPr>
        <sz val="8"/>
        <rFont val="Times New Roman"/>
        <family val="1"/>
      </rPr>
      <t>50 - 100 Gallon Trash Barrels</t>
    </r>
  </si>
  <si>
    <r>
      <rPr>
        <sz val="8"/>
        <rFont val="Times New Roman"/>
        <family val="1"/>
      </rPr>
      <t>100 - 35 Gallon Trash Barrels</t>
    </r>
  </si>
  <si>
    <r>
      <rPr>
        <sz val="8"/>
        <rFont val="Times New Roman"/>
        <family val="1"/>
      </rPr>
      <t>100 - 100 Gallon Trashbarrels</t>
    </r>
  </si>
  <si>
    <r>
      <rPr>
        <sz val="8"/>
        <rFont val="Times New Roman"/>
        <family val="1"/>
      </rPr>
      <t>100 - 65 Gallon Trashbarrels</t>
    </r>
  </si>
  <si>
    <r>
      <rPr>
        <sz val="8"/>
        <rFont val="Times New Roman"/>
        <family val="1"/>
      </rPr>
      <t>50 - 100 Gallon Trashbarrels</t>
    </r>
  </si>
  <si>
    <r>
      <rPr>
        <sz val="8"/>
        <rFont val="Times New Roman"/>
        <family val="1"/>
      </rPr>
      <t>100 - 35 Gallon Trashbarrels</t>
    </r>
  </si>
  <si>
    <r>
      <rPr>
        <sz val="8"/>
        <rFont val="Times New Roman"/>
        <family val="1"/>
      </rPr>
      <t>100-65 Gallon Trash Barrels</t>
    </r>
  </si>
  <si>
    <r>
      <rPr>
        <sz val="8"/>
        <rFont val="Times New Roman"/>
        <family val="1"/>
      </rPr>
      <t>25-35 gallon Trashbarrels</t>
    </r>
  </si>
  <si>
    <r>
      <rPr>
        <sz val="8"/>
        <rFont val="Times New Roman"/>
        <family val="1"/>
      </rPr>
      <t>25-100 gallon Trashbarrels</t>
    </r>
  </si>
  <si>
    <r>
      <rPr>
        <sz val="8"/>
        <rFont val="Times New Roman"/>
        <family val="1"/>
      </rPr>
      <t>50-65 gallon Trashbarrels</t>
    </r>
  </si>
  <si>
    <r>
      <rPr>
        <sz val="8"/>
        <rFont val="Times New Roman"/>
        <family val="1"/>
      </rPr>
      <t>25-100 gallon Trashbarrells</t>
    </r>
  </si>
  <si>
    <r>
      <rPr>
        <sz val="8"/>
        <rFont val="Times New Roman"/>
        <family val="1"/>
      </rPr>
      <t>100-100 Gallon Trash Barrells</t>
    </r>
  </si>
  <si>
    <r>
      <rPr>
        <sz val="8"/>
        <rFont val="Times New Roman"/>
        <family val="1"/>
      </rPr>
      <t>50-35 Gallon Trash Barrels</t>
    </r>
  </si>
  <si>
    <r>
      <rPr>
        <sz val="8"/>
        <rFont val="Times New Roman"/>
        <family val="1"/>
      </rPr>
      <t>El Monte Trashbarrels - 100 - 35 Gallon Carts</t>
    </r>
  </si>
  <si>
    <r>
      <rPr>
        <sz val="8"/>
        <rFont val="Times New Roman"/>
        <family val="1"/>
      </rPr>
      <t>El Monte Trashbarrels - 50 - 100 Gallon Carts</t>
    </r>
  </si>
  <si>
    <r>
      <rPr>
        <sz val="8"/>
        <rFont val="Times New Roman"/>
        <family val="1"/>
      </rPr>
      <t>80-100 Gal &amp; 100-65 Gal Trash Barrels</t>
    </r>
  </si>
  <si>
    <r>
      <rPr>
        <sz val="8"/>
        <rFont val="Times New Roman"/>
        <family val="1"/>
      </rPr>
      <t>50-100 Gallon Carts</t>
    </r>
  </si>
  <si>
    <r>
      <rPr>
        <sz val="8"/>
        <rFont val="Times New Roman"/>
        <family val="1"/>
      </rPr>
      <t>50-35 Gallon Carts</t>
    </r>
  </si>
  <si>
    <r>
      <rPr>
        <sz val="8"/>
        <rFont val="Times New Roman"/>
        <family val="1"/>
      </rPr>
      <t>100-65 Gallon Carts</t>
    </r>
  </si>
  <si>
    <r>
      <rPr>
        <sz val="8"/>
        <rFont val="Times New Roman"/>
        <family val="1"/>
      </rPr>
      <t>50-100 Gallon Trashbarrels</t>
    </r>
  </si>
  <si>
    <r>
      <rPr>
        <sz val="8"/>
        <rFont val="Times New Roman"/>
        <family val="1"/>
      </rPr>
      <t>125-100 Gallon Trashbarrels</t>
    </r>
  </si>
  <si>
    <r>
      <rPr>
        <sz val="8"/>
        <rFont val="Times New Roman"/>
        <family val="1"/>
      </rPr>
      <t>50 - 100 Gallon Carts</t>
    </r>
  </si>
  <si>
    <r>
      <rPr>
        <sz val="8"/>
        <rFont val="Times New Roman"/>
        <family val="1"/>
      </rPr>
      <t>100 - 65 Gallon Carts</t>
    </r>
  </si>
  <si>
    <r>
      <rPr>
        <sz val="8"/>
        <rFont val="Times New Roman"/>
        <family val="1"/>
      </rPr>
      <t>100 - 35 Gallon Carts</t>
    </r>
  </si>
  <si>
    <r>
      <rPr>
        <sz val="8"/>
        <rFont val="Times New Roman"/>
        <family val="1"/>
      </rPr>
      <t>50 - 90 Gallon Carts</t>
    </r>
  </si>
  <si>
    <r>
      <rPr>
        <sz val="8"/>
        <rFont val="Times New Roman"/>
        <family val="1"/>
      </rPr>
      <t>100-100 Gallon Carts</t>
    </r>
  </si>
  <si>
    <r>
      <rPr>
        <sz val="8"/>
        <rFont val="Times New Roman"/>
        <family val="1"/>
      </rPr>
      <t>50 - 65 Gallon Carts</t>
    </r>
  </si>
  <si>
    <r>
      <rPr>
        <sz val="8"/>
        <rFont val="Times New Roman"/>
        <family val="1"/>
      </rPr>
      <t>50 - 35 Gallon Carts</t>
    </r>
  </si>
  <si>
    <r>
      <rPr>
        <sz val="8"/>
        <rFont val="Times New Roman"/>
        <family val="1"/>
      </rPr>
      <t>100 - 300 Gallon Carts</t>
    </r>
  </si>
  <si>
    <r>
      <rPr>
        <sz val="8"/>
        <rFont val="Times New Roman"/>
        <family val="1"/>
      </rPr>
      <t>25 - 100 Gallon Carts</t>
    </r>
  </si>
  <si>
    <r>
      <rPr>
        <sz val="8"/>
        <rFont val="Times New Roman"/>
        <family val="1"/>
      </rPr>
      <t>25 - 100 Gallon Trash Cans</t>
    </r>
  </si>
  <si>
    <r>
      <rPr>
        <sz val="8"/>
        <rFont val="Times New Roman"/>
        <family val="1"/>
      </rPr>
      <t>50 - 35U WC/XL Cart</t>
    </r>
  </si>
  <si>
    <r>
      <rPr>
        <sz val="8"/>
        <rFont val="Times New Roman"/>
        <family val="1"/>
      </rPr>
      <t>50 - 100 Gallon Trash Cans</t>
    </r>
  </si>
  <si>
    <r>
      <rPr>
        <sz val="8"/>
        <rFont val="Times New Roman"/>
        <family val="1"/>
      </rPr>
      <t>50 - 65U WC/XL Cart</t>
    </r>
  </si>
  <si>
    <r>
      <rPr>
        <sz val="8"/>
        <rFont val="Times New Roman"/>
        <family val="1"/>
      </rPr>
      <t>50 - 35 Gallon Trash Cans</t>
    </r>
  </si>
  <si>
    <r>
      <rPr>
        <sz val="8"/>
        <rFont val="Times New Roman"/>
        <family val="1"/>
      </rPr>
      <t>50 - 60 Gallon Trash Cans</t>
    </r>
  </si>
  <si>
    <r>
      <rPr>
        <sz val="8"/>
        <rFont val="Times New Roman"/>
        <family val="1"/>
      </rPr>
      <t>50 - 95 Gallon Trash Cans</t>
    </r>
  </si>
  <si>
    <r>
      <rPr>
        <sz val="8"/>
        <rFont val="Times New Roman"/>
        <family val="1"/>
      </rPr>
      <t>15 - 300 Gallon Trash Cans</t>
    </r>
  </si>
  <si>
    <r>
      <rPr>
        <sz val="8"/>
        <rFont val="Times New Roman"/>
        <family val="1"/>
      </rPr>
      <t>56 - 35 Gallon Trash Cans</t>
    </r>
  </si>
  <si>
    <r>
      <rPr>
        <sz val="8"/>
        <rFont val="Times New Roman"/>
        <family val="1"/>
      </rPr>
      <t>35 - 95 Gallon Trash Cans</t>
    </r>
  </si>
  <si>
    <r>
      <rPr>
        <sz val="8"/>
        <rFont val="Times New Roman"/>
        <family val="1"/>
      </rPr>
      <t>30 - 95 Gallon Trash Cans</t>
    </r>
  </si>
  <si>
    <r>
      <rPr>
        <sz val="8"/>
        <rFont val="Times New Roman"/>
        <family val="1"/>
      </rPr>
      <t>40 - 60 Gallon Trash Cans</t>
    </r>
  </si>
  <si>
    <r>
      <rPr>
        <sz val="8"/>
        <rFont val="Times New Roman"/>
        <family val="1"/>
      </rPr>
      <t>276    48 - 35 Gallon Trash Cans                                        4/13/17</t>
    </r>
  </si>
  <si>
    <r>
      <rPr>
        <sz val="8"/>
        <rFont val="Times New Roman"/>
        <family val="1"/>
      </rPr>
      <t>277    49 - 95 Gallon Trash Cans                                        6/23/17</t>
    </r>
  </si>
  <si>
    <r>
      <rPr>
        <sz val="8"/>
        <rFont val="Times New Roman"/>
        <family val="1"/>
      </rPr>
      <t>278    55 - 60 Gallon Trash Cans                                        6/14/17</t>
    </r>
  </si>
  <si>
    <r>
      <rPr>
        <sz val="8"/>
        <rFont val="Times New Roman"/>
        <family val="1"/>
      </rPr>
      <t>281    51 - 95 Gallon TC-100 Trash Cans (Brown)            7/15/17</t>
    </r>
  </si>
  <si>
    <r>
      <rPr>
        <sz val="8"/>
        <rFont val="Times New Roman"/>
        <family val="1"/>
      </rPr>
      <t>282    36 - 60G EMP 65U Trash Cans (Green)                  7/15/17</t>
    </r>
  </si>
  <si>
    <r>
      <rPr>
        <sz val="8"/>
        <rFont val="Times New Roman"/>
        <family val="1"/>
      </rPr>
      <t>283    29 - 95 Gallon TC-100 Trash Cans (Green)             8/17/17</t>
    </r>
  </si>
  <si>
    <r>
      <rPr>
        <sz val="8"/>
        <rFont val="Times New Roman"/>
        <family val="1"/>
      </rPr>
      <t>284    25 - 95 Gallon TC-100 Trash Cans (Green)             9/21/17</t>
    </r>
  </si>
  <si>
    <r>
      <rPr>
        <sz val="8"/>
        <rFont val="Times New Roman"/>
        <family val="1"/>
      </rPr>
      <t>289    78 - 95G TC-100 Trash Cans (Green)                    10/25/17</t>
    </r>
  </si>
  <si>
    <r>
      <rPr>
        <sz val="8"/>
        <rFont val="Times New Roman"/>
        <family val="1"/>
      </rPr>
      <t>290    50 - 60G EMP 65U Trash Cans (Green)                 12/02/17</t>
    </r>
  </si>
  <si>
    <r>
      <rPr>
        <b/>
        <sz val="8"/>
        <rFont val="Times New Roman"/>
        <family val="1"/>
      </rPr>
      <t>224.1 Carts</t>
    </r>
  </si>
  <si>
    <r>
      <rPr>
        <sz val="8"/>
        <rFont val="Times New Roman"/>
        <family val="1"/>
      </rPr>
      <t>39    25-220 Gallon Trash Barrels                                    8/28/02</t>
    </r>
  </si>
  <si>
    <r>
      <rPr>
        <sz val="8"/>
        <rFont val="Times New Roman"/>
        <family val="1"/>
      </rPr>
      <t>160    10-440 Gallon Trash Barrels                                    9/03/09</t>
    </r>
  </si>
  <si>
    <r>
      <rPr>
        <sz val="8"/>
        <rFont val="Times New Roman"/>
        <family val="1"/>
      </rPr>
      <t>174    20-100 Gallon Trash Barrels                                   11/30/10</t>
    </r>
  </si>
  <si>
    <r>
      <rPr>
        <b/>
        <sz val="8"/>
        <rFont val="Times New Roman"/>
        <family val="1"/>
      </rPr>
      <t>224.11 Carts-Woodland</t>
    </r>
  </si>
  <si>
    <r>
      <rPr>
        <sz val="8"/>
        <rFont val="Times New Roman"/>
        <family val="1"/>
      </rPr>
      <t>103    A/R Software                                                            8/28/06</t>
    </r>
  </si>
  <si>
    <r>
      <rPr>
        <sz val="8"/>
        <rFont val="Times New Roman"/>
        <family val="1"/>
      </rPr>
      <t>104    Computer for Larry                                                  3/10/06</t>
    </r>
  </si>
  <si>
    <r>
      <rPr>
        <sz val="8"/>
        <rFont val="Times New Roman"/>
        <family val="1"/>
      </rPr>
      <t>164    2 OptiPlex Dell 360 Minitower Computers            12/17/09</t>
    </r>
  </si>
  <si>
    <r>
      <rPr>
        <sz val="8"/>
        <rFont val="Times New Roman"/>
        <family val="1"/>
      </rPr>
      <t>189    2 IMAC Apple Computers                                      11/25/11</t>
    </r>
  </si>
  <si>
    <r>
      <rPr>
        <sz val="8"/>
        <rFont val="Times New Roman"/>
        <family val="1"/>
      </rPr>
      <t>192    Dell Computer (XPS 8300)-Terri Turner Office      4/01/12</t>
    </r>
  </si>
  <si>
    <r>
      <rPr>
        <sz val="8"/>
        <rFont val="Times New Roman"/>
        <family val="1"/>
      </rPr>
      <t>195    Dell Computer (Inspiron 660s Fast Track 0205)    11/30/12</t>
    </r>
  </si>
  <si>
    <r>
      <rPr>
        <sz val="8"/>
        <rFont val="Times New Roman"/>
        <family val="1"/>
      </rPr>
      <t>196    Dell Latitude E6430 Notebook Laptop                   11/30/12</t>
    </r>
  </si>
  <si>
    <r>
      <rPr>
        <sz val="8"/>
        <rFont val="Times New Roman"/>
        <family val="1"/>
      </rPr>
      <t>197    Konica Minolta 601 Copier (Serial #101910)        12/30/12</t>
    </r>
  </si>
  <si>
    <r>
      <rPr>
        <sz val="8"/>
        <rFont val="Times New Roman"/>
        <family val="1"/>
      </rPr>
      <t>200    1 Dell Computer (Inspiron 660)                               2/01/13</t>
    </r>
  </si>
  <si>
    <r>
      <rPr>
        <sz val="8"/>
        <rFont val="Times New Roman"/>
        <family val="1"/>
      </rPr>
      <t>227    Computer - Truck Shop                                            2/05/14</t>
    </r>
  </si>
  <si>
    <r>
      <rPr>
        <b/>
        <sz val="8"/>
        <rFont val="Times New Roman"/>
        <family val="1"/>
      </rPr>
      <t>225.1 Office Equipment</t>
    </r>
  </si>
  <si>
    <r>
      <rPr>
        <sz val="8"/>
        <rFont val="Times New Roman"/>
        <family val="1"/>
      </rPr>
      <t>9    Office Remodel                                                        6/19/00</t>
    </r>
  </si>
  <si>
    <r>
      <rPr>
        <sz val="8"/>
        <rFont val="Times New Roman"/>
        <family val="1"/>
      </rPr>
      <t>10    Water/Oil Separator - Boneyard                               8/21/00</t>
    </r>
  </si>
  <si>
    <r>
      <rPr>
        <sz val="8"/>
        <rFont val="Times New Roman"/>
        <family val="1"/>
      </rPr>
      <t>12    Finish Downstairs Office                                          9/28/00</t>
    </r>
  </si>
  <si>
    <r>
      <rPr>
        <sz val="8"/>
        <rFont val="Times New Roman"/>
        <family val="1"/>
      </rPr>
      <t>14    Improvements on Bathroom                                   10/19/00</t>
    </r>
  </si>
  <si>
    <r>
      <rPr>
        <sz val="8"/>
        <rFont val="Times New Roman"/>
        <family val="1"/>
      </rPr>
      <t>16    Remodel 2 Downstairs Bathroom and Office Ar    11/10/00</t>
    </r>
  </si>
  <si>
    <r>
      <rPr>
        <sz val="8"/>
        <rFont val="Times New Roman"/>
        <family val="1"/>
      </rPr>
      <t>18    Water/Oil Separator - Wash Rack                          12/28/00</t>
    </r>
  </si>
  <si>
    <r>
      <rPr>
        <sz val="8"/>
        <rFont val="Times New Roman"/>
        <family val="1"/>
      </rPr>
      <t>19    Continue Downstairs Office/Bathrooms Remod    12/01/00</t>
    </r>
  </si>
  <si>
    <r>
      <rPr>
        <sz val="8"/>
        <rFont val="Times New Roman"/>
        <family val="1"/>
      </rPr>
      <t>20    Office Remodel (Vaccuum Racks)                           1/11/01</t>
    </r>
  </si>
  <si>
    <r>
      <rPr>
        <sz val="8"/>
        <rFont val="Times New Roman"/>
        <family val="1"/>
      </rPr>
      <t>21    Remodel Larry Lampkin's Office                             2/15/01</t>
    </r>
  </si>
  <si>
    <r>
      <rPr>
        <sz val="8"/>
        <rFont val="Times New Roman"/>
        <family val="1"/>
      </rPr>
      <t>22    Siding on Front Building                                          3/31/01</t>
    </r>
  </si>
  <si>
    <r>
      <rPr>
        <sz val="8"/>
        <rFont val="Times New Roman"/>
        <family val="1"/>
      </rPr>
      <t>24    610 Series Rolling Door                                           4/19/01</t>
    </r>
  </si>
  <si>
    <r>
      <rPr>
        <sz val="8"/>
        <rFont val="Times New Roman"/>
        <family val="1"/>
      </rPr>
      <t>25    Extend Dry System on Wash Rack                          4/19/01</t>
    </r>
  </si>
  <si>
    <r>
      <rPr>
        <sz val="8"/>
        <rFont val="Times New Roman"/>
        <family val="1"/>
      </rPr>
      <t>26    Wash Bay Improvements                                         4/30/01</t>
    </r>
  </si>
  <si>
    <r>
      <rPr>
        <sz val="8"/>
        <rFont val="Times New Roman"/>
        <family val="1"/>
      </rPr>
      <t>27    Schlecht Wash Rack Roof                                        4/30/01</t>
    </r>
  </si>
  <si>
    <r>
      <rPr>
        <sz val="8"/>
        <rFont val="Times New Roman"/>
        <family val="1"/>
      </rPr>
      <t>32    Oil/Water Separator                                                  8/23/01</t>
    </r>
  </si>
  <si>
    <r>
      <rPr>
        <sz val="8"/>
        <rFont val="Times New Roman"/>
        <family val="1"/>
      </rPr>
      <t>33    Parking Lot Improvements                                       9/24/01</t>
    </r>
  </si>
  <si>
    <r>
      <rPr>
        <sz val="8"/>
        <rFont val="Times New Roman"/>
        <family val="1"/>
      </rPr>
      <t>36    Improvements on Fire Sprinkler System                  5/31/02</t>
    </r>
  </si>
  <si>
    <r>
      <rPr>
        <sz val="8"/>
        <rFont val="Times New Roman"/>
        <family val="1"/>
      </rPr>
      <t>40    Chain Link Fence                                                    10/23/02</t>
    </r>
  </si>
  <si>
    <r>
      <rPr>
        <sz val="8"/>
        <rFont val="Times New Roman"/>
        <family val="1"/>
      </rPr>
      <t>43    Concrete for Improvements - Woodland Boney      5/27/03</t>
    </r>
  </si>
  <si>
    <r>
      <rPr>
        <sz val="8"/>
        <rFont val="Times New Roman"/>
        <family val="1"/>
      </rPr>
      <t>Improvements Woodland Boneyard</t>
    </r>
  </si>
  <si>
    <r>
      <rPr>
        <sz val="8"/>
        <rFont val="Times New Roman"/>
        <family val="1"/>
      </rPr>
      <t>Concrete for Improvements - Woodland Boney</t>
    </r>
  </si>
  <si>
    <r>
      <rPr>
        <sz val="8"/>
        <rFont val="Times New Roman"/>
        <family val="1"/>
      </rPr>
      <t>Remodeling Woodland Boneyard</t>
    </r>
  </si>
  <si>
    <r>
      <rPr>
        <sz val="8"/>
        <rFont val="Times New Roman"/>
        <family val="1"/>
      </rPr>
      <t>Concrete Work at Woodland Boneyard</t>
    </r>
  </si>
  <si>
    <r>
      <rPr>
        <sz val="8"/>
        <rFont val="Times New Roman"/>
        <family val="1"/>
      </rPr>
      <t>Concrete at Woodland Boneyard</t>
    </r>
  </si>
  <si>
    <r>
      <rPr>
        <sz val="8"/>
        <rFont val="Times New Roman"/>
        <family val="1"/>
      </rPr>
      <t>Oil Separator at Woodland Boneyard</t>
    </r>
  </si>
  <si>
    <r>
      <rPr>
        <sz val="8"/>
        <rFont val="Times New Roman"/>
        <family val="1"/>
      </rPr>
      <t>Land Improvements - Rock Driveway</t>
    </r>
  </si>
  <si>
    <r>
      <rPr>
        <b/>
        <sz val="8"/>
        <rFont val="Times New Roman"/>
        <family val="1"/>
      </rPr>
      <t>245.1 Leasehold Improv</t>
    </r>
  </si>
  <si>
    <r>
      <rPr>
        <b/>
        <u/>
        <sz val="8"/>
        <rFont val="Times New Roman"/>
        <family val="1"/>
      </rPr>
      <t>Group:  253.1 Goodwill-Woodland</t>
    </r>
  </si>
  <si>
    <r>
      <rPr>
        <sz val="8"/>
        <rFont val="Times New Roman"/>
        <family val="1"/>
      </rPr>
      <t>29    Goodwill - Woodland</t>
    </r>
  </si>
  <si>
    <r>
      <rPr>
        <sz val="8"/>
        <rFont val="Times New Roman"/>
        <family val="1"/>
      </rPr>
      <t>Memo</t>
    </r>
  </si>
  <si>
    <r>
      <rPr>
        <b/>
        <sz val="8"/>
        <rFont val="Times New Roman"/>
        <family val="1"/>
      </rPr>
      <t>253.1 Goodwill-Woodland</t>
    </r>
  </si>
  <si>
    <r>
      <rPr>
        <u/>
        <sz val="8"/>
        <rFont val="Times New Roman"/>
        <family val="1"/>
      </rPr>
      <t>     225,000.00</t>
    </r>
    <r>
      <rPr>
        <sz val="8"/>
        <rFont val="Times New Roman"/>
        <family val="1"/>
      </rPr>
      <t xml:space="preserve">    c</t>
    </r>
  </si>
  <si>
    <r>
      <rPr>
        <b/>
        <u/>
        <sz val="8"/>
        <rFont val="Times New Roman"/>
        <family val="1"/>
      </rPr>
      <t>Group:  255.1 Covenant</t>
    </r>
  </si>
  <si>
    <r>
      <rPr>
        <sz val="8"/>
        <rFont val="Times New Roman"/>
        <family val="1"/>
      </rPr>
      <t>30    Covenant Not to Compete</t>
    </r>
  </si>
  <si>
    <r>
      <rPr>
        <sz val="8"/>
        <rFont val="Times New Roman"/>
        <family val="1"/>
      </rPr>
      <t>Amort</t>
    </r>
  </si>
  <si>
    <r>
      <rPr>
        <b/>
        <sz val="8"/>
        <rFont val="Times New Roman"/>
        <family val="1"/>
      </rPr>
      <t>255.1 Covenant</t>
    </r>
  </si>
  <si>
    <r>
      <rPr>
        <u/>
        <sz val="8"/>
        <rFont val="Times New Roman"/>
        <family val="1"/>
      </rPr>
      <t>       25,000.00</t>
    </r>
    <r>
      <rPr>
        <sz val="8"/>
        <rFont val="Times New Roman"/>
        <family val="1"/>
      </rPr>
      <t xml:space="preserve">    c</t>
    </r>
  </si>
  <si>
    <r>
      <rPr>
        <b/>
        <u/>
        <sz val="8"/>
        <rFont val="Times New Roman"/>
        <family val="1"/>
      </rPr>
      <t>Group:  275.1 Shed &amp; Equipment</t>
    </r>
  </si>
  <si>
    <r>
      <rPr>
        <sz val="8"/>
        <rFont val="Times New Roman"/>
        <family val="1"/>
      </rPr>
      <t>2    Band Saw</t>
    </r>
  </si>
  <si>
    <r>
      <rPr>
        <sz val="8"/>
        <rFont val="Times New Roman"/>
        <family val="1"/>
      </rPr>
      <t>3    Hougen Drill</t>
    </r>
  </si>
  <si>
    <r>
      <rPr>
        <sz val="8"/>
        <rFont val="Times New Roman"/>
        <family val="1"/>
      </rPr>
      <t>4    Fire Hose</t>
    </r>
  </si>
  <si>
    <r>
      <rPr>
        <sz val="8"/>
        <rFont val="Times New Roman"/>
        <family val="1"/>
      </rPr>
      <t>42    IR Roller - (1/6 Share)</t>
    </r>
  </si>
  <si>
    <r>
      <rPr>
        <sz val="8"/>
        <rFont val="Times New Roman"/>
        <family val="1"/>
      </rPr>
      <t>156    Wood Splitter - TW - 5FC</t>
    </r>
  </si>
  <si>
    <r>
      <rPr>
        <sz val="8"/>
        <rFont val="Times New Roman"/>
        <family val="1"/>
      </rPr>
      <t>182    Trailblazer 302 Diesel Powered Welder</t>
    </r>
  </si>
  <si>
    <r>
      <rPr>
        <b/>
        <sz val="8"/>
        <rFont val="Times New Roman"/>
        <family val="1"/>
      </rPr>
      <t>275.1 Shed &amp; Equipment</t>
    </r>
  </si>
  <si>
    <r>
      <rPr>
        <b/>
        <sz val="8"/>
        <rFont val="Times New Roman"/>
        <family val="1"/>
      </rPr>
      <t>Grand Total</t>
    </r>
  </si>
  <si>
    <t>Depreciation &amp; Average Investment Summary</t>
  </si>
  <si>
    <t>Beginning</t>
  </si>
  <si>
    <t>Ending</t>
  </si>
  <si>
    <t>Average</t>
  </si>
  <si>
    <t>Equipment</t>
  </si>
  <si>
    <t>Cost</t>
  </si>
  <si>
    <t>Salvage</t>
  </si>
  <si>
    <t>Depr</t>
  </si>
  <si>
    <t>Test Year</t>
  </si>
  <si>
    <t>Accum Depr</t>
  </si>
  <si>
    <t>Investment</t>
  </si>
  <si>
    <t>Trucks</t>
  </si>
  <si>
    <t>Roll-off</t>
  </si>
  <si>
    <t>Long Haul</t>
  </si>
  <si>
    <t>Total Trucks</t>
  </si>
  <si>
    <t>Containers</t>
  </si>
  <si>
    <t>Commercial Garbage</t>
  </si>
  <si>
    <t>Drop Boxes</t>
  </si>
  <si>
    <t>Total Cont, Carts,Totes</t>
  </si>
  <si>
    <t>Service Equipment</t>
  </si>
  <si>
    <t>Shop Equipment</t>
  </si>
  <si>
    <t>Non-Regulated</t>
  </si>
  <si>
    <t>Office Equipment</t>
  </si>
  <si>
    <t>Building</t>
  </si>
  <si>
    <t>Total Equipment</t>
  </si>
  <si>
    <t>Land</t>
  </si>
  <si>
    <t>TOTAL</t>
  </si>
  <si>
    <t>Depreciation Schedule</t>
  </si>
  <si>
    <t>Effective Rate Month</t>
  </si>
  <si>
    <t>CONVENTIONS</t>
  </si>
  <si>
    <t>First Year</t>
  </si>
  <si>
    <t>Second year</t>
  </si>
  <si>
    <t xml:space="preserve">Calendar year test period: </t>
  </si>
  <si>
    <t>mos in first year</t>
  </si>
  <si>
    <t>Rate Effective Year</t>
  </si>
  <si>
    <t>mos in 2nd year</t>
  </si>
  <si>
    <t>First year</t>
  </si>
  <si>
    <t>Second Year</t>
  </si>
  <si>
    <t>Allocated</t>
  </si>
  <si>
    <t xml:space="preserve"> </t>
  </si>
  <si>
    <t>Date in</t>
  </si>
  <si>
    <t>Year</t>
  </si>
  <si>
    <t>Year/Mo</t>
  </si>
  <si>
    <t>Accumulated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</si>
  <si>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</si>
  <si>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</si>
  <si>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</si>
  <si>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</si>
  <si>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</si>
  <si>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</si>
  <si>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>Fully</t>
  </si>
  <si>
    <t>Asset</t>
  </si>
  <si>
    <t xml:space="preserve">Monthly </t>
  </si>
  <si>
    <t>Annual</t>
  </si>
  <si>
    <t>Test yr.</t>
  </si>
  <si>
    <t>Depreciation</t>
  </si>
  <si>
    <t>Dispositions must be in test period</t>
  </si>
  <si>
    <t>FAR #</t>
  </si>
  <si>
    <t>Codes</t>
  </si>
  <si>
    <t>No</t>
  </si>
  <si>
    <t>Asset Classification</t>
  </si>
  <si>
    <t>Mo</t>
  </si>
  <si>
    <t>%</t>
  </si>
  <si>
    <t>-</t>
  </si>
  <si>
    <t>M</t>
  </si>
  <si>
    <t>Years</t>
  </si>
  <si>
    <t>Depn.</t>
  </si>
  <si>
    <t>S/L</t>
  </si>
  <si>
    <t>Total</t>
  </si>
  <si>
    <t>ROLL OFF TRUCKS</t>
  </si>
  <si>
    <t>RO</t>
  </si>
  <si>
    <t>SL</t>
  </si>
  <si>
    <t>Retired/Transferred 2019</t>
  </si>
  <si>
    <t>Months in first year</t>
  </si>
  <si>
    <t>GARBAGE CONTAINERS</t>
  </si>
  <si>
    <t>Date in Service</t>
  </si>
  <si>
    <t>Accum</t>
  </si>
  <si>
    <t>Quantity</t>
  </si>
  <si>
    <t>DROP BOXES</t>
  </si>
  <si>
    <t>FAR</t>
  </si>
  <si>
    <t>Total Shop</t>
  </si>
  <si>
    <t>2000 Dodge Dakota</t>
  </si>
  <si>
    <t>2000 Dodge Dakota Amort of Salvage</t>
  </si>
  <si>
    <t>Months in second year</t>
  </si>
  <si>
    <t>Office</t>
  </si>
  <si>
    <t>Total Office</t>
  </si>
  <si>
    <t>Total Supervisor/Service Trucks</t>
  </si>
  <si>
    <t>Garbage Carts</t>
  </si>
  <si>
    <t>Recycle Carts</t>
  </si>
  <si>
    <t>RECYCLE CARTS</t>
  </si>
  <si>
    <t>Commercial Recycling</t>
  </si>
  <si>
    <t>COMMERCIAL RECYCLING</t>
  </si>
  <si>
    <t>Supervisor/Service Trucks/Delivery</t>
  </si>
  <si>
    <t>Pre-Acquisition Assets</t>
  </si>
  <si>
    <t>Month</t>
  </si>
  <si>
    <t>2 - 40YD Drop Boxes</t>
  </si>
  <si>
    <t>1 - 20YD Drop Box</t>
  </si>
  <si>
    <t>3 - 40YD Front Loaders</t>
  </si>
  <si>
    <t>50 - Swivel Casters for Front Loaders</t>
  </si>
  <si>
    <t>1 - 4YD Front Loader</t>
  </si>
  <si>
    <t>1 - 5YD Front Loader</t>
  </si>
  <si>
    <t>2 - 6YD Front Loaders</t>
  </si>
  <si>
    <t>Wastequip FL Lids - 50 - 59x37 Lids</t>
  </si>
  <si>
    <t>50 - 59x37 Lids</t>
  </si>
  <si>
    <t>1-30YD Drop Box &amp; 1-20YD Drop Box</t>
  </si>
  <si>
    <t>1 - 30YD Drop Box w/Lid</t>
  </si>
  <si>
    <t>1 - 30YD Drop Box</t>
  </si>
  <si>
    <t>1 - 30YD Drop Box w/Open Top</t>
  </si>
  <si>
    <t>3 - 4YD Drop Boxes</t>
  </si>
  <si>
    <t>1 - 20YD Drop Box w/Open Top</t>
  </si>
  <si>
    <t>1 - 40YD Drop Box</t>
  </si>
  <si>
    <t>2 - 30YD Drop Boxes w/Open Top</t>
  </si>
  <si>
    <t>2 - 20YD Drop Boxes w/Open Top</t>
  </si>
  <si>
    <t>2 - 20YD Drop Boxes</t>
  </si>
  <si>
    <t>3YD Front Loader</t>
  </si>
  <si>
    <t>1.5YD Front Loader</t>
  </si>
  <si>
    <t>2YD Front Loader</t>
  </si>
  <si>
    <t>5YD Front Loader</t>
  </si>
  <si>
    <t>3 - 5YD Front Loaders</t>
  </si>
  <si>
    <t>3 - 2YD Front Loaders</t>
  </si>
  <si>
    <t>1 - 4YD Front Load Containers</t>
  </si>
  <si>
    <t>1 - 6YD Front Load Containers</t>
  </si>
  <si>
    <t>1 - 2YD Front Load Containers</t>
  </si>
  <si>
    <t>1 - 3YD Front Load Containers</t>
  </si>
  <si>
    <t>1 - 6YD Front Loader</t>
  </si>
  <si>
    <t>2 - 2YD Front Loaders</t>
  </si>
  <si>
    <t>1 - 2YD Front Loader</t>
  </si>
  <si>
    <t>1 - 3YD Front Loader</t>
  </si>
  <si>
    <t>1 - 1.5YD Front Loader</t>
  </si>
  <si>
    <t>2 - 4YD Front Loaders</t>
  </si>
  <si>
    <t>1 - 3YD Slant Top Container</t>
  </si>
  <si>
    <t>1 - 4YD Slant Top Container</t>
  </si>
  <si>
    <t>1 - 5YD Slant Top Container</t>
  </si>
  <si>
    <t>1 - 2YD Slant Top Container</t>
  </si>
  <si>
    <t>1 - 6YD Slant Top Container</t>
  </si>
  <si>
    <t>1-6YD Slant Top Containers</t>
  </si>
  <si>
    <t>4-6YD Slant Top Containers</t>
  </si>
  <si>
    <t>1-3YD Front Load Container</t>
  </si>
  <si>
    <t>1-2YD Container</t>
  </si>
  <si>
    <t>1-3YD Container</t>
  </si>
  <si>
    <t>6 - 2YD Containers</t>
  </si>
  <si>
    <t>2 - 4YD Containers</t>
  </si>
  <si>
    <t>2-2YD Slant Top Containers</t>
  </si>
  <si>
    <t>2-3YD Slant Top Containers</t>
  </si>
  <si>
    <t>1-6YD Container</t>
  </si>
  <si>
    <t>1-5YD Container</t>
  </si>
  <si>
    <t>1 - 6YD Container</t>
  </si>
  <si>
    <t>1 - 5YD Container</t>
  </si>
  <si>
    <t>4 - 4YD Container</t>
  </si>
  <si>
    <t>4 - 3YD Container</t>
  </si>
  <si>
    <t>3 - 4YD Container</t>
  </si>
  <si>
    <t>50</t>
  </si>
  <si>
    <t>3</t>
  </si>
  <si>
    <t>1</t>
  </si>
  <si>
    <t>2</t>
  </si>
  <si>
    <t>5</t>
  </si>
  <si>
    <t>4</t>
  </si>
  <si>
    <t>6</t>
  </si>
  <si>
    <t>100-35 Gallon Trashbarrels</t>
  </si>
  <si>
    <t>100-100 Gallon Trashbarrels</t>
  </si>
  <si>
    <t>40-300 Gallon Trashbarrels</t>
  </si>
  <si>
    <t>100-65 Gallon Trashbarrels</t>
  </si>
  <si>
    <t>50-35 Gallon Trashbarrels</t>
  </si>
  <si>
    <t>50-65 Gallon Trashbarrels</t>
  </si>
  <si>
    <t>100-100 Gallon Trash Barrels</t>
  </si>
  <si>
    <t>50 - 35 Gallon Trash Barrels</t>
  </si>
  <si>
    <t>100 - 65 Gallon Trash Barrels</t>
  </si>
  <si>
    <t>100 - 100 Gallon Trash Barrels</t>
  </si>
  <si>
    <t>50 - 65 Gallon Trash Barrels</t>
  </si>
  <si>
    <t>24 - 100 Gallon Trash Barrels</t>
  </si>
  <si>
    <t>50 - 100 Gallon Trash Barrels</t>
  </si>
  <si>
    <t>100 - 35 Gallon Trash Barrels</t>
  </si>
  <si>
    <t>100 - 100 Gallon Trashbarrels</t>
  </si>
  <si>
    <t>100 - 65 Gallon Trashbarrels</t>
  </si>
  <si>
    <t>50 - 100 Gallon Trashbarrels</t>
  </si>
  <si>
    <t>100 - 35 Gallon Trashbarrels</t>
  </si>
  <si>
    <t>100-65 Gallon Trash Barrels</t>
  </si>
  <si>
    <t>25-35 gallon Trashbarrels</t>
  </si>
  <si>
    <t>25-100 gallon Trashbarrels</t>
  </si>
  <si>
    <t>50-65 gallon Trashbarrels</t>
  </si>
  <si>
    <t>25-100 gallon Trashbarrells</t>
  </si>
  <si>
    <t>100-100 Gallon Trash Barrells</t>
  </si>
  <si>
    <t>100</t>
  </si>
  <si>
    <t xml:space="preserve">50 </t>
  </si>
  <si>
    <t xml:space="preserve">24 </t>
  </si>
  <si>
    <t>25 - 100 Gallon Trash Cans</t>
  </si>
  <si>
    <t>50 - 35 Gallon Trash Cans</t>
  </si>
  <si>
    <t>50 - 60 Gallon Trash Cans</t>
  </si>
  <si>
    <t>50 - 95 Gallon Trash Cans</t>
  </si>
  <si>
    <t>15 - 300 Gallon Trash Cans</t>
  </si>
  <si>
    <t>56 - 35 Gallon Trash Cans</t>
  </si>
  <si>
    <t>35 - 95 Gallon Trash Cans</t>
  </si>
  <si>
    <t>30 - 95 Gallon Trash Cans</t>
  </si>
  <si>
    <t>40 - 60 Gallon Trash Cans</t>
  </si>
  <si>
    <t xml:space="preserve">276    48 - 35 Gallon Trash Cans         </t>
  </si>
  <si>
    <t xml:space="preserve">277    49 - 95 Gallon Trash Cans </t>
  </si>
  <si>
    <t xml:space="preserve">278    55 - 60 Gallon Trash Cans </t>
  </si>
  <si>
    <t xml:space="preserve">281    51 - 95 Gallon TC-100 Trash Cans (Brown) </t>
  </si>
  <si>
    <t xml:space="preserve">282    36 - 60G EMP 65U Trash Cans (Green)  </t>
  </si>
  <si>
    <t>283    29 - 95 Gallon TC-100 Trash Cans (Green)</t>
  </si>
  <si>
    <t xml:space="preserve">284    25 - 95 Gallon TC-100 Trash Cans (Green) </t>
  </si>
  <si>
    <t xml:space="preserve">289    78 - 95G TC-100 Trash Cans (Green) </t>
  </si>
  <si>
    <t xml:space="preserve">290    50 - 60G EMP 65U Trash Cans (Green) </t>
  </si>
  <si>
    <t xml:space="preserve">25 </t>
  </si>
  <si>
    <t xml:space="preserve">15 </t>
  </si>
  <si>
    <t xml:space="preserve">56 </t>
  </si>
  <si>
    <t xml:space="preserve">35 </t>
  </si>
  <si>
    <t xml:space="preserve">30 </t>
  </si>
  <si>
    <t xml:space="preserve">40 </t>
  </si>
  <si>
    <t>276</t>
  </si>
  <si>
    <t>277</t>
  </si>
  <si>
    <t>278</t>
  </si>
  <si>
    <t>281</t>
  </si>
  <si>
    <t>282</t>
  </si>
  <si>
    <t>283</t>
  </si>
  <si>
    <t>284</t>
  </si>
  <si>
    <t>289</t>
  </si>
  <si>
    <t>290</t>
  </si>
  <si>
    <t>50-35 Gallon Trash Barrels</t>
  </si>
  <si>
    <t>El Monte Trashbarrels - 100 - 35 Gallon Carts</t>
  </si>
  <si>
    <t>El Monte Trashbarrels - 50 - 100 Gallon Carts</t>
  </si>
  <si>
    <t>80-100 Gal &amp; 100-65 Gal Trash Barrels</t>
  </si>
  <si>
    <t>50-100 Gallon Trashbarrels</t>
  </si>
  <si>
    <t>125-100 Gallon Trashbarrels</t>
  </si>
  <si>
    <t>50 - 100 Gallon Trash Cans</t>
  </si>
  <si>
    <t>80</t>
  </si>
  <si>
    <t>12</t>
  </si>
  <si>
    <t>25</t>
  </si>
  <si>
    <t xml:space="preserve">39    25-220 Gallon Trash Barrels  </t>
  </si>
  <si>
    <t xml:space="preserve">160    10-440 Gallon Trash Barrels </t>
  </si>
  <si>
    <t xml:space="preserve">174    20-100 Gallon Trash Barrels </t>
  </si>
  <si>
    <t>50-100 Gallon Carts</t>
  </si>
  <si>
    <t>50-35 Gallon Carts</t>
  </si>
  <si>
    <t>100-65 Gallon Carts</t>
  </si>
  <si>
    <t>50 - 100 Gallon Carts</t>
  </si>
  <si>
    <t>100 - 65 Gallon Carts</t>
  </si>
  <si>
    <t>100 - 35 Gallon Carts</t>
  </si>
  <si>
    <t>50 - 90 Gallon Carts</t>
  </si>
  <si>
    <t>100-100 Gallon Carts</t>
  </si>
  <si>
    <t>50 - 65 Gallon Carts</t>
  </si>
  <si>
    <t>50 - 35 Gallon Carts</t>
  </si>
  <si>
    <t>100 - 300 Gallon Carts</t>
  </si>
  <si>
    <t>25 - 100 Gallon Carts</t>
  </si>
  <si>
    <t>50 - 35U WC/XL Cart</t>
  </si>
  <si>
    <t>50 - 65U WC/XL Cart</t>
  </si>
  <si>
    <t>1989 GMC Sewer Truck (1/2 Owned)</t>
  </si>
  <si>
    <t>TK#10 2006 Peterbilt MBL Body</t>
  </si>
  <si>
    <t>TK#10 2007 Peterbilt Chassis MBL (Book)</t>
  </si>
  <si>
    <t>TK#10 2007 Peterbilt Chassis MBL (Tax)</t>
  </si>
  <si>
    <t>12 In-Dash JVC Blue Tooth Stereos</t>
  </si>
  <si>
    <t>TK#15 2011 Peterbilt 32</t>
  </si>
  <si>
    <t>TK#15 Compactor System</t>
  </si>
  <si>
    <t>TK#24-2012 Peterbilt 320 Front Loader Packer</t>
  </si>
  <si>
    <t>TK#27-2012 Peterbilt 365 Drop Box Truck</t>
  </si>
  <si>
    <t>TK#7 (3BPZLJOX3EF242064)</t>
  </si>
  <si>
    <t>TK#10 Engine Rebuild</t>
  </si>
  <si>
    <t>TK#4 2015 (3BPZLJOX9GF107108)</t>
  </si>
  <si>
    <t>TK#4 New 2015 (3BPZLJOX9GF107108)</t>
  </si>
  <si>
    <t>TK#15 Catalyst Module Repair</t>
  </si>
  <si>
    <t>TK#24 Turbocharger</t>
  </si>
  <si>
    <t>TK#15 Air Actuator &amp; Grabber Cylinder</t>
  </si>
  <si>
    <t>TK#6 Chassis (3BXLJ0X3JF184323)</t>
  </si>
  <si>
    <t>TK#15 Steering Wheel Assembly Repair</t>
  </si>
  <si>
    <t>TK#2 Engine Jake and Coolant Lines Repair</t>
  </si>
  <si>
    <t>Welding on Pivot Arms and Purchase 2 Grabbe</t>
  </si>
  <si>
    <t>TK#30P Dump Trailer Chassis</t>
  </si>
  <si>
    <t>TK#6 Front Loader Body</t>
  </si>
  <si>
    <t>TK#10 Cooling System and Injectors Work</t>
  </si>
  <si>
    <t>TK#30P Painting</t>
  </si>
  <si>
    <t>TK#70 (VIN#1NPSL70X6KD498666)</t>
  </si>
  <si>
    <t>TK#24 ICP Kit</t>
  </si>
  <si>
    <t>TK#70 Rolloff Chassis and Mounting</t>
  </si>
  <si>
    <t>TK#70 Painting</t>
  </si>
  <si>
    <t>TL128 - Painting</t>
  </si>
  <si>
    <t>TK#24 Brake Repair/Filter Replacement</t>
  </si>
  <si>
    <t>TK#15 Replace Front Differential</t>
  </si>
  <si>
    <t>TL128 - Springs and Hinges</t>
  </si>
  <si>
    <t>TK#70 Licensing</t>
  </si>
  <si>
    <t>TK#10 Transmission Replacement</t>
  </si>
  <si>
    <t>TK#39 Fuel Pump Replacement</t>
  </si>
  <si>
    <t>TK#24 Dosing Unit Repair</t>
  </si>
  <si>
    <t>TK#24 Electrical Work in Engine Harness</t>
  </si>
  <si>
    <t>TK#4 Combined Flow Block</t>
  </si>
  <si>
    <t>TK#7 Stack Valve and Lift Control Valve</t>
  </si>
  <si>
    <t>TK#27 Install New Harness and Gaskets</t>
  </si>
  <si>
    <t>TK#24 Replacement of ECM and Fuel Pump</t>
  </si>
  <si>
    <t>TK#15 Injection Pump Replacement</t>
  </si>
  <si>
    <t>TK#7 New Chassis</t>
  </si>
  <si>
    <t>TK#10 Lift Control Valve</t>
  </si>
  <si>
    <t>TK#9 (1NPCLPOXXLD663530)</t>
  </si>
  <si>
    <t>TK#15 Replace 23YD Cylinder</t>
  </si>
  <si>
    <t>TK#9 Licensing</t>
  </si>
  <si>
    <t>New Mobile #29 Painting</t>
  </si>
  <si>
    <t>Old TK#29 (WCE) Body Swap to New TK#29</t>
  </si>
  <si>
    <t>TK#15 Pump Replacement</t>
  </si>
  <si>
    <t>TK#39 23YD Cylinder w/Scrapers</t>
  </si>
  <si>
    <t>TK#15 Turbocharger Replacement</t>
  </si>
  <si>
    <t>TK#39 Hydraulic Valve Replacement</t>
  </si>
  <si>
    <t>TK#39 (3BPDLI0X7LF109038)</t>
  </si>
  <si>
    <t>TK#39 Graber Cylinder 7000</t>
  </si>
  <si>
    <t>TK#15 New Computer System</t>
  </si>
  <si>
    <t>TK#29 Triple Cam System</t>
  </si>
  <si>
    <t>61    FL Trailer (Shared)</t>
  </si>
  <si>
    <t>73    TK#8 2005 F250 Ford Pickup</t>
  </si>
  <si>
    <t>155    2010 Toyota Prius-Hybrid Car</t>
  </si>
  <si>
    <t>162    TK#13 2010 Ford F250</t>
  </si>
  <si>
    <t>172    TK#39 Ford F-350</t>
  </si>
  <si>
    <t>183    TK#41 2012 Ford F250</t>
  </si>
  <si>
    <t>268    TK#41 AC Clutch Repair</t>
  </si>
  <si>
    <t xml:space="preserve">61 </t>
  </si>
  <si>
    <t xml:space="preserve">73 </t>
  </si>
  <si>
    <t>155</t>
  </si>
  <si>
    <t>162</t>
  </si>
  <si>
    <t>172</t>
  </si>
  <si>
    <t>183</t>
  </si>
  <si>
    <t>268</t>
  </si>
  <si>
    <t>287</t>
  </si>
  <si>
    <t>288</t>
  </si>
  <si>
    <t>319</t>
  </si>
  <si>
    <t>287    TK#1 2018 F-150 (VIN #1FTFW1E50JFA7276</t>
  </si>
  <si>
    <t xml:space="preserve">288    TK#55 2018 F-150 (VIN #1FTFW1EG5JFA65   </t>
  </si>
  <si>
    <t xml:space="preserve">319    TK#55 Body Damage Repair      </t>
  </si>
  <si>
    <t>14    Improvements on Bathroom                                   10/19/00</t>
  </si>
  <si>
    <t>16    Remodel 2 Downstairs Bathroom and Office Ar    11/10/00</t>
  </si>
  <si>
    <t>18    Water/Oil Separator - Wash Rack                          12/28/00</t>
  </si>
  <si>
    <t>19    Continue Downstairs Office/Bathrooms Remod    12/01/00</t>
  </si>
  <si>
    <t>20    Office Remodel (Vaccuum Racks)                           1/11/01</t>
  </si>
  <si>
    <t>21    Remodel Larry Lampkin's Office                             2/15/01</t>
  </si>
  <si>
    <t>22    Siding on Front Building                                          3/31/01</t>
  </si>
  <si>
    <t>24    610 Series Rolling Door                                           4/19/01</t>
  </si>
  <si>
    <t>25    Extend Dry System on Wash Rack                          4/19/01</t>
  </si>
  <si>
    <t>26    Wash Bay Improvements                                         4/30/01</t>
  </si>
  <si>
    <t>27    Schlecht Wash Rack Roof                                        4/30/01</t>
  </si>
  <si>
    <t>32    Oil/Water Separator                                                  8/23/01</t>
  </si>
  <si>
    <t>33    Parking Lot Improvements                                       9/24/01</t>
  </si>
  <si>
    <t>36    Improvements on Fire Sprinkler System                  5/31/02</t>
  </si>
  <si>
    <t>40    Chain Link Fence                                                    10/23/02</t>
  </si>
  <si>
    <t>43    Concrete for Improvements - Woodland Boney      5/27/03</t>
  </si>
  <si>
    <t>Improvements Woodland Boneyard</t>
  </si>
  <si>
    <t>Concrete for Improvements - Woodland Boney</t>
  </si>
  <si>
    <t>Remodeling Woodland Boneyard</t>
  </si>
  <si>
    <t>Concrete Work at Woodland Boneyard</t>
  </si>
  <si>
    <t>Concrete at Woodland Boneyard</t>
  </si>
  <si>
    <t>Oil Separator at Woodland Boneyard</t>
  </si>
  <si>
    <t>Land Improvements - Rock Driveway</t>
  </si>
  <si>
    <t xml:space="preserve">9    Office Remodel     </t>
  </si>
  <si>
    <t xml:space="preserve">10    Water/Oil Separator - Boneyard      </t>
  </si>
  <si>
    <t xml:space="preserve">12    Finish Downstairs Office    </t>
  </si>
  <si>
    <t>2    Band Saw</t>
  </si>
  <si>
    <t>3    Hougen Drill</t>
  </si>
  <si>
    <t>4    Fire Hose</t>
  </si>
  <si>
    <t>42    IR Roller - (1/6 Share)</t>
  </si>
  <si>
    <t>156    Wood Splitter - TW - 5FC</t>
  </si>
  <si>
    <t>182    Trailblazer 302 Diesel Powered Welder</t>
  </si>
  <si>
    <t>29    Goodwill - Woodland</t>
  </si>
  <si>
    <t>30    Covenant Not to Compete</t>
  </si>
  <si>
    <t>Total Other</t>
  </si>
  <si>
    <t>Other</t>
  </si>
  <si>
    <t>Pre-Acquistion Asset Adds</t>
  </si>
  <si>
    <t>103    A/R Software                                                            8/28/06</t>
  </si>
  <si>
    <t>104    Computer for Larry                                                  3/10/06</t>
  </si>
  <si>
    <t>164    2 OptiPlex Dell 360 Minitower Computers            12/17/09</t>
  </si>
  <si>
    <t>189    2 IMAC Apple Computers                                      11/25/11</t>
  </si>
  <si>
    <t>192    Dell Computer (XPS 8300)-Terri Turner Office      4/01/12</t>
  </si>
  <si>
    <t>195    Dell Computer (Inspiron 660s Fast Track 0205)    11/30/12</t>
  </si>
  <si>
    <t>196    Dell Latitude E6430 Notebook Laptop                   11/30/12</t>
  </si>
  <si>
    <t>197    Konica Minolta 601 Copier (Serial #101910)        12/30/12</t>
  </si>
  <si>
    <t>200    1 Dell Computer (Inspiron 660)                               2/01/13</t>
  </si>
  <si>
    <t>227    Computer - Truck Shop                                            2/05/14</t>
  </si>
  <si>
    <t>Total Pre-Acq Adds</t>
  </si>
  <si>
    <t>Check</t>
  </si>
  <si>
    <t xml:space="preserve">Waste Control Properties </t>
  </si>
  <si>
    <t>Price Per SQ FT</t>
  </si>
  <si>
    <t>Property Address</t>
  </si>
  <si>
    <t>Discription of Use</t>
  </si>
  <si>
    <t>(2020 Property Tax)</t>
  </si>
  <si>
    <t>Property Taxes</t>
  </si>
  <si>
    <t>Parcel #</t>
  </si>
  <si>
    <t>1208 River RD Longview 98632</t>
  </si>
  <si>
    <t xml:space="preserve">North Bonyard - Storage </t>
  </si>
  <si>
    <t>1226 River RD Longview 98632</t>
  </si>
  <si>
    <t>River Rd Longview WA 98632</t>
  </si>
  <si>
    <t>Rollcart Storage</t>
  </si>
  <si>
    <t>950 3rd Ave Longview 98632</t>
  </si>
  <si>
    <t>1150 3rd Ave Longview 98632</t>
  </si>
  <si>
    <t>Employee Parking Lot</t>
  </si>
  <si>
    <t>Office Building</t>
  </si>
  <si>
    <t>1120 3rd Ave Longview 98632</t>
  </si>
  <si>
    <t>Truck Shop, Washbay,  Storage, Opps Building</t>
  </si>
  <si>
    <t>Truck Shop &amp; Washbay</t>
  </si>
  <si>
    <t>1152 River RD Longview 98632</t>
  </si>
  <si>
    <t>Building C/Parking along Dike behind Building C</t>
  </si>
  <si>
    <t>Building E. - Scrap Metal Area</t>
  </si>
  <si>
    <t>1154 River RD Longview 98632</t>
  </si>
  <si>
    <t>Building D/Parking along Dike/Break house</t>
  </si>
  <si>
    <t xml:space="preserve">Driver Building </t>
  </si>
  <si>
    <t>% Hauling (2032) Operations</t>
  </si>
  <si>
    <t>% Non-Hauling (2031) Operations</t>
  </si>
  <si>
    <t>Descr</t>
  </si>
  <si>
    <t>Container Count</t>
  </si>
  <si>
    <t>In Service Date</t>
  </si>
  <si>
    <t>Acq Date</t>
  </si>
  <si>
    <t>CER #</t>
  </si>
  <si>
    <t>Asset Account</t>
  </si>
  <si>
    <t>Accum Account</t>
  </si>
  <si>
    <t>Accum Life to Date</t>
  </si>
  <si>
    <t>NBV</t>
  </si>
  <si>
    <t>Accum YTD</t>
  </si>
  <si>
    <t>Expense Account</t>
  </si>
  <si>
    <t>Current Depr</t>
  </si>
  <si>
    <t>Acq Type</t>
  </si>
  <si>
    <t>Former Company</t>
  </si>
  <si>
    <t>Invoice #</t>
  </si>
  <si>
    <t>Company Asset #</t>
  </si>
  <si>
    <t>Book</t>
  </si>
  <si>
    <t>Activity Cd</t>
  </si>
  <si>
    <t>Depr Meth</t>
  </si>
  <si>
    <t>Beg Date</t>
  </si>
  <si>
    <t>Dbase</t>
  </si>
  <si>
    <t>Seq</t>
  </si>
  <si>
    <t>Beg Depr</t>
  </si>
  <si>
    <t>P</t>
  </si>
  <si>
    <t>Waste Control Land</t>
  </si>
  <si>
    <t>A</t>
  </si>
  <si>
    <t>Waste Control</t>
  </si>
  <si>
    <t>Internal</t>
  </si>
  <si>
    <t>NO</t>
  </si>
  <si>
    <t>WCNX</t>
  </si>
  <si>
    <t>Waste Control Buildings</t>
  </si>
  <si>
    <t>District</t>
  </si>
  <si>
    <t>Asset #</t>
  </si>
  <si>
    <t>Parent/ Child</t>
  </si>
  <si>
    <t>Fab Shop Building</t>
  </si>
  <si>
    <t>Main Office Building &amp; Shop - Land</t>
  </si>
  <si>
    <t>Bone Yard/TS/Portal Building/Truck Parking</t>
  </si>
  <si>
    <t>Combined Summary - This Section to Proforma</t>
  </si>
  <si>
    <t>+</t>
  </si>
  <si>
    <t>=</t>
  </si>
  <si>
    <t>Waste Control, Inc. G-101</t>
  </si>
  <si>
    <t>T-Stn Building</t>
  </si>
  <si>
    <t>Decant Building</t>
  </si>
  <si>
    <t>Building C - Recycle Processing</t>
  </si>
  <si>
    <t>Building E - Recycle Processing</t>
  </si>
  <si>
    <t>Building D - Recycle Processing</t>
  </si>
  <si>
    <t>ACT</t>
  </si>
  <si>
    <t>Square Footage of Lot/Building</t>
  </si>
  <si>
    <t>LAND ALLOCATION</t>
  </si>
  <si>
    <t>BUILDING ALLOCATION</t>
  </si>
  <si>
    <t>% of Total Sq Ft.</t>
  </si>
  <si>
    <t xml:space="preserve"> Cost Apportionment</t>
  </si>
  <si>
    <t>Ops Building</t>
  </si>
  <si>
    <t>RH</t>
  </si>
  <si>
    <t>2032</t>
  </si>
  <si>
    <t/>
  </si>
  <si>
    <t>Freight</t>
  </si>
  <si>
    <t>50% Revenue/50% Billed Cust</t>
  </si>
  <si>
    <t xml:space="preserve">Office Bldg </t>
  </si>
  <si>
    <t>Bld Sq Ft.</t>
  </si>
  <si>
    <t>Avg. of Bldg's</t>
  </si>
  <si>
    <t>2031 Cost</t>
  </si>
  <si>
    <t>2032 Cost/NBV</t>
  </si>
  <si>
    <t>Roll-off Trucks</t>
  </si>
  <si>
    <t>Garbage Trucks</t>
  </si>
  <si>
    <t>Recycling Trucks</t>
  </si>
  <si>
    <t>GARBAGE CARTS</t>
  </si>
  <si>
    <t>CONTAINERS</t>
  </si>
  <si>
    <t>NON-REG - WOODLAND CARTS</t>
  </si>
  <si>
    <t>Non-Reg - Woodland Carts</t>
  </si>
  <si>
    <t>TOTAL ROLL OFF TRUCKS</t>
  </si>
  <si>
    <t>TOTAL LONG HAUL TRUCKS</t>
  </si>
  <si>
    <t>Long Haul Trucks</t>
  </si>
  <si>
    <t>Container Delivery</t>
  </si>
  <si>
    <t>Goodwill items - did not include</t>
  </si>
  <si>
    <t>Total Building</t>
  </si>
  <si>
    <t>Buildings</t>
  </si>
  <si>
    <t>Post-Acquisition Assets From the FAR</t>
  </si>
  <si>
    <t>N</t>
  </si>
  <si>
    <t>Mixed Route Trucks</t>
  </si>
  <si>
    <t>2032-20-0006-1</t>
  </si>
  <si>
    <t>RW SALES</t>
  </si>
  <si>
    <t>Supervisor Office and Driver Room Furniture</t>
  </si>
  <si>
    <t>Dump Truck</t>
  </si>
  <si>
    <t>Ford</t>
  </si>
  <si>
    <t>1FDUF5GT4DEA05641</t>
  </si>
  <si>
    <t>2013 Ford F-350 4X4 with Dump Bed</t>
  </si>
  <si>
    <t>Peterbilt</t>
  </si>
  <si>
    <t>1NPTL4TX78D750318</t>
  </si>
  <si>
    <t>2008 Peterbilt 367 (Dump)</t>
  </si>
  <si>
    <t>1NPCX40X1MD663534</t>
  </si>
  <si>
    <t>2021 Peterbilt 378 (Dump)</t>
  </si>
  <si>
    <t>1NPCX4EX0LD638924</t>
  </si>
  <si>
    <t>2020 Peterbilt 567 (Dump)</t>
  </si>
  <si>
    <t>FEL Truck</t>
  </si>
  <si>
    <t>1NPZL00X67D717249</t>
  </si>
  <si>
    <t>2007 Peterbilt 320 (Front Load)</t>
  </si>
  <si>
    <t>3BPZL50X0CF162869</t>
  </si>
  <si>
    <t>2012 Peterbilt 320 (Front Load)</t>
  </si>
  <si>
    <t>3BPZLJ0X3JF184323</t>
  </si>
  <si>
    <t>2018 Peterbilt 320 (Front Load)</t>
  </si>
  <si>
    <t>R/O Truck</t>
  </si>
  <si>
    <t>1XPZL59XXRD707560</t>
  </si>
  <si>
    <t>1993 Peterbilt 320 (Roll-Off)</t>
  </si>
  <si>
    <t>1NPAL00X53D596351</t>
  </si>
  <si>
    <t>2003 Peterbilt 357 (Roll-Off)</t>
  </si>
  <si>
    <t>1NPAL00X73D596352</t>
  </si>
  <si>
    <t>1NPALB0X14D829980</t>
  </si>
  <si>
    <t>2004 Peterbilt 357 (Roll-Off)</t>
  </si>
  <si>
    <t>1NPSL00X79D778288</t>
  </si>
  <si>
    <t>2009 Peterbilt 365 (Roll-Off)</t>
  </si>
  <si>
    <t>1NPSL70X0CD159502</t>
  </si>
  <si>
    <t>2012 Peterbilt 365 (Roll-Off)</t>
  </si>
  <si>
    <t>1NPSL70X9DD210609</t>
  </si>
  <si>
    <t>2013 Peterbilt 365 (Roll-Off)</t>
  </si>
  <si>
    <t>1NPSL70X6KD498666</t>
  </si>
  <si>
    <t>2019 Peterbilt 567 (Roll-Off)</t>
  </si>
  <si>
    <t>1NPSL70X8KD498667</t>
  </si>
  <si>
    <t>1NPCLP0XXLD663530</t>
  </si>
  <si>
    <t>2020 Peterbilt 567 (Roll-Off)</t>
  </si>
  <si>
    <t>Automated Sideload</t>
  </si>
  <si>
    <t>Heil</t>
  </si>
  <si>
    <t>1NPZL00X72D714160</t>
  </si>
  <si>
    <t>2002 Peterbilt 320 (Side Loader)</t>
  </si>
  <si>
    <t>3BPZL00X58F718099</t>
  </si>
  <si>
    <t>2008 Peterbilt 320 (Side Loader)</t>
  </si>
  <si>
    <t>3BPZL00X4BF117774</t>
  </si>
  <si>
    <t>2011 Peterbilt 320 (Side Loader)</t>
  </si>
  <si>
    <t>3BPZL00X6BF117775</t>
  </si>
  <si>
    <t>3BPZL50X9CF153216</t>
  </si>
  <si>
    <t>2012 Peterbilt 320 (Side Loader)</t>
  </si>
  <si>
    <t>3BPZL50X0CF153217</t>
  </si>
  <si>
    <t>3BPZL50X1DF205004</t>
  </si>
  <si>
    <t>2013 Peterbilt 320 (Side Loader)</t>
  </si>
  <si>
    <t>3BPZL50X3DF205005</t>
  </si>
  <si>
    <t>3BPZU0X9GF107108</t>
  </si>
  <si>
    <t>2016 Peterbilt 320 (Side Loader)</t>
  </si>
  <si>
    <t>1NPALB0X34D829981</t>
  </si>
  <si>
    <t>3BPDLJ0X8JF192945</t>
  </si>
  <si>
    <t>2018 Peterbilt 520 (Side Loader)</t>
  </si>
  <si>
    <t>Pick Up Truck</t>
  </si>
  <si>
    <t>1FTNF20F43EA52551</t>
  </si>
  <si>
    <t>2003 Ford F-250 (3/4 Ton) (Pick-up)</t>
  </si>
  <si>
    <t>1FTSF2AR4AEA53353</t>
  </si>
  <si>
    <t>2010 Ford F-250 (3/4 Ton) (Pick-up)</t>
  </si>
  <si>
    <t>1FTSF2BR4AEA70023</t>
  </si>
  <si>
    <t>1FTBF2BT2CEA82749</t>
  </si>
  <si>
    <t>2012 Ford F-250 (3/4 Ton) (Pick-up)</t>
  </si>
  <si>
    <t>1FDRF3HT9HED45785</t>
  </si>
  <si>
    <t>2017 Ford F-250 (3/4 Ton) (Pick-up)</t>
  </si>
  <si>
    <t>1FDRF3HT0HED45786</t>
  </si>
  <si>
    <t>1FTBF2BT4HEF00087</t>
  </si>
  <si>
    <t>Passenger Car</t>
  </si>
  <si>
    <t>Toyota</t>
  </si>
  <si>
    <t>JTDKN3DU8A0026811</t>
  </si>
  <si>
    <t>2010 Toyota Prius (CAR)</t>
  </si>
  <si>
    <t>Transfer Trailer</t>
  </si>
  <si>
    <t>Cascade</t>
  </si>
  <si>
    <t>1C9RS22304R337087</t>
  </si>
  <si>
    <t>2004 Cascade  (Drop Box - w/Auto Tarp)</t>
  </si>
  <si>
    <t>1 YD FEL/REL/SL Metal</t>
  </si>
  <si>
    <t>1 - 1.5  CY Front Load</t>
  </si>
  <si>
    <t>2 YD FEL/REL/SL Metal</t>
  </si>
  <si>
    <t>2 CY Front Load</t>
  </si>
  <si>
    <t>3 YD FEL/REL/SL Metal</t>
  </si>
  <si>
    <t>3 CY Front Load</t>
  </si>
  <si>
    <t>4 YD FEL/REL/SL Metal</t>
  </si>
  <si>
    <t>4 CY Front Load</t>
  </si>
  <si>
    <t>5 YD FEL/REL/SL Metal</t>
  </si>
  <si>
    <t>5 CY Front Load</t>
  </si>
  <si>
    <t>6 YD FEL/REL/SL Metal</t>
  </si>
  <si>
    <t>6 CY Front Load</t>
  </si>
  <si>
    <t>20 YD RO Box</t>
  </si>
  <si>
    <t>20 yd RO Boxes</t>
  </si>
  <si>
    <t>25 YD RO Box</t>
  </si>
  <si>
    <t>25 yd RO Boxes</t>
  </si>
  <si>
    <t>30 YD RO Box</t>
  </si>
  <si>
    <t>30 yd RO Boxes</t>
  </si>
  <si>
    <t>40 YD RO Box</t>
  </si>
  <si>
    <t>40 yd RO Boxes</t>
  </si>
  <si>
    <t>Non-Container Audit</t>
  </si>
  <si>
    <t>32 Gallon Carts</t>
  </si>
  <si>
    <t>60 Gallon Carts</t>
  </si>
  <si>
    <t>90 Gallon Carts</t>
  </si>
  <si>
    <t>300 Gallon Plastic Tubs</t>
  </si>
  <si>
    <t>Waste Control Shop Equipment</t>
  </si>
  <si>
    <t>Waste Control Office Equipment</t>
  </si>
  <si>
    <t>rr</t>
  </si>
  <si>
    <t>Waste Control Comm Cust List</t>
  </si>
  <si>
    <t>rg</t>
  </si>
  <si>
    <t>City of Kalama</t>
  </si>
  <si>
    <t>ri</t>
  </si>
  <si>
    <t>City of Longview</t>
  </si>
  <si>
    <t>rj</t>
  </si>
  <si>
    <t>City of Kelso</t>
  </si>
  <si>
    <t>rk</t>
  </si>
  <si>
    <t>City of Castle Rock</t>
  </si>
  <si>
    <t>rl</t>
  </si>
  <si>
    <t>City of Woodland</t>
  </si>
  <si>
    <t>rn</t>
  </si>
  <si>
    <t>Cowlitz County</t>
  </si>
  <si>
    <t>ro</t>
  </si>
  <si>
    <t>Nippon Dynawave Packaging</t>
  </si>
  <si>
    <t>rp</t>
  </si>
  <si>
    <t>Norpac</t>
  </si>
  <si>
    <t>rq</t>
  </si>
  <si>
    <t>Westrock</t>
  </si>
  <si>
    <t>Waste Control G-Cert</t>
  </si>
  <si>
    <t>June Goodwill</t>
  </si>
  <si>
    <t>Waste Control - FAS 141R Acq. Costs</t>
  </si>
  <si>
    <t>P-Tax</t>
  </si>
  <si>
    <t>2032-20-0009-1</t>
  </si>
  <si>
    <t>REHRIG PACIFIC COMPANY IN</t>
  </si>
  <si>
    <t>65 Gal Resi MSW Carts</t>
  </si>
  <si>
    <t>2032-20-0009-2</t>
  </si>
  <si>
    <t>65 Gal Resi Recycle Carts</t>
  </si>
  <si>
    <t>2032-20-0009-3</t>
  </si>
  <si>
    <t>95 Gal Resi MSW Carts</t>
  </si>
  <si>
    <t>2032-20-0009-4</t>
  </si>
  <si>
    <t>95 Gal Resi Recycle Carts</t>
  </si>
  <si>
    <t>ZJT5572</t>
  </si>
  <si>
    <t>2032-20-0005-1</t>
  </si>
  <si>
    <t>CDW</t>
  </si>
  <si>
    <t>Office Manager Laptop SN:5CG0155VMX</t>
  </si>
  <si>
    <t>ZJT7917</t>
  </si>
  <si>
    <t>Docking Station for Office Manager Laptop</t>
  </si>
  <si>
    <t>ZJT5568</t>
  </si>
  <si>
    <t>Accounting Manager Laptop SN:5CG015DL11</t>
  </si>
  <si>
    <t>ZJT7923</t>
  </si>
  <si>
    <t>Docking Station for Acct Manager Laptop</t>
  </si>
  <si>
    <t>2032-20-0010-1</t>
  </si>
  <si>
    <t>WASTEQUIP LLC</t>
  </si>
  <si>
    <t>20 Yd RO Boxes</t>
  </si>
  <si>
    <t>0071872-IN</t>
  </si>
  <si>
    <t>2032-20-0002-1</t>
  </si>
  <si>
    <t>ARI Phoenix, Inc.</t>
  </si>
  <si>
    <t>Tailgate Stands</t>
  </si>
  <si>
    <t>L437243-00 Saw</t>
  </si>
  <si>
    <t>LG Isaacson</t>
  </si>
  <si>
    <t>10" Table Saw for Shop</t>
  </si>
  <si>
    <t>L437399</t>
  </si>
  <si>
    <t>2032-20-0002-2</t>
  </si>
  <si>
    <t>L.G. Isaacson</t>
  </si>
  <si>
    <t>Pipe Bender for Shop</t>
  </si>
  <si>
    <t>DATA HARDWARE DEPOT</t>
  </si>
  <si>
    <t>Network Equipment for the Waste Control acquisition</t>
  </si>
  <si>
    <t>Grainger</t>
  </si>
  <si>
    <t>Rolling shop ladder</t>
  </si>
  <si>
    <t>Gray Manufacturing Co., I</t>
  </si>
  <si>
    <t>50,000lb Air/Hydr Truck Service Jack; Portable truck ramps; stands; stands; etc.</t>
  </si>
  <si>
    <t>WEB1690131916</t>
  </si>
  <si>
    <t>Disc Sander (2)</t>
  </si>
  <si>
    <t>Fireproof Cabinets for Shop</t>
  </si>
  <si>
    <t>L437243-00 Power</t>
  </si>
  <si>
    <t>10 Ton Porta Power Set for Shop</t>
  </si>
  <si>
    <t>Forklift Jack &amp; Stands</t>
  </si>
  <si>
    <t>ZFJ0845</t>
  </si>
  <si>
    <t>Winterms for shop &amp; office</t>
  </si>
  <si>
    <t>ZFJ0857</t>
  </si>
  <si>
    <t>ZFB8582</t>
  </si>
  <si>
    <t>Display port to HDMI video converter &amp; adapter</t>
  </si>
  <si>
    <t>ZFB8576</t>
  </si>
  <si>
    <t>Winterms for shop &amp; office; monitors</t>
  </si>
  <si>
    <t>July Goodwill</t>
  </si>
  <si>
    <t>ST-1</t>
  </si>
  <si>
    <t>2032-20-0001</t>
  </si>
  <si>
    <t>Service Truck</t>
  </si>
  <si>
    <t>1FDBF2A68KED72662</t>
  </si>
  <si>
    <t>2019 Ford Service Truck</t>
  </si>
  <si>
    <t>2032-20-0010-2</t>
  </si>
  <si>
    <t>30 Yd Roll Off Boxes</t>
  </si>
  <si>
    <t>30Yd Roll Off Boxes</t>
  </si>
  <si>
    <t>2032-20-0010-3</t>
  </si>
  <si>
    <t>40 Yd Roll Off Boxes</t>
  </si>
  <si>
    <t>40Yd Roll Off Boxes</t>
  </si>
  <si>
    <t>C-14</t>
  </si>
  <si>
    <t>U052010017</t>
  </si>
  <si>
    <t>Container Delivery Truck</t>
  </si>
  <si>
    <t>International</t>
  </si>
  <si>
    <t>1HTSCAAM31H369349</t>
  </si>
  <si>
    <t>2001 Int'l Model 4700 CD Truck  w/ Lift Gate</t>
  </si>
  <si>
    <t>JE# 79811</t>
  </si>
  <si>
    <t>Steel &amp; Floor Plates for Used 2001 CD Truck</t>
  </si>
  <si>
    <t>JE# 82097</t>
  </si>
  <si>
    <t>Non-Rolling Stock</t>
  </si>
  <si>
    <t>2001 Int'l CD Truck w/ Lift Gate-Sales Tax</t>
  </si>
  <si>
    <t>2010-14-0022-1</t>
  </si>
  <si>
    <t>Non Rolling Stock</t>
  </si>
  <si>
    <t>Brattain International</t>
  </si>
  <si>
    <t>Cap Repair - Engine</t>
  </si>
  <si>
    <t>02-561815</t>
  </si>
  <si>
    <t>2032-20-0008-2</t>
  </si>
  <si>
    <t>ELKHART PLASTICS INC</t>
  </si>
  <si>
    <t>300 Gal Tubs base, lid &amp; hatch</t>
  </si>
  <si>
    <t>Tubs lid &amp; hatch only</t>
  </si>
  <si>
    <t>2032-20-0011-1</t>
  </si>
  <si>
    <t>Lytx, Inc.</t>
  </si>
  <si>
    <t>(41) Drivecam Units for 2032 Fleet</t>
  </si>
  <si>
    <t>Gray Manufacturing</t>
  </si>
  <si>
    <t>Oil Filter Crusher</t>
  </si>
  <si>
    <t>August Goodwill</t>
  </si>
  <si>
    <t>02-569755</t>
  </si>
  <si>
    <t>2032-20-0008-1</t>
  </si>
  <si>
    <t>35 Gal Carts Green</t>
  </si>
  <si>
    <t>300 Gal Tubs base only</t>
  </si>
  <si>
    <t>02-565483</t>
  </si>
  <si>
    <t>300 Gal Tubs</t>
  </si>
  <si>
    <t>300 Gal Tub lids &amp; hatch only</t>
  </si>
  <si>
    <t>Licensing for Service Truck</t>
  </si>
  <si>
    <t>2032-20-0014-1</t>
  </si>
  <si>
    <t>94-3283464</t>
  </si>
  <si>
    <t>65 Gal Green MSW Carts</t>
  </si>
  <si>
    <t>95 Gal Green MSW Carts</t>
  </si>
  <si>
    <t>95 Gal Blue MSW Carts</t>
  </si>
  <si>
    <t>L437243B</t>
  </si>
  <si>
    <t>Drill Press</t>
  </si>
  <si>
    <t>Global industrial</t>
  </si>
  <si>
    <t>Trailer Jack Stands</t>
  </si>
  <si>
    <t>Gray Manufacturing Co. In</t>
  </si>
  <si>
    <t>Truck Jack</t>
  </si>
  <si>
    <t>Emerson Manufacturing</t>
  </si>
  <si>
    <t>Cylinder Lock Kit</t>
  </si>
  <si>
    <t>Transmission Jack</t>
  </si>
  <si>
    <t>September Goodwill</t>
  </si>
  <si>
    <t>Waste Control- FAS 141R Acq. Costs</t>
  </si>
  <si>
    <t>02-572922</t>
  </si>
  <si>
    <t>300 Gal Brown Tubs base only with logo</t>
  </si>
  <si>
    <t>HP ProBook 640-SN: 5CG014D898- Maint. Manager</t>
  </si>
  <si>
    <t>20INV000001492</t>
  </si>
  <si>
    <t>2032-20-0012-1</t>
  </si>
  <si>
    <t>20YD Roll off Boxes</t>
  </si>
  <si>
    <t>20INV000001494</t>
  </si>
  <si>
    <t>40YD Roll Off Boxes</t>
  </si>
  <si>
    <t>20INV000001060</t>
  </si>
  <si>
    <t>30YD Rolloff Boxes</t>
  </si>
  <si>
    <t>20INV000001496</t>
  </si>
  <si>
    <t>2032-20-0013-1</t>
  </si>
  <si>
    <t>4YD FEL Containers</t>
  </si>
  <si>
    <t>TR62739</t>
  </si>
  <si>
    <t>02-2011-005</t>
  </si>
  <si>
    <t>Rehrig Pacific</t>
  </si>
  <si>
    <t>350201-350315</t>
  </si>
  <si>
    <t>35 Gallon Carts - Dark Aqua Blue</t>
  </si>
  <si>
    <t>01-2011-001</t>
  </si>
  <si>
    <t>Otto Industries</t>
  </si>
  <si>
    <t>9150000001-9150000100</t>
  </si>
  <si>
    <t>95 gallon Roll Carts</t>
  </si>
  <si>
    <t>TR62152</t>
  </si>
  <si>
    <t>01-2011-002</t>
  </si>
  <si>
    <t>65 Gallon Roll Carts</t>
  </si>
  <si>
    <t>November Goodwill</t>
  </si>
  <si>
    <t>2032-20-0016-1</t>
  </si>
  <si>
    <t>COMPLETE TABLET SOLUTIONS</t>
  </si>
  <si>
    <t>37- Tablets for trucks</t>
  </si>
  <si>
    <t>SI139364</t>
  </si>
  <si>
    <t>2032-20-0004-1</t>
  </si>
  <si>
    <t>Forklift</t>
  </si>
  <si>
    <t>CAT</t>
  </si>
  <si>
    <t>AT14G00237</t>
  </si>
  <si>
    <t>2020 CAT DP 30N Pnuematic Forklift</t>
  </si>
  <si>
    <t>SI-1177153</t>
  </si>
  <si>
    <t>PROCLIPUSA</t>
  </si>
  <si>
    <t>37 Tablet mounts for RouteTabs</t>
  </si>
  <si>
    <t>NW SECURITY AND CONSTRUCT</t>
  </si>
  <si>
    <t>Hardware for Internet at Ops Building</t>
  </si>
  <si>
    <t>07-4025-051</t>
  </si>
  <si>
    <t>1FVACWDC46HW82978</t>
  </si>
  <si>
    <t>CD body</t>
  </si>
  <si>
    <t>Transportation of show truck VIN#82978 from LV to Green Team</t>
  </si>
  <si>
    <t>V09000909</t>
  </si>
  <si>
    <t>06-1010-441</t>
  </si>
  <si>
    <t>K-Pac</t>
  </si>
  <si>
    <t>Freightliner</t>
  </si>
  <si>
    <t>2006 Freightliner CD Chassis</t>
  </si>
  <si>
    <t>Install tubular framing-Trk 65</t>
  </si>
  <si>
    <t>870181R</t>
  </si>
  <si>
    <t>DMV Use Tax - Vin W82978</t>
  </si>
  <si>
    <t>4025-9-0060-1</t>
  </si>
  <si>
    <t>N0N R0LL1NG ST0CK</t>
  </si>
  <si>
    <t>Carb Retrofit -trk 65  Vin HW82978</t>
  </si>
  <si>
    <t>02-2011-007</t>
  </si>
  <si>
    <t>Toter Inc</t>
  </si>
  <si>
    <t>X0282528-X0282577</t>
  </si>
  <si>
    <t>96 Gallon Roll Carts</t>
  </si>
  <si>
    <t>TR62664</t>
  </si>
  <si>
    <t>65 Gallon Carts - Aqua Blue</t>
  </si>
  <si>
    <t>LA144682</t>
  </si>
  <si>
    <t>2011-8-0014-1</t>
  </si>
  <si>
    <t>REHRIG PACIFIC CO.</t>
  </si>
  <si>
    <t>65 Gallon NB Carts - Green</t>
  </si>
  <si>
    <t>LA93705</t>
  </si>
  <si>
    <t>950001-950100</t>
  </si>
  <si>
    <t>35 Gallon Carts</t>
  </si>
  <si>
    <t>2032-21-0004-5</t>
  </si>
  <si>
    <t xml:space="preserve">Non-Container Audit </t>
  </si>
  <si>
    <t>95 Gal Light Brown Recycle Carts</t>
  </si>
  <si>
    <t>2032-21-0004-3</t>
  </si>
  <si>
    <t>95 Gal Resi MSW Carts- Green Lids</t>
  </si>
  <si>
    <t>2032-21-0004-4</t>
  </si>
  <si>
    <t>95 Gal Resi MSW Carts- Blue Lids</t>
  </si>
  <si>
    <t>95 Gal Resi MSW Carts- Dark Aqua</t>
  </si>
  <si>
    <t>2032-21-0004-1</t>
  </si>
  <si>
    <t>65 Gal Resi MSW Carts- Dark Aqua</t>
  </si>
  <si>
    <t>2032-21-0004-2</t>
  </si>
  <si>
    <t>65 Gal Resi Recycle Carts- Black Lid</t>
  </si>
  <si>
    <t>2011-8-0007-1</t>
  </si>
  <si>
    <t>New Way</t>
  </si>
  <si>
    <t>Autocar WX64</t>
  </si>
  <si>
    <t>5VCDC6MF47H204499</t>
  </si>
  <si>
    <t>N/A</t>
  </si>
  <si>
    <t>Adjustable Fork Assembly on FEL Truck</t>
  </si>
  <si>
    <t>005-29871</t>
  </si>
  <si>
    <t>2011-16-0040-1</t>
  </si>
  <si>
    <t>WCCI20740</t>
  </si>
  <si>
    <t>2032-21-0013-1</t>
  </si>
  <si>
    <t>WESTERN CASCADE CONTAINER</t>
  </si>
  <si>
    <t>20 Yd Drop Boxes</t>
  </si>
  <si>
    <t>20INV00017048</t>
  </si>
  <si>
    <t>2032-21-0006-1</t>
  </si>
  <si>
    <t>1 YD FEL Container</t>
  </si>
  <si>
    <t>1YD Flat Front Load Containers</t>
  </si>
  <si>
    <t>2032-21-0006-2</t>
  </si>
  <si>
    <t>2 YD FEL Container</t>
  </si>
  <si>
    <t>2YD Slant Front Load Containers</t>
  </si>
  <si>
    <t>2032-21-0006-3</t>
  </si>
  <si>
    <t>3 YD FEL Container</t>
  </si>
  <si>
    <t>3YD Slant Front Load Containers</t>
  </si>
  <si>
    <t>INV00084254</t>
  </si>
  <si>
    <t>2032-21-0012-1</t>
  </si>
  <si>
    <t>NOREGON SYSTEMS INC</t>
  </si>
  <si>
    <t>NOREGON Shop Laptop</t>
  </si>
  <si>
    <t>2032-21-0012-2</t>
  </si>
  <si>
    <t>Software</t>
  </si>
  <si>
    <t>20INV000017052</t>
  </si>
  <si>
    <t>2032-21-0006-5</t>
  </si>
  <si>
    <t>4 YD FEL Container</t>
  </si>
  <si>
    <t>4YD Flat FEL</t>
  </si>
  <si>
    <t>20INV000018470</t>
  </si>
  <si>
    <t>2032-21-0005-1</t>
  </si>
  <si>
    <t>30yd Metal Rolloff - Dome Lid</t>
  </si>
  <si>
    <t>20INV000018140</t>
  </si>
  <si>
    <t>30YD Metal Rolloff-Crank Up Dome Lid</t>
  </si>
  <si>
    <t>WCCI20781</t>
  </si>
  <si>
    <t>20 Yd RO Drop Boxes</t>
  </si>
  <si>
    <t>2032-21-0013-2</t>
  </si>
  <si>
    <t>30 Yd RO Drop Boxes</t>
  </si>
  <si>
    <t>113-1277408-7535415</t>
  </si>
  <si>
    <t>Amazon</t>
  </si>
  <si>
    <t>Diagnostic Adapter</t>
  </si>
  <si>
    <t>02-610924</t>
  </si>
  <si>
    <t>2032-21-0004-6</t>
  </si>
  <si>
    <t>300 Gal Plastic Tubs</t>
  </si>
  <si>
    <t>02-00613534</t>
  </si>
  <si>
    <t>300 Gal Tubs w/ Lid and Hatch</t>
  </si>
  <si>
    <t>02-00615881</t>
  </si>
  <si>
    <t>WCC120812</t>
  </si>
  <si>
    <t>2032-21-0013-3</t>
  </si>
  <si>
    <t>40Yd RO Drop Boxes</t>
  </si>
  <si>
    <t>2032-21-0002</t>
  </si>
  <si>
    <t>1NPCL40X1ND779152</t>
  </si>
  <si>
    <t>2022 Peterbilt ROL Truck</t>
  </si>
  <si>
    <t>1010-21-0038</t>
  </si>
  <si>
    <t>Drive Cams</t>
  </si>
  <si>
    <t>I-0000035398</t>
  </si>
  <si>
    <t>CUMMINS OSM</t>
  </si>
  <si>
    <t>Cummins software for new shop laptop</t>
  </si>
  <si>
    <t>WCCI20853</t>
  </si>
  <si>
    <t>Alaska Waste</t>
  </si>
  <si>
    <t>6.0 Cubic Yard Front Load Containers</t>
  </si>
  <si>
    <t>2032-21-0007</t>
  </si>
  <si>
    <t>3BPDLK0X2MF111044</t>
  </si>
  <si>
    <t>2021 Peterbilt ASL Truck</t>
  </si>
  <si>
    <t>2032-21-0008</t>
  </si>
  <si>
    <t>3BPDLK0X4MF111045</t>
  </si>
  <si>
    <t>Progressive Waste</t>
  </si>
  <si>
    <t>20Yd R/O Container</t>
  </si>
  <si>
    <t>Mountain Waste</t>
  </si>
  <si>
    <t>20 YD Rolloff</t>
  </si>
  <si>
    <t>Container Audit</t>
  </si>
  <si>
    <t>6 Yd Container</t>
  </si>
  <si>
    <t>U043031025</t>
  </si>
  <si>
    <t>Beaverbuilt</t>
  </si>
  <si>
    <t>25 Yard Roll Off Containers</t>
  </si>
  <si>
    <t>40 Yd R/O Containers</t>
  </si>
  <si>
    <t>30Yd R/O Container</t>
  </si>
  <si>
    <t>2032-21-0002-1</t>
  </si>
  <si>
    <t>SIGN PRINT 360</t>
  </si>
  <si>
    <t>Decals, Truck #76</t>
  </si>
  <si>
    <t>WA DOL LIC &amp; REG 80659</t>
  </si>
  <si>
    <t>Licensing, Truck #76</t>
  </si>
  <si>
    <t>2032-21-0003</t>
  </si>
  <si>
    <t>3BPDLK0X5NF111914</t>
  </si>
  <si>
    <t>2022 Peterbilt FEL Truck</t>
  </si>
  <si>
    <t>2032-21-0009</t>
  </si>
  <si>
    <t>3BPDLK0X6MF111046</t>
  </si>
  <si>
    <t>2032-21-0010</t>
  </si>
  <si>
    <t>3BPDLK0X8MF111047</t>
  </si>
  <si>
    <t>2032-21-0011</t>
  </si>
  <si>
    <t>3BPDLK0X5MF111152</t>
  </si>
  <si>
    <t>20INV000018344</t>
  </si>
  <si>
    <t>2032-21-0005-2</t>
  </si>
  <si>
    <t>30 Yd RO Open Top Dropboxes</t>
  </si>
  <si>
    <t>20INV000017050</t>
  </si>
  <si>
    <t>4 Yd Metal Cardboard Cages</t>
  </si>
  <si>
    <t>20INV000017152</t>
  </si>
  <si>
    <t>2032-21-0006-6</t>
  </si>
  <si>
    <t>5 YD FEL Container</t>
  </si>
  <si>
    <t>5 Yd Metal FEL Containers- Blue</t>
  </si>
  <si>
    <t>20INV000024070</t>
  </si>
  <si>
    <t>2032-21-0014-2</t>
  </si>
  <si>
    <t>20YD Drop Box</t>
  </si>
  <si>
    <t>20INV000024002</t>
  </si>
  <si>
    <t>2032-21-0014-4</t>
  </si>
  <si>
    <t>40YD RO Drop Box</t>
  </si>
  <si>
    <t>20INV000024554</t>
  </si>
  <si>
    <t>2032-21-0014-1</t>
  </si>
  <si>
    <t>20Yd Drop Box Lidded</t>
  </si>
  <si>
    <t>20INV000024938</t>
  </si>
  <si>
    <t>20Yd RO Drop Box Lidded</t>
  </si>
  <si>
    <t>20INV000024524</t>
  </si>
  <si>
    <t>2032-21-0014-3</t>
  </si>
  <si>
    <t>30Yd Drop Boxes</t>
  </si>
  <si>
    <t>20INV000016652</t>
  </si>
  <si>
    <t>1YD FEL containers</t>
  </si>
  <si>
    <t>2YD FEL containers</t>
  </si>
  <si>
    <t>2032-21-0006-4</t>
  </si>
  <si>
    <t>2032-21-0006-7</t>
  </si>
  <si>
    <t>6 YD FEL Container</t>
  </si>
  <si>
    <t>6YD FEL Containers</t>
  </si>
  <si>
    <t>2032-21-0003-1</t>
  </si>
  <si>
    <t>WSDOT COMMERCIAL VEHICLE</t>
  </si>
  <si>
    <t>WDOT Licensing</t>
  </si>
  <si>
    <t>DOL Licensing</t>
  </si>
  <si>
    <t>5700-10793877</t>
  </si>
  <si>
    <t>2032-21-0018-1</t>
  </si>
  <si>
    <t>SP   TENNANTRECON</t>
  </si>
  <si>
    <t>2016 Floor Scrubber</t>
  </si>
  <si>
    <t>2032-21-0017-1</t>
  </si>
  <si>
    <t>AMZN MKTP US KU0F04YH3</t>
  </si>
  <si>
    <t>HP PRODESK SN: MXL108302V</t>
  </si>
  <si>
    <t>2032-21-0015</t>
  </si>
  <si>
    <t>Shop Heaters</t>
  </si>
  <si>
    <t>20INV000024196</t>
  </si>
  <si>
    <t>20 Yd RO Lidded Dropboxes</t>
  </si>
  <si>
    <t>1010-21-0039</t>
  </si>
  <si>
    <t>3rd Eye Camera</t>
  </si>
  <si>
    <t>3rd Eye Camera - Cables</t>
  </si>
  <si>
    <t>3rd Eye Camera - installs</t>
  </si>
  <si>
    <t>2032-21-0016-1</t>
  </si>
  <si>
    <t>Pape-Kenworth Kelso</t>
  </si>
  <si>
    <t>TK#11 Transmission Repair</t>
  </si>
  <si>
    <t>Useful Life</t>
  </si>
  <si>
    <t>Ins Category</t>
  </si>
  <si>
    <t>Body Mfg</t>
  </si>
  <si>
    <t>Vendor/Mfg</t>
  </si>
  <si>
    <t>Model Year</t>
  </si>
  <si>
    <t>License Plate</t>
  </si>
  <si>
    <t>MFG Serial#</t>
  </si>
  <si>
    <t>(Not setup yet)</t>
  </si>
  <si>
    <t>Depreciated %:</t>
  </si>
  <si>
    <t>Ins Category:</t>
  </si>
  <si>
    <t>Asset #:</t>
  </si>
  <si>
    <t>Exp Acct:</t>
  </si>
  <si>
    <t>(Contains the string)</t>
  </si>
  <si>
    <t>PO Number:</t>
  </si>
  <si>
    <t>Service Date From:</t>
  </si>
  <si>
    <t>Asset Acct:</t>
  </si>
  <si>
    <t>Description:</t>
  </si>
  <si>
    <t>(F9 Aware)</t>
  </si>
  <si>
    <t>District:</t>
  </si>
  <si>
    <t>Service Date To:</t>
  </si>
  <si>
    <t>(Leave blank for all)</t>
  </si>
  <si>
    <t>Parent/Child:</t>
  </si>
  <si>
    <t>VIN:</t>
  </si>
  <si>
    <t>Ctrl + Shift + J</t>
  </si>
  <si>
    <t>Period:</t>
  </si>
  <si>
    <t>Data Last Updated in this Pull:</t>
  </si>
  <si>
    <t>Asset Count:</t>
  </si>
  <si>
    <t>Fixed Asset Register</t>
  </si>
  <si>
    <t>reportdrill(Invoice!C2,,pairgroup(pair("C:C",Invoice!E8),pair("",Invoice!E7,"N")),"Drill To Invoices by FAS# (Exc CIP)")</t>
  </si>
  <si>
    <t>Default Year :</t>
  </si>
  <si>
    <t>Default Month :</t>
  </si>
  <si>
    <t>BegLifeToDate</t>
  </si>
  <si>
    <t>Sequence</t>
  </si>
  <si>
    <t>LongName</t>
  </si>
  <si>
    <t>BegLsDeprDate</t>
  </si>
  <si>
    <t>DeprMethod</t>
  </si>
  <si>
    <t>ActivityCd</t>
  </si>
  <si>
    <t>CompAsstNo</t>
  </si>
  <si>
    <t>InvoiceNum</t>
  </si>
  <si>
    <t>FormerCompany</t>
  </si>
  <si>
    <t>AcqType</t>
  </si>
  <si>
    <t>CurrentPeriodDepr</t>
  </si>
  <si>
    <t>ExpenseGL</t>
  </si>
  <si>
    <t>CurrentYearToDate</t>
  </si>
  <si>
    <t>CurrentLifeToDate</t>
  </si>
  <si>
    <t>AccumulatedGL</t>
  </si>
  <si>
    <t>AcqValue</t>
  </si>
  <si>
    <t>AssetGL</t>
  </si>
  <si>
    <t>EstimatedLife</t>
  </si>
  <si>
    <t>PONumber</t>
  </si>
  <si>
    <t>AcquisitionDate</t>
  </si>
  <si>
    <t>InServiceDate</t>
  </si>
  <si>
    <t>InsuranceCategory</t>
  </si>
  <si>
    <t>BodyManuf</t>
  </si>
  <si>
    <t>VendorMfg</t>
  </si>
  <si>
    <t>ModelYear</t>
  </si>
  <si>
    <t>LicensePlate</t>
  </si>
  <si>
    <t>MFGSerialNum</t>
  </si>
  <si>
    <t>SystemNo</t>
  </si>
  <si>
    <t>Description</t>
  </si>
  <si>
    <t>ParentChild</t>
  </si>
  <si>
    <t>AssetID</t>
  </si>
  <si>
    <t>Location</t>
  </si>
  <si>
    <t>Truck #</t>
  </si>
  <si>
    <t>Equipment Type for Lookup</t>
  </si>
  <si>
    <t>YearPIS</t>
  </si>
  <si>
    <t>Year Fully Dep</t>
  </si>
  <si>
    <t>Year/Mo Fully Dep</t>
  </si>
  <si>
    <t>Monthly Dep</t>
  </si>
  <si>
    <t>Annual Dep</t>
  </si>
  <si>
    <t>Test Year Dep</t>
  </si>
  <si>
    <t>BOY Accum</t>
  </si>
  <si>
    <t>EOY Accum</t>
  </si>
  <si>
    <t>EOY Average Investment</t>
  </si>
  <si>
    <t>Comm/Res/RO/Recycle</t>
  </si>
  <si>
    <t>Garbage carts</t>
  </si>
  <si>
    <t>Recycle carts</t>
  </si>
  <si>
    <t>Test Year Depreciation</t>
  </si>
  <si>
    <t>LOB</t>
  </si>
  <si>
    <t>Pre Acquisistion Add?</t>
  </si>
  <si>
    <t>Yes</t>
  </si>
  <si>
    <t>Grand Total</t>
  </si>
  <si>
    <t>Recycle Trucks</t>
  </si>
  <si>
    <t>EOY Accumulated</t>
  </si>
  <si>
    <t xml:space="preserve">BOY Accumulated </t>
  </si>
  <si>
    <t>TOTAL CAPITAL</t>
  </si>
  <si>
    <t>End of List (save and re-pull for at least 5 more rows)</t>
  </si>
  <si>
    <t>Add RO Truck to help with increased volume in service areas.  Currently no routed spares for 14 routed trucks.</t>
  </si>
  <si>
    <t>Roll Off</t>
  </si>
  <si>
    <t>New Trucks</t>
  </si>
  <si>
    <t>New Roll Off 567 Peterbilt</t>
  </si>
  <si>
    <t>0005-1</t>
  </si>
  <si>
    <t>Containers for growth and replacement- Detailed listing available.</t>
  </si>
  <si>
    <t>R</t>
  </si>
  <si>
    <t>Toter – Plastic</t>
  </si>
  <si>
    <t>Containers for growth and replacement- Detailed listing available</t>
  </si>
  <si>
    <t>Containers- Various</t>
  </si>
  <si>
    <t>0004-1</t>
  </si>
  <si>
    <t xml:space="preserve">Smaller truck for smaller alleys giving us more clearance to work and not cause damage.  15 Residential routes, only one spare. </t>
  </si>
  <si>
    <t>Retriever</t>
  </si>
  <si>
    <t>Smaller truck for smaller alleys giving us more clearance to work and not cause damage.</t>
  </si>
  <si>
    <t>New Peterbilt 220/Retriever</t>
  </si>
  <si>
    <t>0003-1</t>
  </si>
  <si>
    <t>Cu benchmark exceedances (also Al sector benchmark). Design in 2022/2023, implement by Sep 2023. Catchbasin inserts and roofdrain treatments. Also, Basins 3/4 and 5 may exceed.</t>
  </si>
  <si>
    <t>SWD Surface Equipment</t>
  </si>
  <si>
    <t>Land Improvements</t>
  </si>
  <si>
    <t>Cu benchmark exceedances (also Al sector benchmark). Design in 2022/2023, permit/bids in 2023, construction in 2024.</t>
  </si>
  <si>
    <t>Stormwater Treatment</t>
  </si>
  <si>
    <t>0002-1</t>
  </si>
  <si>
    <t>Automated</t>
  </si>
  <si>
    <t>22 Rollover - New Peterbilt/Labrie Automated Resi (28 yd) (Not Manual)</t>
  </si>
  <si>
    <t>0001-1</t>
  </si>
  <si>
    <r>
      <t>Note</t>
    </r>
    <r>
      <rPr>
        <sz val="11"/>
        <color theme="9"/>
        <rFont val="Calibri"/>
        <family val="2"/>
        <scheme val="minor"/>
      </rPr>
      <t>*</t>
    </r>
  </si>
  <si>
    <t>Variance</t>
  </si>
  <si>
    <t>Prior Year PO$</t>
  </si>
  <si>
    <t>Prior year PO</t>
  </si>
  <si>
    <t>Truck Center</t>
  </si>
  <si>
    <t>Note</t>
  </si>
  <si>
    <t>PO Center</t>
  </si>
  <si>
    <t>PO Description</t>
  </si>
  <si>
    <t>Save Message</t>
  </si>
  <si>
    <t>Folder/File Link</t>
  </si>
  <si>
    <t>Site Eq #</t>
  </si>
  <si>
    <t>Replacement Notes</t>
  </si>
  <si>
    <t>FAS Description</t>
  </si>
  <si>
    <t>FAS #</t>
  </si>
  <si>
    <t>Truck Ctr. #</t>
  </si>
  <si>
    <t>N / U</t>
  </si>
  <si>
    <t>A / R</t>
  </si>
  <si>
    <t>Life</t>
  </si>
  <si>
    <t>SubType</t>
  </si>
  <si>
    <t>Asset Type</t>
  </si>
  <si>
    <t>PO Explanation</t>
  </si>
  <si>
    <t>PO Item Description</t>
  </si>
  <si>
    <t>PO Description (Required)</t>
  </si>
  <si>
    <t>Item</t>
  </si>
  <si>
    <t>PO #</t>
  </si>
  <si>
    <t>Delete on Save</t>
  </si>
  <si>
    <t>Truck Cost</t>
  </si>
  <si>
    <t>Truck Type</t>
  </si>
  <si>
    <t>New / Used</t>
  </si>
  <si>
    <t>Suggested</t>
  </si>
  <si>
    <t>Replacement Info</t>
  </si>
  <si>
    <t>CAPITAL DETAIL</t>
  </si>
  <si>
    <t>Recon Check Against Truck Center</t>
  </si>
  <si>
    <t>IMPORTANT:  Pull for a single district BEFORE inputting.  This will auto create new lines for you and prepare the page for input.</t>
  </si>
  <si>
    <t>Budget Year:</t>
  </si>
  <si>
    <t>(Only one district a time for this input page)</t>
  </si>
  <si>
    <t>Individual District:</t>
  </si>
  <si>
    <t>Report Area Below</t>
  </si>
  <si>
    <t>For Drill</t>
  </si>
  <si>
    <t>Pull Blank Rows:</t>
  </si>
  <si>
    <t>Exclude Items:</t>
  </si>
  <si>
    <t>By Change</t>
  </si>
  <si>
    <t>CC Query Summary Level:</t>
  </si>
  <si>
    <t>EEA3DACFA87DD423A26909A8CA0F22</t>
  </si>
  <si>
    <t>FilterHash:</t>
  </si>
  <si>
    <t>Repull?:</t>
  </si>
  <si>
    <t>Hidden Parameters &amp; Notes</t>
  </si>
  <si>
    <t>Save:</t>
  </si>
  <si>
    <t>Save</t>
  </si>
  <si>
    <t>Pull - FAS:</t>
  </si>
  <si>
    <t>FASDescription</t>
  </si>
  <si>
    <t>FASNum</t>
  </si>
  <si>
    <t>Pull - BudCap:</t>
  </si>
  <si>
    <t>Pull AssetTypeList:</t>
  </si>
  <si>
    <t>CC Query Drill:</t>
  </si>
  <si>
    <t>Clear Hash:</t>
  </si>
  <si>
    <t>Pull</t>
  </si>
  <si>
    <t>Report Formulas</t>
  </si>
  <si>
    <t>Formatting Range</t>
  </si>
  <si>
    <t>MessageToUser</t>
  </si>
  <si>
    <t>PoItemNumber</t>
  </si>
  <si>
    <t>CurrentProjectNumber_FPS</t>
  </si>
  <si>
    <t>FileLink hlink:FileLink</t>
  </si>
  <si>
    <t>EquipmentModelYear</t>
  </si>
  <si>
    <t>EquipmentNum</t>
  </si>
  <si>
    <t>ReplacementNotes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</si>
  <si>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</si>
  <si>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</si>
  <si>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</si>
  <si>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</si>
  <si>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</si>
  <si>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</si>
  <si>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</si>
  <si>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</si>
  <si>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</si>
  <si>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</si>
  <si>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</si>
  <si>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</si>
  <si>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TruckCenterNum ValueList:RequestedTruckList</t>
  </si>
  <si>
    <t>Condition</t>
  </si>
  <si>
    <t>AddReplace</t>
  </si>
  <si>
    <t>AssetSubType</t>
  </si>
  <si>
    <t>AssetType</t>
  </si>
  <si>
    <t>Explanation</t>
  </si>
  <si>
    <t>ItemDescription</t>
  </si>
  <si>
    <t>ProjectName_FPS</t>
  </si>
  <si>
    <t>PoNumber</t>
  </si>
  <si>
    <t>DeleteFlag</t>
  </si>
  <si>
    <t>ProjectNumber_FPS</t>
  </si>
  <si>
    <t>PONum_Modified</t>
  </si>
  <si>
    <t>TruckRequest#</t>
  </si>
  <si>
    <t>Column Definitions</t>
  </si>
  <si>
    <t>3BPDLJ0XXKF105760</t>
  </si>
  <si>
    <t>2019 Peterbilt 520 (Side Loader)- Chassis</t>
  </si>
  <si>
    <t>Waste Control Buildings-1150 3rd Ave, Longview WA</t>
  </si>
  <si>
    <t>Waste Control Land-1150 3rd Ave, Longview WA</t>
  </si>
  <si>
    <t>2007 FEL TRUCK</t>
  </si>
  <si>
    <t>2032-22-0008-1</t>
  </si>
  <si>
    <t>95G Resi MSW Carts Green</t>
  </si>
  <si>
    <t>95G Resi Recycle Carts Brown</t>
  </si>
  <si>
    <t>95G Resi MSW Carts Dark Blue</t>
  </si>
  <si>
    <t>2032-21-0015-1</t>
  </si>
  <si>
    <t>RENAUD ELECTRIC COMPANY I</t>
  </si>
  <si>
    <t>Shop Heaters- Final Installment</t>
  </si>
  <si>
    <t>65G Resi MSW Carts Green</t>
  </si>
  <si>
    <t>65G Resi MSW Dark Blue</t>
  </si>
  <si>
    <t>1010-21-0060</t>
  </si>
  <si>
    <t>Geo Tablets</t>
  </si>
  <si>
    <t>20INV000103968</t>
  </si>
  <si>
    <t>2032-22-0010-1</t>
  </si>
  <si>
    <t>4YD Front Loads Blue</t>
  </si>
  <si>
    <t>95 Gal Resi MSW Carts Dark Blue</t>
  </si>
  <si>
    <t>S710197</t>
  </si>
  <si>
    <t>2032-22-0012-1</t>
  </si>
  <si>
    <t>CDW DIR #2032</t>
  </si>
  <si>
    <t>HP ProBook 440 SN: 5CD201KJ1T</t>
  </si>
  <si>
    <t>AMZN MKTP US 1I46S03S2 AM</t>
  </si>
  <si>
    <t>Docking station for new computer</t>
  </si>
  <si>
    <t>20INV000114370</t>
  </si>
  <si>
    <t>4YD Recycling Front Load Containers</t>
  </si>
  <si>
    <t>Mel's Sanitary Service</t>
  </si>
  <si>
    <t>YCSY723</t>
  </si>
  <si>
    <t>1XP6DR9X0PD607620</t>
  </si>
  <si>
    <t>1993 Peterbilt 362 R/O Truck</t>
  </si>
  <si>
    <t>LeMay Enterprises</t>
  </si>
  <si>
    <t>Helm</t>
  </si>
  <si>
    <t>3HTCEAMR83N066520</t>
  </si>
  <si>
    <t>2001 IHC Roll Off</t>
  </si>
  <si>
    <t>2044-15-0015-1</t>
  </si>
  <si>
    <t>Drive Cam</t>
  </si>
  <si>
    <t>2044-15-0014-3</t>
  </si>
  <si>
    <t>FLUP - Back Up Camera, Fire Extinguiser</t>
  </si>
  <si>
    <t>CHAE BEEKS</t>
  </si>
  <si>
    <t>FLUP - Upholstery for backrest and seat bottom</t>
  </si>
  <si>
    <t>2032-22-0007-1</t>
  </si>
  <si>
    <t>FILTREXX INTERNATIONAL</t>
  </si>
  <si>
    <t>StormExx Filter Housings</t>
  </si>
  <si>
    <t>Peninsula Sanitation</t>
  </si>
  <si>
    <t>ASL Truck</t>
  </si>
  <si>
    <t>3BPZL00X17F717479</t>
  </si>
  <si>
    <t>2007 Peterbilt 320 (Heil Durapack Automated)</t>
  </si>
  <si>
    <t>payments 1 and 2- treatment implementation</t>
  </si>
  <si>
    <t>0017851.002-2</t>
  </si>
  <si>
    <t>PBS ENGINEERING AND ENVIR</t>
  </si>
  <si>
    <t>Planning Stormwater Treatment Implementation</t>
  </si>
  <si>
    <t>0017851.002-3</t>
  </si>
  <si>
    <t>2032-22-0009-1</t>
  </si>
  <si>
    <t>GENERAL EQUIPMENT COMPANY</t>
  </si>
  <si>
    <t>300 Gal MSW Tubs</t>
  </si>
  <si>
    <t>20INV000187650</t>
  </si>
  <si>
    <t>2032-22-0014-1</t>
  </si>
  <si>
    <t>4Yd Recycling FL Containers</t>
  </si>
  <si>
    <t>20INV000187098</t>
  </si>
  <si>
    <t>4YD Recycling FL Containers</t>
  </si>
  <si>
    <t>20INV000187100</t>
  </si>
  <si>
    <t>2032-22-0015-2</t>
  </si>
  <si>
    <t>95Gal Recycling Containers Brown</t>
  </si>
  <si>
    <t>20INV000200104</t>
  </si>
  <si>
    <t>2032-22-0013-1</t>
  </si>
  <si>
    <t>20 Yard Roll Off Lidded Boxes</t>
  </si>
  <si>
    <t>20INV000200100</t>
  </si>
  <si>
    <t>2032-22-0013-4</t>
  </si>
  <si>
    <t>30 Yard Roll Off Boxes</t>
  </si>
  <si>
    <t>20INV000201974</t>
  </si>
  <si>
    <t>2032-22-0013-2</t>
  </si>
  <si>
    <t>30 Yard Roll Off Lidded Boxes</t>
  </si>
  <si>
    <t>2032-22-0013-3</t>
  </si>
  <si>
    <t>40 Yard Roll Off Boxes</t>
  </si>
  <si>
    <t>Volvo</t>
  </si>
  <si>
    <t>4V5M99GH56N425474</t>
  </si>
  <si>
    <t>2006 Type H Drop R/O</t>
  </si>
  <si>
    <t>2184-13-0001-1</t>
  </si>
  <si>
    <t>SOLID WASTE SYSTEMS INC</t>
  </si>
  <si>
    <t>AA Welding Tarping System &amp; Installation</t>
  </si>
  <si>
    <t>20INV000202858</t>
  </si>
  <si>
    <t>0017851.002-5</t>
  </si>
  <si>
    <t>0017851.002-4</t>
  </si>
  <si>
    <t>2032-22-0011-1</t>
  </si>
  <si>
    <t>2019 Peterbilt- Body Swap</t>
  </si>
  <si>
    <t>2032-22-0016-1</t>
  </si>
  <si>
    <t>95G Resi Carts - Green</t>
  </si>
  <si>
    <t>95G Resi Carts - Blue</t>
  </si>
  <si>
    <t>0017851.002-6</t>
  </si>
  <si>
    <t>2022-10</t>
  </si>
  <si>
    <t>Nov  8 2022  7:54AM</t>
  </si>
  <si>
    <t>Material Type Form</t>
  </si>
  <si>
    <t>Stormwater Filtration System Building Materials</t>
  </si>
  <si>
    <t>Home Depot</t>
  </si>
  <si>
    <t>PVC Piping for Storm Water Filtration System</t>
  </si>
  <si>
    <t>275 Gallon Water Tank for Storm Water Treatment</t>
  </si>
  <si>
    <t>Freight for Stromwater Filtration System</t>
  </si>
  <si>
    <t>Freight Tec</t>
  </si>
  <si>
    <t>Containers for Stormwater Filtration System</t>
  </si>
  <si>
    <t>Res/Comm</t>
  </si>
  <si>
    <t>MSW/Recycling</t>
  </si>
  <si>
    <t>All</t>
  </si>
  <si>
    <t>Proforma Adds</t>
  </si>
  <si>
    <t>Type</t>
  </si>
  <si>
    <t>EOY A/D</t>
  </si>
  <si>
    <t>Avg Invest</t>
  </si>
  <si>
    <t>Rate Case Category</t>
  </si>
  <si>
    <t>Retired/Transferred 2022</t>
  </si>
  <si>
    <t>Pre Acquistion Totals</t>
  </si>
  <si>
    <t>Far 10.2022 Totals</t>
  </si>
  <si>
    <t>VARIANCE</t>
  </si>
  <si>
    <t>TOTAL Mixed Route Trucks</t>
  </si>
  <si>
    <t>Mixed Use Trucks</t>
  </si>
  <si>
    <t>Allocated between 2031 &amp; 2032</t>
  </si>
  <si>
    <t>Allocated between 2031 &amp; 2032 based on Land Alloc Tab</t>
  </si>
  <si>
    <t>Allocated Between 2031 and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</si>
</sst>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;@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m/d/yy"/>
    <numFmt numFmtId="170" formatCode="mm/dd/yy;@"/>
    <numFmt numFmtId="171" formatCode="#,##0.0000000000_);\(#,##0.0000000000\)"/>
    <numFmt numFmtId="172" formatCode="_(* #,##0.000_);_(* \(#,##0.000\);_(* &quot;-&quot;??_);_(@_)"/>
    <numFmt numFmtId="173" formatCode="m/d/yy;@"/>
    <numFmt numFmtId="174" formatCode="_(&quot;$&quot;* #,##0_);_(&quot;$&quot;* \(#,##0\);_(&quot;$&quot;* &quot;-&quot;??_);_(@_)"/>
    <numFmt numFmtId="175" formatCode="_(* #,##0,_);_(* \(#,##0,\);_(* &quot;-&quot;_);_(@_)"/>
    <numFmt numFmtId="176" formatCode="0000\-00\-0000\-0"/>
    <numFmt numFmtId="177" formatCode="0_);\(0\)"/>
    <numFmt numFmtId="178" formatCode="000#"/>
    <numFmt numFmtId="179" formatCode="mmm"/>
  </numFmts>
  <fonts count="8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  <font>
      <u/>
      <sz val="8"/>
      <color rgb="FF000000"/>
      <name val="Times New Roman"/>
      <family val="2"/>
    </font>
    <font>
      <u/>
      <sz val="8"/>
      <name val="Arial"/>
      <family val="2"/>
    </font>
    <font>
      <u/>
      <sz val="8"/>
      <name val="Times New Roman"/>
      <family val="1"/>
    </font>
    <font>
      <b/>
      <u/>
      <sz val="8"/>
      <name val="Times New Roman"/>
      <family val="1"/>
    </font>
    <font>
      <sz val="10"/>
      <color rgb="FF000000"/>
      <name val="Times New Roman"/>
      <family val="1"/>
    </font>
    <font>
      <sz val="12"/>
      <name val="Helv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b/>
      <u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indexed="57"/>
      <name val="Arial"/>
      <family val="2"/>
    </font>
    <font>
      <sz val="9"/>
      <color indexed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16"/>
      <name val="Arial"/>
      <family val="2"/>
    </font>
    <font>
      <b/>
      <sz val="8"/>
      <color rgb="FFFF0000"/>
      <name val="Arial"/>
      <family val="2"/>
    </font>
    <font>
      <b/>
      <sz val="8"/>
      <color theme="8"/>
      <name val="Times New Roman"/>
      <family val="1"/>
    </font>
    <font>
      <b/>
      <sz val="10"/>
      <color theme="8"/>
      <name val="Times New Roman"/>
      <family val="1"/>
    </font>
    <font>
      <b/>
      <sz val="10"/>
      <color rgb="FF000000"/>
      <name val="Times New Roman"/>
      <family val="1"/>
    </font>
    <font>
      <b/>
      <i/>
      <sz val="9"/>
      <name val="Arial"/>
      <family val="2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i/>
      <sz val="10"/>
      <name val="Arial"/>
      <family val="2"/>
    </font>
    <font>
      <sz val="10"/>
      <color rgb="FF00B050"/>
      <name val="Calibri"/>
      <family val="2"/>
      <scheme val="minor"/>
    </font>
    <font>
      <sz val="10"/>
      <color theme="1"/>
      <name val="Arial"/>
      <family val="2"/>
    </font>
    <font>
      <sz val="9"/>
      <color rgb="FFC00000"/>
      <name val="Arial"/>
      <family val="2"/>
    </font>
    <font>
      <sz val="11"/>
      <color theme="9"/>
      <name val="Calibri"/>
      <family val="2"/>
      <scheme val="minor"/>
    </font>
    <font>
      <b/>
      <sz val="10"/>
      <color indexed="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2"/>
      <color indexed="62"/>
      <name val="Arial"/>
      <family val="2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 tint="0.499984740745262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BBD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43" fontId="21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0" fontId="27" fillId="0" borderId="0"/>
    <xf numFmtId="43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48" fillId="0" borderId="0" applyFont="0" applyFill="0" applyBorder="0" applyAlignment="0" applyProtection="0"/>
    <xf numFmtId="44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2" fillId="0" borderId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7" fillId="0" borderId="0"/>
    <xf numFmtId="0" fontId="31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21" fillId="0" borderId="0"/>
    <xf numFmtId="0" fontId="5" fillId="0" borderId="0"/>
    <xf numFmtId="9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47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4" fontId="17" fillId="0" borderId="0" xfId="0" applyNumberFormat="1" applyFont="1" applyAlignment="1">
      <alignment horizontal="right" vertical="top" shrinkToFit="1"/>
    </xf>
    <xf numFmtId="0" fontId="14" fillId="0" borderId="0" xfId="0" applyFont="1" applyAlignment="1">
      <alignment horizontal="left" vertical="top" wrapText="1" indent="2"/>
    </xf>
    <xf numFmtId="2" fontId="17" fillId="0" borderId="0" xfId="0" applyNumberFormat="1" applyFont="1" applyAlignment="1">
      <alignment horizontal="right" vertical="top" shrinkToFit="1"/>
    </xf>
    <xf numFmtId="4" fontId="17" fillId="0" borderId="1" xfId="0" applyNumberFormat="1" applyFont="1" applyBorder="1" applyAlignment="1">
      <alignment horizontal="right" vertical="top" shrinkToFit="1"/>
    </xf>
    <xf numFmtId="2" fontId="17" fillId="0" borderId="1" xfId="0" applyNumberFormat="1" applyFont="1" applyBorder="1" applyAlignment="1">
      <alignment horizontal="right" vertical="top" shrinkToFit="1"/>
    </xf>
    <xf numFmtId="4" fontId="17" fillId="0" borderId="1" xfId="0" applyNumberFormat="1" applyFont="1" applyBorder="1" applyAlignment="1">
      <alignment horizontal="center" vertical="top" shrinkToFit="1"/>
    </xf>
    <xf numFmtId="2" fontId="17" fillId="0" borderId="1" xfId="0" applyNumberFormat="1" applyFont="1" applyBorder="1" applyAlignment="1">
      <alignment horizontal="center" vertical="top" shrinkToFit="1"/>
    </xf>
    <xf numFmtId="4" fontId="17" fillId="0" borderId="2" xfId="0" applyNumberFormat="1" applyFont="1" applyBorder="1" applyAlignment="1">
      <alignment horizontal="right" vertical="top" shrinkToFit="1"/>
    </xf>
    <xf numFmtId="2" fontId="17" fillId="0" borderId="2" xfId="0" applyNumberFormat="1" applyFont="1" applyBorder="1" applyAlignment="1">
      <alignment horizontal="right" vertical="top" shrinkToFit="1"/>
    </xf>
    <xf numFmtId="4" fontId="17" fillId="0" borderId="2" xfId="0" applyNumberFormat="1" applyFont="1" applyBorder="1" applyAlignment="1">
      <alignment horizontal="center" vertical="top" shrinkToFit="1"/>
    </xf>
    <xf numFmtId="4" fontId="17" fillId="0" borderId="0" xfId="0" applyNumberFormat="1" applyFont="1" applyAlignment="1">
      <alignment vertical="top" shrinkToFit="1"/>
    </xf>
    <xf numFmtId="0" fontId="0" fillId="0" borderId="0" xfId="0" applyAlignment="1">
      <alignment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2" fontId="17" fillId="0" borderId="0" xfId="0" applyNumberFormat="1" applyFont="1" applyAlignment="1">
      <alignment vertical="top" shrinkToFi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3" fillId="0" borderId="3" xfId="2" applyFont="1" applyBorder="1"/>
    <xf numFmtId="0" fontId="24" fillId="0" borderId="4" xfId="2" applyFont="1" applyBorder="1"/>
    <xf numFmtId="0" fontId="25" fillId="0" borderId="4" xfId="2" applyFont="1" applyBorder="1"/>
    <xf numFmtId="0" fontId="25" fillId="0" borderId="5" xfId="2" applyFont="1" applyBorder="1"/>
    <xf numFmtId="0" fontId="25" fillId="0" borderId="0" xfId="2" applyFont="1"/>
    <xf numFmtId="0" fontId="23" fillId="0" borderId="6" xfId="2" applyFont="1" applyBorder="1"/>
    <xf numFmtId="0" fontId="25" fillId="0" borderId="7" xfId="2" applyFont="1" applyBorder="1"/>
    <xf numFmtId="0" fontId="25" fillId="0" borderId="6" xfId="2" applyFont="1" applyBorder="1"/>
    <xf numFmtId="0" fontId="23" fillId="0" borderId="0" xfId="2" applyFont="1" applyAlignment="1">
      <alignment horizontal="center"/>
    </xf>
    <xf numFmtId="0" fontId="23" fillId="0" borderId="7" xfId="2" applyFont="1" applyBorder="1" applyAlignment="1">
      <alignment horizontal="center"/>
    </xf>
    <xf numFmtId="0" fontId="23" fillId="0" borderId="6" xfId="2" applyFont="1" applyBorder="1" applyAlignment="1">
      <alignment horizontal="center"/>
    </xf>
    <xf numFmtId="0" fontId="23" fillId="0" borderId="8" xfId="2" applyFont="1" applyBorder="1" applyAlignment="1">
      <alignment horizontal="center"/>
    </xf>
    <xf numFmtId="14" fontId="23" fillId="0" borderId="8" xfId="2" quotePrefix="1" applyNumberFormat="1" applyFont="1" applyBorder="1" applyAlignment="1">
      <alignment horizontal="center"/>
    </xf>
    <xf numFmtId="14" fontId="23" fillId="0" borderId="9" xfId="2" quotePrefix="1" applyNumberFormat="1" applyFont="1" applyBorder="1" applyAlignment="1">
      <alignment horizontal="center"/>
    </xf>
    <xf numFmtId="0" fontId="26" fillId="0" borderId="6" xfId="2" applyFont="1" applyBorder="1"/>
    <xf numFmtId="3" fontId="25" fillId="0" borderId="0" xfId="2" applyNumberFormat="1" applyFont="1"/>
    <xf numFmtId="167" fontId="25" fillId="0" borderId="0" xfId="3" applyNumberFormat="1" applyFont="1" applyFill="1" applyBorder="1"/>
    <xf numFmtId="167" fontId="25" fillId="0" borderId="7" xfId="3" applyNumberFormat="1" applyFont="1" applyFill="1" applyBorder="1"/>
    <xf numFmtId="0" fontId="25" fillId="0" borderId="10" xfId="2" applyFont="1" applyBorder="1"/>
    <xf numFmtId="167" fontId="25" fillId="0" borderId="8" xfId="3" applyNumberFormat="1" applyFont="1" applyFill="1" applyBorder="1"/>
    <xf numFmtId="167" fontId="25" fillId="0" borderId="9" xfId="3" applyNumberFormat="1" applyFont="1" applyFill="1" applyBorder="1"/>
    <xf numFmtId="167" fontId="23" fillId="0" borderId="0" xfId="3" applyNumberFormat="1" applyFont="1" applyFill="1" applyBorder="1"/>
    <xf numFmtId="167" fontId="23" fillId="0" borderId="7" xfId="3" applyNumberFormat="1" applyFont="1" applyFill="1" applyBorder="1"/>
    <xf numFmtId="3" fontId="23" fillId="0" borderId="0" xfId="2" applyNumberFormat="1" applyFont="1"/>
    <xf numFmtId="37" fontId="25" fillId="0" borderId="0" xfId="2" applyNumberFormat="1" applyFont="1"/>
    <xf numFmtId="43" fontId="25" fillId="0" borderId="0" xfId="2" applyNumberFormat="1" applyFont="1"/>
    <xf numFmtId="0" fontId="23" fillId="0" borderId="11" xfId="2" applyFont="1" applyBorder="1"/>
    <xf numFmtId="167" fontId="23" fillId="0" borderId="12" xfId="3" applyNumberFormat="1" applyFont="1" applyFill="1" applyBorder="1"/>
    <xf numFmtId="167" fontId="23" fillId="0" borderId="13" xfId="3" applyNumberFormat="1" applyFont="1" applyFill="1" applyBorder="1"/>
    <xf numFmtId="0" fontId="28" fillId="0" borderId="0" xfId="2" applyFont="1"/>
    <xf numFmtId="0" fontId="25" fillId="0" borderId="0" xfId="2" applyFont="1" applyAlignment="1">
      <alignment horizontal="right" wrapText="1"/>
    </xf>
    <xf numFmtId="0" fontId="25" fillId="0" borderId="0" xfId="2" applyFont="1" applyAlignment="1">
      <alignment horizontal="center"/>
    </xf>
    <xf numFmtId="4" fontId="23" fillId="0" borderId="0" xfId="2" applyNumberFormat="1" applyFont="1" applyAlignment="1">
      <alignment horizontal="left"/>
    </xf>
    <xf numFmtId="0" fontId="25" fillId="0" borderId="0" xfId="2" applyFont="1" applyAlignment="1">
      <alignment horizontal="right"/>
    </xf>
    <xf numFmtId="4" fontId="25" fillId="0" borderId="0" xfId="2" applyNumberFormat="1" applyFont="1" applyAlignment="1">
      <alignment horizontal="right"/>
    </xf>
    <xf numFmtId="0" fontId="23" fillId="0" borderId="0" xfId="2" applyFont="1" applyAlignment="1">
      <alignment horizontal="right"/>
    </xf>
    <xf numFmtId="4" fontId="25" fillId="0" borderId="0" xfId="2" applyNumberFormat="1" applyFont="1" applyAlignment="1">
      <alignment horizontal="left"/>
    </xf>
    <xf numFmtId="168" fontId="23" fillId="0" borderId="0" xfId="3" applyNumberFormat="1" applyFont="1" applyBorder="1" applyAlignment="1">
      <alignment horizontal="left"/>
    </xf>
    <xf numFmtId="4" fontId="25" fillId="0" borderId="0" xfId="2" applyNumberFormat="1" applyFont="1"/>
    <xf numFmtId="165" fontId="23" fillId="0" borderId="0" xfId="2" applyNumberFormat="1" applyFont="1" applyAlignment="1">
      <alignment horizontal="right"/>
    </xf>
    <xf numFmtId="4" fontId="25" fillId="0" borderId="0" xfId="2" applyNumberFormat="1" applyFont="1" applyAlignment="1">
      <alignment horizontal="center"/>
    </xf>
    <xf numFmtId="0" fontId="26" fillId="0" borderId="0" xfId="2" applyFont="1" applyAlignment="1">
      <alignment horizontal="left"/>
    </xf>
    <xf numFmtId="9" fontId="23" fillId="0" borderId="0" xfId="2" applyNumberFormat="1" applyFont="1" applyAlignment="1">
      <alignment horizontal="center"/>
    </xf>
    <xf numFmtId="0" fontId="23" fillId="0" borderId="0" xfId="2" applyFont="1"/>
    <xf numFmtId="0" fontId="23" fillId="0" borderId="0" xfId="2" applyFont="1" applyAlignment="1">
      <alignment horizontal="left"/>
    </xf>
    <xf numFmtId="0" fontId="26" fillId="0" borderId="0" xfId="2" applyFont="1" applyAlignment="1">
      <alignment horizontal="right" wrapText="1"/>
    </xf>
    <xf numFmtId="0" fontId="26" fillId="0" borderId="0" xfId="2" applyFont="1" applyAlignment="1">
      <alignment horizontal="center"/>
    </xf>
    <xf numFmtId="9" fontId="26" fillId="0" borderId="0" xfId="2" applyNumberFormat="1" applyFont="1" applyAlignment="1">
      <alignment horizontal="center"/>
    </xf>
    <xf numFmtId="0" fontId="26" fillId="0" borderId="0" xfId="2" applyFont="1" applyAlignment="1">
      <alignment horizontal="right"/>
    </xf>
    <xf numFmtId="0" fontId="23" fillId="0" borderId="0" xfId="2" applyFont="1" applyAlignment="1">
      <alignment horizontal="fill"/>
    </xf>
    <xf numFmtId="169" fontId="23" fillId="0" borderId="0" xfId="2" applyNumberFormat="1" applyFont="1" applyAlignment="1">
      <alignment horizontal="center"/>
    </xf>
    <xf numFmtId="170" fontId="23" fillId="0" borderId="0" xfId="2" applyNumberFormat="1" applyFont="1" applyAlignment="1">
      <alignment horizontal="center"/>
    </xf>
    <xf numFmtId="9" fontId="33" fillId="0" borderId="0" xfId="2" applyNumberFormat="1" applyFont="1" applyAlignment="1">
      <alignment horizontal="center"/>
    </xf>
    <xf numFmtId="0" fontId="33" fillId="0" borderId="0" xfId="2" applyFont="1" applyAlignment="1">
      <alignment horizontal="center"/>
    </xf>
    <xf numFmtId="165" fontId="25" fillId="0" borderId="0" xfId="2" applyNumberFormat="1" applyFont="1"/>
    <xf numFmtId="43" fontId="25" fillId="0" borderId="0" xfId="3" applyFont="1" applyFill="1" applyBorder="1" applyAlignment="1">
      <alignment horizontal="right"/>
    </xf>
    <xf numFmtId="9" fontId="25" fillId="0" borderId="0" xfId="2" applyNumberFormat="1" applyFont="1"/>
    <xf numFmtId="0" fontId="34" fillId="2" borderId="0" xfId="2" applyFont="1" applyFill="1" applyAlignment="1">
      <alignment horizontal="center"/>
    </xf>
    <xf numFmtId="0" fontId="34" fillId="2" borderId="0" xfId="2" applyFont="1" applyFill="1"/>
    <xf numFmtId="9" fontId="34" fillId="2" borderId="0" xfId="2" applyNumberFormat="1" applyFont="1" applyFill="1" applyAlignment="1">
      <alignment horizontal="center"/>
    </xf>
    <xf numFmtId="4" fontId="34" fillId="2" borderId="0" xfId="2" applyNumberFormat="1" applyFont="1" applyFill="1" applyAlignment="1">
      <alignment horizontal="right"/>
    </xf>
    <xf numFmtId="0" fontId="25" fillId="0" borderId="0" xfId="4" applyFont="1"/>
    <xf numFmtId="0" fontId="25" fillId="0" borderId="0" xfId="4" applyFont="1" applyAlignment="1">
      <alignment horizontal="right"/>
    </xf>
    <xf numFmtId="0" fontId="33" fillId="0" borderId="0" xfId="2" applyFont="1"/>
    <xf numFmtId="37" fontId="33" fillId="0" borderId="0" xfId="2" applyNumberFormat="1" applyFont="1"/>
    <xf numFmtId="3" fontId="25" fillId="0" borderId="0" xfId="2" applyNumberFormat="1" applyFont="1" applyAlignment="1">
      <alignment horizontal="right"/>
    </xf>
    <xf numFmtId="1" fontId="25" fillId="0" borderId="0" xfId="2" applyNumberFormat="1" applyFont="1" applyAlignment="1">
      <alignment horizontal="center"/>
    </xf>
    <xf numFmtId="165" fontId="34" fillId="2" borderId="0" xfId="2" applyNumberFormat="1" applyFont="1" applyFill="1"/>
    <xf numFmtId="0" fontId="23" fillId="0" borderId="0" xfId="2" applyFont="1" applyAlignment="1">
      <alignment horizontal="right" wrapText="1"/>
    </xf>
    <xf numFmtId="0" fontId="29" fillId="0" borderId="0" xfId="2" applyFont="1"/>
    <xf numFmtId="9" fontId="29" fillId="0" borderId="0" xfId="2" applyNumberFormat="1" applyFont="1" applyAlignment="1">
      <alignment horizontal="center"/>
    </xf>
    <xf numFmtId="0" fontId="35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37" fontId="29" fillId="0" borderId="14" xfId="2" applyNumberFormat="1" applyFont="1" applyBorder="1"/>
    <xf numFmtId="37" fontId="29" fillId="0" borderId="0" xfId="2" applyNumberFormat="1" applyFont="1"/>
    <xf numFmtId="0" fontId="26" fillId="0" borderId="0" xfId="2" applyFont="1"/>
    <xf numFmtId="0" fontId="36" fillId="0" borderId="0" xfId="2" applyFont="1"/>
    <xf numFmtId="1" fontId="23" fillId="0" borderId="0" xfId="2" applyNumberFormat="1" applyFont="1" applyAlignment="1">
      <alignment horizontal="center"/>
    </xf>
    <xf numFmtId="37" fontId="23" fillId="0" borderId="14" xfId="2" applyNumberFormat="1" applyFont="1" applyBorder="1"/>
    <xf numFmtId="37" fontId="29" fillId="0" borderId="15" xfId="2" applyNumberFormat="1" applyFont="1" applyBorder="1"/>
    <xf numFmtId="0" fontId="25" fillId="3" borderId="0" xfId="2" applyFont="1" applyFill="1" applyAlignment="1">
      <alignment horizontal="right" wrapText="1"/>
    </xf>
    <xf numFmtId="0" fontId="25" fillId="3" borderId="0" xfId="2" applyFont="1" applyFill="1" applyAlignment="1">
      <alignment horizontal="center"/>
    </xf>
    <xf numFmtId="0" fontId="25" fillId="3" borderId="0" xfId="2" applyFont="1" applyFill="1"/>
    <xf numFmtId="1" fontId="25" fillId="3" borderId="0" xfId="2" applyNumberFormat="1" applyFont="1" applyFill="1" applyAlignment="1">
      <alignment horizontal="center"/>
    </xf>
    <xf numFmtId="0" fontId="25" fillId="3" borderId="0" xfId="2" applyFont="1" applyFill="1" applyAlignment="1">
      <alignment horizontal="right"/>
    </xf>
    <xf numFmtId="0" fontId="37" fillId="0" borderId="0" xfId="2" applyFont="1"/>
    <xf numFmtId="0" fontId="38" fillId="0" borderId="0" xfId="2" applyFont="1" applyAlignment="1">
      <alignment horizontal="center"/>
    </xf>
    <xf numFmtId="9" fontId="25" fillId="0" borderId="0" xfId="2" applyNumberFormat="1" applyFont="1" applyAlignment="1">
      <alignment horizontal="center"/>
    </xf>
    <xf numFmtId="0" fontId="25" fillId="4" borderId="0" xfId="2" applyFont="1" applyFill="1"/>
    <xf numFmtId="0" fontId="39" fillId="0" borderId="0" xfId="2" applyFont="1"/>
    <xf numFmtId="3" fontId="33" fillId="0" borderId="0" xfId="2" applyNumberFormat="1" applyFont="1"/>
    <xf numFmtId="0" fontId="30" fillId="0" borderId="0" xfId="2" applyFont="1" applyAlignment="1">
      <alignment horizontal="right" wrapText="1"/>
    </xf>
    <xf numFmtId="4" fontId="30" fillId="0" borderId="0" xfId="2" applyNumberFormat="1" applyFont="1" applyAlignment="1">
      <alignment horizontal="right"/>
    </xf>
    <xf numFmtId="0" fontId="30" fillId="0" borderId="0" xfId="2" applyFont="1" applyAlignment="1">
      <alignment horizontal="center"/>
    </xf>
    <xf numFmtId="0" fontId="30" fillId="0" borderId="0" xfId="2" applyFont="1" applyAlignment="1">
      <alignment horizontal="right"/>
    </xf>
    <xf numFmtId="0" fontId="30" fillId="0" borderId="0" xfId="2" applyFont="1"/>
    <xf numFmtId="168" fontId="23" fillId="0" borderId="0" xfId="7" applyNumberFormat="1" applyFont="1" applyBorder="1" applyAlignment="1">
      <alignment horizontal="left"/>
    </xf>
    <xf numFmtId="0" fontId="34" fillId="0" borderId="0" xfId="2" applyFont="1"/>
    <xf numFmtId="0" fontId="26" fillId="0" borderId="8" xfId="2" applyFont="1" applyBorder="1" applyAlignment="1">
      <alignment horizontal="center"/>
    </xf>
    <xf numFmtId="0" fontId="26" fillId="0" borderId="8" xfId="2" applyFont="1" applyBorder="1" applyAlignment="1">
      <alignment horizontal="left"/>
    </xf>
    <xf numFmtId="9" fontId="26" fillId="0" borderId="8" xfId="2" applyNumberFormat="1" applyFont="1" applyBorder="1" applyAlignment="1">
      <alignment horizontal="center"/>
    </xf>
    <xf numFmtId="4" fontId="25" fillId="0" borderId="8" xfId="2" applyNumberFormat="1" applyFont="1" applyBorder="1" applyAlignment="1">
      <alignment horizontal="right"/>
    </xf>
    <xf numFmtId="169" fontId="23" fillId="0" borderId="8" xfId="2" applyNumberFormat="1" applyFont="1" applyBorder="1" applyAlignment="1">
      <alignment horizontal="center"/>
    </xf>
    <xf numFmtId="170" fontId="23" fillId="0" borderId="8" xfId="2" applyNumberFormat="1" applyFont="1" applyBorder="1" applyAlignment="1">
      <alignment horizontal="center"/>
    </xf>
    <xf numFmtId="43" fontId="25" fillId="0" borderId="0" xfId="7" applyFont="1" applyFill="1" applyBorder="1" applyAlignment="1">
      <alignment horizontal="right"/>
    </xf>
    <xf numFmtId="0" fontId="25" fillId="5" borderId="0" xfId="2" applyFont="1" applyFill="1"/>
    <xf numFmtId="0" fontId="23" fillId="0" borderId="14" xfId="2" applyFont="1" applyBorder="1" applyAlignment="1">
      <alignment horizontal="left"/>
    </xf>
    <xf numFmtId="0" fontId="23" fillId="0" borderId="14" xfId="2" applyFont="1" applyBorder="1" applyAlignment="1">
      <alignment horizontal="center"/>
    </xf>
    <xf numFmtId="1" fontId="25" fillId="0" borderId="14" xfId="2" applyNumberFormat="1" applyFont="1" applyBorder="1" applyAlignment="1">
      <alignment horizontal="center"/>
    </xf>
    <xf numFmtId="0" fontId="25" fillId="0" borderId="14" xfId="2" applyFont="1" applyBorder="1"/>
    <xf numFmtId="0" fontId="25" fillId="0" borderId="14" xfId="2" applyFont="1" applyBorder="1" applyAlignment="1">
      <alignment horizontal="center"/>
    </xf>
    <xf numFmtId="0" fontId="33" fillId="0" borderId="14" xfId="2" applyFont="1" applyBorder="1" applyAlignment="1">
      <alignment horizontal="center"/>
    </xf>
    <xf numFmtId="0" fontId="25" fillId="0" borderId="14" xfId="2" applyFont="1" applyBorder="1" applyAlignment="1">
      <alignment horizontal="right"/>
    </xf>
    <xf numFmtId="4" fontId="23" fillId="0" borderId="14" xfId="2" applyNumberFormat="1" applyFont="1" applyBorder="1" applyAlignment="1">
      <alignment horizontal="right"/>
    </xf>
    <xf numFmtId="4" fontId="23" fillId="0" borderId="0" xfId="2" applyNumberFormat="1" applyFont="1" applyAlignment="1">
      <alignment horizontal="right"/>
    </xf>
    <xf numFmtId="0" fontId="23" fillId="0" borderId="14" xfId="2" applyFont="1" applyBorder="1"/>
    <xf numFmtId="1" fontId="23" fillId="0" borderId="14" xfId="2" applyNumberFormat="1" applyFont="1" applyBorder="1" applyAlignment="1">
      <alignment horizontal="center"/>
    </xf>
    <xf numFmtId="0" fontId="23" fillId="0" borderId="14" xfId="2" applyFont="1" applyBorder="1" applyAlignment="1">
      <alignment horizontal="right"/>
    </xf>
    <xf numFmtId="39" fontId="23" fillId="0" borderId="0" xfId="2" applyNumberFormat="1" applyFont="1" applyAlignment="1">
      <alignment horizontal="right"/>
    </xf>
    <xf numFmtId="0" fontId="25" fillId="0" borderId="0" xfId="2" applyFont="1" applyAlignment="1">
      <alignment horizontal="left"/>
    </xf>
    <xf numFmtId="0" fontId="25" fillId="0" borderId="8" xfId="2" applyFont="1" applyBorder="1"/>
    <xf numFmtId="37" fontId="23" fillId="0" borderId="0" xfId="2" applyNumberFormat="1" applyFont="1"/>
    <xf numFmtId="37" fontId="23" fillId="0" borderId="15" xfId="2" applyNumberFormat="1" applyFont="1" applyBorder="1"/>
    <xf numFmtId="37" fontId="25" fillId="0" borderId="0" xfId="2" applyNumberFormat="1" applyFont="1" applyAlignment="1">
      <alignment horizontal="center"/>
    </xf>
    <xf numFmtId="4" fontId="25" fillId="5" borderId="0" xfId="2" applyNumberFormat="1" applyFont="1" applyFill="1" applyAlignment="1">
      <alignment horizontal="right"/>
    </xf>
    <xf numFmtId="0" fontId="23" fillId="5" borderId="0" xfId="2" applyFont="1" applyFill="1" applyAlignment="1">
      <alignment horizontal="center"/>
    </xf>
    <xf numFmtId="3" fontId="23" fillId="0" borderId="0" xfId="2" applyNumberFormat="1" applyFont="1" applyAlignment="1">
      <alignment horizontal="left"/>
    </xf>
    <xf numFmtId="3" fontId="23" fillId="0" borderId="0" xfId="2" applyNumberFormat="1" applyFont="1" applyAlignment="1">
      <alignment horizontal="center"/>
    </xf>
    <xf numFmtId="0" fontId="26" fillId="5" borderId="8" xfId="2" applyFont="1" applyFill="1" applyBorder="1" applyAlignment="1">
      <alignment horizontal="center"/>
    </xf>
    <xf numFmtId="3" fontId="26" fillId="0" borderId="8" xfId="2" applyNumberFormat="1" applyFont="1" applyBorder="1" applyAlignment="1">
      <alignment horizontal="center"/>
    </xf>
    <xf numFmtId="0" fontId="25" fillId="5" borderId="0" xfId="2" applyFont="1" applyFill="1" applyAlignment="1">
      <alignment horizontal="center"/>
    </xf>
    <xf numFmtId="9" fontId="25" fillId="0" borderId="0" xfId="6" applyFont="1" applyFill="1" applyBorder="1" applyAlignment="1">
      <alignment horizontal="center"/>
    </xf>
    <xf numFmtId="167" fontId="25" fillId="0" borderId="0" xfId="7" applyNumberFormat="1" applyFont="1" applyBorder="1" applyAlignment="1">
      <alignment horizontal="right"/>
    </xf>
    <xf numFmtId="167" fontId="25" fillId="0" borderId="0" xfId="7" applyNumberFormat="1" applyFont="1" applyFill="1" applyBorder="1" applyAlignment="1">
      <alignment horizontal="right"/>
    </xf>
    <xf numFmtId="41" fontId="25" fillId="0" borderId="0" xfId="2" applyNumberFormat="1" applyFont="1" applyAlignment="1">
      <alignment horizontal="center"/>
    </xf>
    <xf numFmtId="167" fontId="25" fillId="0" borderId="0" xfId="2" applyNumberFormat="1" applyFont="1" applyAlignment="1">
      <alignment horizontal="right"/>
    </xf>
    <xf numFmtId="1" fontId="23" fillId="0" borderId="0" xfId="2" applyNumberFormat="1" applyFont="1" applyAlignment="1">
      <alignment horizontal="left"/>
    </xf>
    <xf numFmtId="3" fontId="23" fillId="0" borderId="14" xfId="2" applyNumberFormat="1" applyFont="1" applyBorder="1" applyAlignment="1">
      <alignment horizontal="right"/>
    </xf>
    <xf numFmtId="167" fontId="23" fillId="0" borderId="14" xfId="2" applyNumberFormat="1" applyFont="1" applyBorder="1" applyAlignment="1">
      <alignment horizontal="right"/>
    </xf>
    <xf numFmtId="0" fontId="30" fillId="5" borderId="0" xfId="2" applyFont="1" applyFill="1" applyAlignment="1">
      <alignment horizontal="center"/>
    </xf>
    <xf numFmtId="167" fontId="25" fillId="0" borderId="0" xfId="7" applyNumberFormat="1" applyFont="1" applyFill="1" applyBorder="1" applyAlignment="1">
      <alignment horizontal="center"/>
    </xf>
    <xf numFmtId="166" fontId="25" fillId="0" borderId="0" xfId="7" applyNumberFormat="1" applyFont="1" applyFill="1" applyBorder="1"/>
    <xf numFmtId="167" fontId="25" fillId="0" borderId="0" xfId="7" applyNumberFormat="1" applyFont="1" applyFill="1" applyBorder="1"/>
    <xf numFmtId="3" fontId="34" fillId="2" borderId="0" xfId="2" applyNumberFormat="1" applyFont="1" applyFill="1" applyAlignment="1">
      <alignment horizontal="right"/>
    </xf>
    <xf numFmtId="167" fontId="34" fillId="2" borderId="0" xfId="7" applyNumberFormat="1" applyFont="1" applyFill="1" applyBorder="1" applyAlignment="1">
      <alignment horizontal="right"/>
    </xf>
    <xf numFmtId="0" fontId="33" fillId="5" borderId="0" xfId="2" applyFont="1" applyFill="1"/>
    <xf numFmtId="9" fontId="33" fillId="5" borderId="0" xfId="2" applyNumberFormat="1" applyFont="1" applyFill="1" applyAlignment="1">
      <alignment horizontal="center"/>
    </xf>
    <xf numFmtId="0" fontId="33" fillId="5" borderId="0" xfId="2" applyFont="1" applyFill="1" applyAlignment="1">
      <alignment horizontal="center"/>
    </xf>
    <xf numFmtId="37" fontId="33" fillId="5" borderId="0" xfId="2" applyNumberFormat="1" applyFont="1" applyFill="1"/>
    <xf numFmtId="3" fontId="25" fillId="5" borderId="0" xfId="2" applyNumberFormat="1" applyFont="1" applyFill="1" applyAlignment="1">
      <alignment horizontal="right"/>
    </xf>
    <xf numFmtId="167" fontId="25" fillId="5" borderId="0" xfId="2" applyNumberFormat="1" applyFont="1" applyFill="1" applyAlignment="1">
      <alignment horizontal="right"/>
    </xf>
    <xf numFmtId="0" fontId="42" fillId="0" borderId="0" xfId="2" applyFont="1" applyAlignment="1">
      <alignment horizontal="center"/>
    </xf>
    <xf numFmtId="1" fontId="42" fillId="0" borderId="0" xfId="2" applyNumberFormat="1" applyFont="1" applyAlignment="1">
      <alignment horizontal="center"/>
    </xf>
    <xf numFmtId="0" fontId="42" fillId="0" borderId="0" xfId="2" applyFont="1"/>
    <xf numFmtId="4" fontId="42" fillId="0" borderId="0" xfId="2" applyNumberFormat="1" applyFont="1" applyAlignment="1">
      <alignment horizontal="right"/>
    </xf>
    <xf numFmtId="3" fontId="42" fillId="0" borderId="0" xfId="2" applyNumberFormat="1" applyFont="1" applyAlignment="1">
      <alignment horizontal="right"/>
    </xf>
    <xf numFmtId="167" fontId="42" fillId="0" borderId="0" xfId="2" applyNumberFormat="1" applyFont="1" applyAlignment="1">
      <alignment horizontal="right"/>
    </xf>
    <xf numFmtId="4" fontId="23" fillId="0" borderId="15" xfId="2" applyNumberFormat="1" applyFont="1" applyBorder="1" applyAlignment="1">
      <alignment horizontal="right"/>
    </xf>
    <xf numFmtId="3" fontId="23" fillId="0" borderId="0" xfId="2" applyNumberFormat="1" applyFont="1" applyAlignment="1">
      <alignment horizontal="right"/>
    </xf>
    <xf numFmtId="167" fontId="23" fillId="0" borderId="0" xfId="2" applyNumberFormat="1" applyFont="1" applyAlignment="1">
      <alignment horizontal="right"/>
    </xf>
    <xf numFmtId="0" fontId="43" fillId="0" borderId="0" xfId="2" applyFont="1"/>
    <xf numFmtId="3" fontId="23" fillId="0" borderId="14" xfId="2" applyNumberFormat="1" applyFont="1" applyBorder="1"/>
    <xf numFmtId="4" fontId="23" fillId="0" borderId="0" xfId="2" applyNumberFormat="1" applyFont="1"/>
    <xf numFmtId="43" fontId="25" fillId="0" borderId="0" xfId="7" applyFont="1" applyBorder="1"/>
    <xf numFmtId="171" fontId="25" fillId="0" borderId="0" xfId="2" applyNumberFormat="1" applyFont="1"/>
    <xf numFmtId="167" fontId="25" fillId="0" borderId="0" xfId="2" applyNumberFormat="1" applyFont="1"/>
    <xf numFmtId="0" fontId="29" fillId="0" borderId="0" xfId="4" applyFont="1" applyAlignment="1">
      <alignment horizontal="center"/>
    </xf>
    <xf numFmtId="14" fontId="25" fillId="0" borderId="0" xfId="4" applyNumberFormat="1" applyFont="1"/>
    <xf numFmtId="43" fontId="25" fillId="0" borderId="0" xfId="4" applyNumberFormat="1" applyFont="1"/>
    <xf numFmtId="43" fontId="30" fillId="0" borderId="0" xfId="4" applyNumberFormat="1" applyFont="1"/>
    <xf numFmtId="14" fontId="25" fillId="0" borderId="0" xfId="4" applyNumberFormat="1" applyFont="1" applyAlignment="1">
      <alignment horizontal="left"/>
    </xf>
    <xf numFmtId="43" fontId="32" fillId="0" borderId="0" xfId="5" applyFont="1" applyFill="1" applyBorder="1"/>
    <xf numFmtId="0" fontId="25" fillId="0" borderId="0" xfId="4" applyFont="1" applyAlignment="1">
      <alignment horizontal="left"/>
    </xf>
    <xf numFmtId="0" fontId="30" fillId="0" borderId="0" xfId="4" applyFont="1"/>
    <xf numFmtId="0" fontId="29" fillId="0" borderId="0" xfId="4" applyFont="1"/>
    <xf numFmtId="43" fontId="29" fillId="0" borderId="0" xfId="4" applyNumberFormat="1" applyFont="1"/>
    <xf numFmtId="0" fontId="44" fillId="0" borderId="0" xfId="0" applyFont="1" applyAlignment="1">
      <alignment horizontal="left" vertical="top" wrapText="1" indent="2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167" fontId="23" fillId="0" borderId="16" xfId="2" applyNumberFormat="1" applyFont="1" applyBorder="1"/>
    <xf numFmtId="0" fontId="46" fillId="0" borderId="0" xfId="0" applyFont="1" applyAlignment="1">
      <alignment horizontal="right" vertical="top"/>
    </xf>
    <xf numFmtId="0" fontId="47" fillId="0" borderId="0" xfId="2" applyFont="1" applyAlignment="1">
      <alignment horizontal="left"/>
    </xf>
    <xf numFmtId="43" fontId="0" fillId="0" borderId="0" xfId="1" applyFont="1" applyFill="1" applyBorder="1" applyAlignment="1">
      <alignment horizontal="left" vertical="top"/>
    </xf>
    <xf numFmtId="0" fontId="52" fillId="0" borderId="0" xfId="0" applyFont="1"/>
    <xf numFmtId="0" fontId="0" fillId="0" borderId="0" xfId="0"/>
    <xf numFmtId="0" fontId="51" fillId="0" borderId="0" xfId="0" applyFont="1" applyAlignment="1">
      <alignment horizontal="center"/>
    </xf>
    <xf numFmtId="0" fontId="51" fillId="0" borderId="8" xfId="0" applyFont="1" applyBorder="1"/>
    <xf numFmtId="0" fontId="51" fillId="0" borderId="0" xfId="0" applyFont="1"/>
    <xf numFmtId="167" fontId="50" fillId="0" borderId="0" xfId="1" applyNumberFormat="1" applyFont="1"/>
    <xf numFmtId="0" fontId="51" fillId="0" borderId="8" xfId="0" applyFont="1" applyBorder="1" applyAlignment="1">
      <alignment horizontal="center" wrapText="1"/>
    </xf>
    <xf numFmtId="0" fontId="51" fillId="0" borderId="8" xfId="0" applyFont="1" applyBorder="1" applyAlignment="1">
      <alignment wrapText="1"/>
    </xf>
    <xf numFmtId="0" fontId="49" fillId="6" borderId="12" xfId="0" applyFont="1" applyFill="1" applyBorder="1" applyAlignment="1">
      <alignment horizontal="center" wrapText="1"/>
    </xf>
    <xf numFmtId="1" fontId="49" fillId="6" borderId="12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/>
    <xf numFmtId="173" fontId="54" fillId="0" borderId="0" xfId="0" applyNumberFormat="1" applyFont="1"/>
    <xf numFmtId="43" fontId="54" fillId="0" borderId="0" xfId="1" applyFont="1" applyFill="1"/>
    <xf numFmtId="1" fontId="54" fillId="0" borderId="0" xfId="1" applyNumberFormat="1" applyFont="1" applyFill="1"/>
    <xf numFmtId="167" fontId="51" fillId="0" borderId="0" xfId="0" applyNumberFormat="1" applyFont="1" applyAlignment="1">
      <alignment horizontal="center"/>
    </xf>
    <xf numFmtId="0" fontId="25" fillId="7" borderId="0" xfId="2" applyFont="1" applyFill="1" applyAlignment="1">
      <alignment horizontal="right" wrapText="1"/>
    </xf>
    <xf numFmtId="0" fontId="25" fillId="7" borderId="0" xfId="2" applyFont="1" applyFill="1" applyAlignment="1">
      <alignment horizontal="center"/>
    </xf>
    <xf numFmtId="0" fontId="25" fillId="7" borderId="0" xfId="2" applyFont="1" applyFill="1" applyAlignment="1">
      <alignment horizontal="right"/>
    </xf>
    <xf numFmtId="0" fontId="25" fillId="7" borderId="0" xfId="2" applyFont="1" applyFill="1"/>
    <xf numFmtId="9" fontId="33" fillId="7" borderId="0" xfId="2" applyNumberFormat="1" applyFont="1" applyFill="1" applyAlignment="1">
      <alignment horizontal="center"/>
    </xf>
    <xf numFmtId="0" fontId="33" fillId="7" borderId="0" xfId="2" applyFont="1" applyFill="1" applyAlignment="1">
      <alignment horizontal="center"/>
    </xf>
    <xf numFmtId="165" fontId="25" fillId="7" borderId="0" xfId="2" applyNumberFormat="1" applyFont="1" applyFill="1"/>
    <xf numFmtId="37" fontId="25" fillId="7" borderId="0" xfId="2" applyNumberFormat="1" applyFont="1" applyFill="1"/>
    <xf numFmtId="4" fontId="25" fillId="7" borderId="0" xfId="2" applyNumberFormat="1" applyFont="1" applyFill="1" applyAlignment="1">
      <alignment horizontal="right"/>
    </xf>
    <xf numFmtId="43" fontId="25" fillId="7" borderId="0" xfId="3" applyFont="1" applyFill="1" applyBorder="1" applyAlignment="1">
      <alignment horizontal="right"/>
    </xf>
    <xf numFmtId="9" fontId="25" fillId="7" borderId="0" xfId="2" applyNumberFormat="1" applyFont="1" applyFill="1" applyAlignment="1">
      <alignment horizontal="center"/>
    </xf>
    <xf numFmtId="0" fontId="25" fillId="7" borderId="0" xfId="4" applyFont="1" applyFill="1"/>
    <xf numFmtId="0" fontId="25" fillId="7" borderId="0" xfId="4" applyFont="1" applyFill="1" applyAlignment="1">
      <alignment horizontal="center"/>
    </xf>
    <xf numFmtId="37" fontId="25" fillId="7" borderId="0" xfId="4" applyNumberFormat="1" applyFont="1" applyFill="1"/>
    <xf numFmtId="37" fontId="33" fillId="7" borderId="0" xfId="2" applyNumberFormat="1" applyFont="1" applyFill="1"/>
    <xf numFmtId="37" fontId="23" fillId="7" borderId="0" xfId="2" applyNumberFormat="1" applyFont="1" applyFill="1"/>
    <xf numFmtId="43" fontId="25" fillId="7" borderId="0" xfId="1" applyFont="1" applyFill="1" applyBorder="1" applyAlignment="1">
      <alignment horizontal="center"/>
    </xf>
    <xf numFmtId="37" fontId="25" fillId="7" borderId="0" xfId="2" applyNumberFormat="1" applyFont="1" applyFill="1" applyAlignment="1">
      <alignment horizontal="center"/>
    </xf>
    <xf numFmtId="167" fontId="25" fillId="7" borderId="0" xfId="1" applyNumberFormat="1" applyFont="1" applyFill="1" applyBorder="1"/>
    <xf numFmtId="3" fontId="25" fillId="7" borderId="0" xfId="2" applyNumberFormat="1" applyFont="1" applyFill="1" applyAlignment="1">
      <alignment horizontal="right"/>
    </xf>
    <xf numFmtId="3" fontId="25" fillId="7" borderId="0" xfId="7" applyNumberFormat="1" applyFont="1" applyFill="1" applyBorder="1" applyAlignment="1">
      <alignment horizontal="right"/>
    </xf>
    <xf numFmtId="167" fontId="25" fillId="7" borderId="0" xfId="7" applyNumberFormat="1" applyFont="1" applyFill="1" applyBorder="1" applyAlignment="1">
      <alignment horizontal="right"/>
    </xf>
    <xf numFmtId="0" fontId="33" fillId="7" borderId="0" xfId="2" applyFont="1" applyFill="1"/>
    <xf numFmtId="9" fontId="25" fillId="7" borderId="0" xfId="6" applyFont="1" applyFill="1" applyBorder="1" applyAlignment="1">
      <alignment horizontal="center"/>
    </xf>
    <xf numFmtId="0" fontId="42" fillId="7" borderId="0" xfId="2" applyFont="1" applyFill="1" applyAlignment="1">
      <alignment horizontal="center"/>
    </xf>
    <xf numFmtId="0" fontId="42" fillId="7" borderId="0" xfId="2" applyFont="1" applyFill="1"/>
    <xf numFmtId="0" fontId="25" fillId="7" borderId="0" xfId="2" applyFont="1" applyFill="1" applyAlignment="1">
      <alignment horizontal="left"/>
    </xf>
    <xf numFmtId="1" fontId="25" fillId="7" borderId="0" xfId="2" applyNumberFormat="1" applyFont="1" applyFill="1" applyAlignment="1">
      <alignment horizontal="center"/>
    </xf>
    <xf numFmtId="2" fontId="25" fillId="7" borderId="0" xfId="2" applyNumberFormat="1" applyFont="1" applyFill="1"/>
    <xf numFmtId="0" fontId="0" fillId="7" borderId="0" xfId="0" applyFill="1" applyAlignment="1">
      <alignment horizontal="left" vertical="top"/>
    </xf>
    <xf numFmtId="43" fontId="25" fillId="7" borderId="0" xfId="7" applyFont="1" applyFill="1" applyBorder="1" applyAlignment="1">
      <alignment horizontal="right"/>
    </xf>
    <xf numFmtId="4" fontId="23" fillId="7" borderId="14" xfId="2" applyNumberFormat="1" applyFont="1" applyFill="1" applyBorder="1" applyAlignment="1">
      <alignment horizontal="right"/>
    </xf>
    <xf numFmtId="3" fontId="23" fillId="7" borderId="14" xfId="2" applyNumberFormat="1" applyFont="1" applyFill="1" applyBorder="1" applyAlignment="1">
      <alignment horizontal="right"/>
    </xf>
    <xf numFmtId="37" fontId="23" fillId="7" borderId="15" xfId="2" applyNumberFormat="1" applyFont="1" applyFill="1" applyBorder="1"/>
    <xf numFmtId="43" fontId="25" fillId="7" borderId="0" xfId="1" applyFont="1" applyFill="1" applyBorder="1"/>
    <xf numFmtId="37" fontId="29" fillId="7" borderId="15" xfId="2" applyNumberFormat="1" applyFont="1" applyFill="1" applyBorder="1"/>
    <xf numFmtId="43" fontId="0" fillId="7" borderId="0" xfId="1" applyFont="1" applyFill="1" applyBorder="1" applyAlignment="1">
      <alignment horizontal="left" vertical="top"/>
    </xf>
    <xf numFmtId="167" fontId="0" fillId="0" borderId="0" xfId="0" applyNumberFormat="1" applyAlignment="1">
      <alignment horizontal="left" vertical="top"/>
    </xf>
    <xf numFmtId="0" fontId="57" fillId="0" borderId="0" xfId="2" quotePrefix="1" applyFont="1" applyAlignment="1">
      <alignment horizontal="center"/>
    </xf>
    <xf numFmtId="0" fontId="0" fillId="7" borderId="0" xfId="0" applyFill="1" applyAlignment="1">
      <alignment horizontal="left" wrapText="1"/>
    </xf>
    <xf numFmtId="1" fontId="15" fillId="7" borderId="0" xfId="0" applyNumberFormat="1" applyFont="1" applyFill="1" applyAlignment="1">
      <alignment horizontal="right" vertical="top" shrinkToFit="1"/>
    </xf>
    <xf numFmtId="0" fontId="16" fillId="7" borderId="0" xfId="0" applyFont="1" applyFill="1" applyAlignment="1">
      <alignment vertical="top" wrapText="1"/>
    </xf>
    <xf numFmtId="164" fontId="15" fillId="7" borderId="0" xfId="0" applyNumberFormat="1" applyFont="1" applyFill="1" applyAlignment="1">
      <alignment horizontal="center" vertical="top" shrinkToFit="1"/>
    </xf>
    <xf numFmtId="4" fontId="15" fillId="7" borderId="0" xfId="0" applyNumberFormat="1" applyFont="1" applyFill="1" applyAlignment="1">
      <alignment vertical="top" shrinkToFit="1"/>
    </xf>
    <xf numFmtId="2" fontId="15" fillId="7" borderId="0" xfId="0" applyNumberFormat="1" applyFont="1" applyFill="1" applyAlignment="1">
      <alignment horizontal="right" vertical="top" shrinkToFit="1"/>
    </xf>
    <xf numFmtId="2" fontId="15" fillId="7" borderId="0" xfId="0" applyNumberFormat="1" applyFont="1" applyFill="1" applyAlignment="1">
      <alignment vertical="top" shrinkToFit="1"/>
    </xf>
    <xf numFmtId="0" fontId="45" fillId="7" borderId="0" xfId="0" applyFont="1" applyFill="1" applyAlignment="1">
      <alignment horizontal="left" wrapText="1"/>
    </xf>
    <xf numFmtId="0" fontId="45" fillId="7" borderId="0" xfId="0" applyFont="1" applyFill="1" applyAlignment="1">
      <alignment horizontal="left" vertical="top"/>
    </xf>
    <xf numFmtId="0" fontId="0" fillId="7" borderId="0" xfId="0" applyFill="1" applyAlignment="1">
      <alignment horizontal="left" vertical="center" wrapText="1"/>
    </xf>
    <xf numFmtId="0" fontId="16" fillId="7" borderId="0" xfId="0" applyFont="1" applyFill="1" applyAlignment="1">
      <alignment horizontal="left" vertical="top" wrapText="1"/>
    </xf>
    <xf numFmtId="164" fontId="15" fillId="7" borderId="0" xfId="0" applyNumberFormat="1" applyFont="1" applyFill="1" applyAlignment="1">
      <alignment vertical="top" shrinkToFit="1"/>
    </xf>
    <xf numFmtId="165" fontId="15" fillId="7" borderId="0" xfId="0" applyNumberFormat="1" applyFont="1" applyFill="1" applyAlignment="1">
      <alignment horizontal="right" vertical="top" shrinkToFit="1"/>
    </xf>
    <xf numFmtId="4" fontId="15" fillId="7" borderId="0" xfId="0" applyNumberFormat="1" applyFont="1" applyFill="1" applyAlignment="1">
      <alignment horizontal="right" vertical="top" shrinkToFit="1"/>
    </xf>
    <xf numFmtId="0" fontId="0" fillId="7" borderId="0" xfId="0" applyFill="1" applyAlignment="1">
      <alignment wrapText="1"/>
    </xf>
    <xf numFmtId="0" fontId="16" fillId="7" borderId="0" xfId="0" applyFont="1" applyFill="1" applyAlignment="1">
      <alignment horizontal="center" vertical="top" wrapText="1"/>
    </xf>
    <xf numFmtId="3" fontId="46" fillId="7" borderId="0" xfId="0" applyNumberFormat="1" applyFont="1" applyFill="1" applyAlignment="1">
      <alignment horizontal="left" vertical="top"/>
    </xf>
    <xf numFmtId="167" fontId="25" fillId="9" borderId="0" xfId="2" applyNumberFormat="1" applyFont="1" applyFill="1"/>
    <xf numFmtId="0" fontId="25" fillId="9" borderId="0" xfId="2" applyFont="1" applyFill="1"/>
    <xf numFmtId="167" fontId="23" fillId="9" borderId="0" xfId="3" applyNumberFormat="1" applyFont="1" applyFill="1" applyBorder="1"/>
    <xf numFmtId="0" fontId="23" fillId="9" borderId="6" xfId="2" applyFont="1" applyFill="1" applyBorder="1"/>
    <xf numFmtId="0" fontId="59" fillId="0" borderId="0" xfId="0" applyFont="1" applyAlignment="1">
      <alignment horizontal="left" vertical="top"/>
    </xf>
    <xf numFmtId="167" fontId="59" fillId="0" borderId="0" xfId="0" applyNumberFormat="1" applyFont="1" applyAlignment="1">
      <alignment horizontal="left" vertical="top"/>
    </xf>
    <xf numFmtId="172" fontId="60" fillId="0" borderId="0" xfId="0" applyNumberFormat="1" applyFont="1"/>
    <xf numFmtId="43" fontId="60" fillId="0" borderId="0" xfId="0" applyNumberFormat="1" applyFont="1"/>
    <xf numFmtId="10" fontId="60" fillId="0" borderId="0" xfId="8" applyNumberFormat="1" applyFont="1"/>
    <xf numFmtId="167" fontId="60" fillId="0" borderId="0" xfId="1" applyNumberFormat="1" applyFont="1"/>
    <xf numFmtId="9" fontId="60" fillId="0" borderId="0" xfId="8" applyFont="1" applyFill="1" applyBorder="1" applyAlignment="1">
      <alignment horizontal="center" vertical="top"/>
    </xf>
    <xf numFmtId="0" fontId="60" fillId="0" borderId="0" xfId="0" applyFont="1" applyAlignment="1">
      <alignment horizontal="left" vertical="top"/>
    </xf>
    <xf numFmtId="0" fontId="60" fillId="0" borderId="0" xfId="0" applyFont="1"/>
    <xf numFmtId="43" fontId="60" fillId="0" borderId="8" xfId="0" applyNumberFormat="1" applyFont="1" applyBorder="1"/>
    <xf numFmtId="43" fontId="60" fillId="0" borderId="0" xfId="0" applyNumberFormat="1" applyFont="1" applyAlignment="1">
      <alignment horizontal="left" vertical="top"/>
    </xf>
    <xf numFmtId="9" fontId="60" fillId="0" borderId="0" xfId="8" applyFont="1" applyFill="1" applyBorder="1" applyAlignment="1">
      <alignment horizontal="right" vertical="top"/>
    </xf>
    <xf numFmtId="167" fontId="60" fillId="0" borderId="0" xfId="0" applyNumberFormat="1" applyFont="1" applyAlignment="1">
      <alignment horizontal="left" vertical="top"/>
    </xf>
    <xf numFmtId="167" fontId="54" fillId="0" borderId="0" xfId="1" applyNumberFormat="1" applyFont="1" applyFill="1"/>
    <xf numFmtId="0" fontId="51" fillId="0" borderId="0" xfId="0" applyFont="1" applyAlignment="1">
      <alignment horizontal="right" indent="1"/>
    </xf>
    <xf numFmtId="167" fontId="54" fillId="0" borderId="8" xfId="1" applyNumberFormat="1" applyFont="1" applyFill="1" applyBorder="1"/>
    <xf numFmtId="0" fontId="55" fillId="0" borderId="0" xfId="0" applyFont="1" applyAlignment="1">
      <alignment horizontal="right"/>
    </xf>
    <xf numFmtId="174" fontId="51" fillId="0" borderId="0" xfId="9" applyNumberFormat="1" applyFont="1" applyFill="1" applyBorder="1" applyAlignment="1">
      <alignment horizontal="center"/>
    </xf>
    <xf numFmtId="10" fontId="60" fillId="0" borderId="8" xfId="8" applyNumberFormat="1" applyFont="1" applyBorder="1"/>
    <xf numFmtId="10" fontId="60" fillId="0" borderId="0" xfId="8" applyNumberFormat="1" applyFont="1" applyBorder="1"/>
    <xf numFmtId="167" fontId="60" fillId="0" borderId="8" xfId="1" applyNumberFormat="1" applyFont="1" applyBorder="1"/>
    <xf numFmtId="167" fontId="60" fillId="0" borderId="0" xfId="1" applyNumberFormat="1" applyFont="1" applyBorder="1"/>
    <xf numFmtId="0" fontId="51" fillId="0" borderId="17" xfId="0" applyFont="1" applyBorder="1"/>
    <xf numFmtId="0" fontId="0" fillId="0" borderId="17" xfId="0" applyBorder="1"/>
    <xf numFmtId="167" fontId="54" fillId="0" borderId="17" xfId="1" applyNumberFormat="1" applyFont="1" applyBorder="1"/>
    <xf numFmtId="172" fontId="60" fillId="0" borderId="17" xfId="0" applyNumberFormat="1" applyFont="1" applyBorder="1"/>
    <xf numFmtId="43" fontId="60" fillId="0" borderId="17" xfId="0" applyNumberFormat="1" applyFont="1" applyBorder="1"/>
    <xf numFmtId="10" fontId="60" fillId="0" borderId="17" xfId="8" applyNumberFormat="1" applyFont="1" applyBorder="1"/>
    <xf numFmtId="167" fontId="60" fillId="0" borderId="17" xfId="1" applyNumberFormat="1" applyFont="1" applyBorder="1"/>
    <xf numFmtId="9" fontId="60" fillId="0" borderId="17" xfId="8" applyFont="1" applyFill="1" applyBorder="1" applyAlignment="1">
      <alignment horizontal="center" vertical="top"/>
    </xf>
    <xf numFmtId="0" fontId="59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7" fontId="54" fillId="0" borderId="0" xfId="1" applyNumberFormat="1" applyFont="1" applyBorder="1"/>
    <xf numFmtId="0" fontId="0" fillId="0" borderId="8" xfId="0" applyBorder="1" applyAlignment="1">
      <alignment horizontal="left" vertical="top"/>
    </xf>
    <xf numFmtId="0" fontId="51" fillId="10" borderId="0" xfId="0" applyFont="1" applyFill="1"/>
    <xf numFmtId="0" fontId="51" fillId="0" borderId="0" xfId="0" applyFont="1" applyAlignment="1">
      <alignment horizontal="right"/>
    </xf>
    <xf numFmtId="167" fontId="53" fillId="0" borderId="0" xfId="1" applyNumberFormat="1" applyFont="1" applyFill="1" applyBorder="1"/>
    <xf numFmtId="10" fontId="60" fillId="0" borderId="0" xfId="8" applyNumberFormat="1" applyFont="1" applyFill="1" applyBorder="1"/>
    <xf numFmtId="0" fontId="55" fillId="0" borderId="0" xfId="0" applyFont="1" applyAlignment="1">
      <alignment horizontal="right" indent="1"/>
    </xf>
    <xf numFmtId="167" fontId="54" fillId="0" borderId="0" xfId="1" applyNumberFormat="1" applyFont="1" applyFill="1" applyBorder="1"/>
    <xf numFmtId="167" fontId="60" fillId="0" borderId="0" xfId="1" applyNumberFormat="1" applyFont="1" applyFill="1" applyBorder="1"/>
    <xf numFmtId="9" fontId="61" fillId="0" borderId="0" xfId="8" applyFont="1" applyFill="1" applyBorder="1" applyAlignment="1">
      <alignment horizontal="right" vertical="top"/>
    </xf>
    <xf numFmtId="0" fontId="61" fillId="0" borderId="0" xfId="0" applyFont="1" applyAlignment="1">
      <alignment horizontal="left" vertical="top"/>
    </xf>
    <xf numFmtId="43" fontId="61" fillId="0" borderId="0" xfId="0" applyNumberFormat="1" applyFont="1" applyAlignment="1">
      <alignment horizontal="left" vertical="top"/>
    </xf>
    <xf numFmtId="9" fontId="61" fillId="0" borderId="0" xfId="8" applyFont="1" applyFill="1" applyBorder="1" applyAlignment="1">
      <alignment horizontal="center" vertical="top"/>
    </xf>
    <xf numFmtId="9" fontId="60" fillId="0" borderId="0" xfId="0" applyNumberFormat="1" applyFont="1" applyAlignment="1">
      <alignment horizontal="center" vertical="top"/>
    </xf>
    <xf numFmtId="174" fontId="61" fillId="0" borderId="0" xfId="9" applyNumberFormat="1" applyFont="1" applyFill="1" applyBorder="1" applyAlignment="1">
      <alignment horizontal="left" vertical="top"/>
    </xf>
    <xf numFmtId="0" fontId="59" fillId="0" borderId="0" xfId="0" applyFont="1" applyAlignment="1">
      <alignment horizontal="left" vertical="top" wrapText="1"/>
    </xf>
    <xf numFmtId="9" fontId="59" fillId="0" borderId="0" xfId="8" applyFont="1" applyFill="1" applyBorder="1" applyAlignment="1">
      <alignment horizontal="center" vertical="top"/>
    </xf>
    <xf numFmtId="0" fontId="34" fillId="7" borderId="0" xfId="2" applyFont="1" applyFill="1" applyAlignment="1">
      <alignment horizontal="right" wrapText="1"/>
    </xf>
    <xf numFmtId="0" fontId="34" fillId="7" borderId="0" xfId="2" applyFont="1" applyFill="1" applyAlignment="1">
      <alignment horizontal="center"/>
    </xf>
    <xf numFmtId="0" fontId="34" fillId="7" borderId="0" xfId="2" applyFont="1" applyFill="1" applyAlignment="1">
      <alignment horizontal="right"/>
    </xf>
    <xf numFmtId="0" fontId="34" fillId="7" borderId="0" xfId="2" applyFont="1" applyFill="1"/>
    <xf numFmtId="9" fontId="34" fillId="7" borderId="0" xfId="2" applyNumberFormat="1" applyFont="1" applyFill="1" applyAlignment="1">
      <alignment horizontal="center"/>
    </xf>
    <xf numFmtId="165" fontId="34" fillId="7" borderId="0" xfId="2" applyNumberFormat="1" applyFont="1" applyFill="1"/>
    <xf numFmtId="37" fontId="34" fillId="7" borderId="0" xfId="2" applyNumberFormat="1" applyFont="1" applyFill="1"/>
    <xf numFmtId="4" fontId="34" fillId="7" borderId="0" xfId="2" applyNumberFormat="1" applyFont="1" applyFill="1" applyAlignment="1">
      <alignment horizontal="right"/>
    </xf>
    <xf numFmtId="43" fontId="34" fillId="7" borderId="0" xfId="3" applyFont="1" applyFill="1" applyBorder="1" applyAlignment="1">
      <alignment horizontal="right"/>
    </xf>
    <xf numFmtId="0" fontId="64" fillId="6" borderId="0" xfId="18" applyFont="1" applyFill="1"/>
    <xf numFmtId="0" fontId="49" fillId="15" borderId="12" xfId="0" applyFont="1" applyFill="1" applyBorder="1" applyAlignment="1">
      <alignment horizontal="center" wrapText="1"/>
    </xf>
    <xf numFmtId="167" fontId="0" fillId="2" borderId="0" xfId="1" applyNumberFormat="1" applyFont="1" applyFill="1"/>
    <xf numFmtId="0" fontId="64" fillId="6" borderId="0" xfId="0" applyFont="1" applyFill="1"/>
    <xf numFmtId="0" fontId="49" fillId="6" borderId="0" xfId="0" applyFont="1" applyFill="1"/>
    <xf numFmtId="0" fontId="8" fillId="0" borderId="0" xfId="22"/>
    <xf numFmtId="167" fontId="8" fillId="0" borderId="0" xfId="22" applyNumberFormat="1"/>
    <xf numFmtId="167" fontId="51" fillId="0" borderId="15" xfId="22" applyNumberFormat="1" applyFont="1" applyBorder="1"/>
    <xf numFmtId="0" fontId="51" fillId="0" borderId="15" xfId="22" applyFont="1" applyBorder="1" applyAlignment="1">
      <alignment horizontal="right"/>
    </xf>
    <xf numFmtId="167" fontId="0" fillId="0" borderId="0" xfId="23" applyNumberFormat="1" applyFont="1"/>
    <xf numFmtId="0" fontId="8" fillId="0" borderId="0" xfId="22" applyAlignment="1">
      <alignment horizontal="right"/>
    </xf>
    <xf numFmtId="0" fontId="51" fillId="0" borderId="0" xfId="22" applyFont="1" applyAlignment="1">
      <alignment horizontal="center"/>
    </xf>
    <xf numFmtId="2" fontId="69" fillId="7" borderId="0" xfId="24" applyNumberFormat="1" applyFont="1" applyFill="1" applyAlignment="1">
      <alignment horizontal="right"/>
    </xf>
    <xf numFmtId="3" fontId="69" fillId="7" borderId="0" xfId="24" applyNumberFormat="1" applyFont="1" applyFill="1" applyAlignment="1">
      <alignment horizontal="right"/>
    </xf>
    <xf numFmtId="0" fontId="69" fillId="7" borderId="0" xfId="24" applyFont="1" applyFill="1" applyAlignment="1">
      <alignment horizontal="right"/>
    </xf>
    <xf numFmtId="0" fontId="7" fillId="0" borderId="0" xfId="27"/>
    <xf numFmtId="0" fontId="51" fillId="0" borderId="0" xfId="27" applyFont="1"/>
    <xf numFmtId="167" fontId="7" fillId="0" borderId="0" xfId="27" applyNumberFormat="1"/>
    <xf numFmtId="37" fontId="31" fillId="0" borderId="0" xfId="28" applyNumberFormat="1" applyAlignment="1">
      <alignment horizontal="center"/>
    </xf>
    <xf numFmtId="175" fontId="62" fillId="0" borderId="0" xfId="28" applyNumberFormat="1" applyFont="1"/>
    <xf numFmtId="175" fontId="31" fillId="0" borderId="0" xfId="28" applyNumberFormat="1"/>
    <xf numFmtId="37" fontId="31" fillId="0" borderId="0" xfId="28" applyNumberFormat="1"/>
    <xf numFmtId="167" fontId="70" fillId="8" borderId="15" xfId="29" applyNumberFormat="1" applyFont="1" applyFill="1" applyBorder="1" applyAlignment="1">
      <alignment horizontal="right" vertical="top"/>
    </xf>
    <xf numFmtId="37" fontId="70" fillId="0" borderId="0" xfId="28" applyNumberFormat="1" applyFont="1" applyAlignment="1">
      <alignment horizontal="center"/>
    </xf>
    <xf numFmtId="37" fontId="70" fillId="0" borderId="0" xfId="28" applyNumberFormat="1" applyFont="1" applyAlignment="1">
      <alignment horizontal="right"/>
    </xf>
    <xf numFmtId="0" fontId="71" fillId="0" borderId="0" xfId="27" applyFont="1"/>
    <xf numFmtId="175" fontId="70" fillId="0" borderId="0" xfId="28" applyNumberFormat="1" applyFont="1"/>
    <xf numFmtId="0" fontId="31" fillId="0" borderId="0" xfId="28" applyAlignment="1">
      <alignment horizontal="center"/>
    </xf>
    <xf numFmtId="176" fontId="31" fillId="0" borderId="0" xfId="28" applyNumberFormat="1"/>
    <xf numFmtId="176" fontId="72" fillId="0" borderId="0" xfId="28" applyNumberFormat="1" applyFont="1"/>
    <xf numFmtId="0" fontId="73" fillId="0" borderId="21" xfId="27" applyFont="1" applyBorder="1" applyAlignment="1">
      <alignment horizontal="center" vertical="center"/>
    </xf>
    <xf numFmtId="167" fontId="74" fillId="0" borderId="21" xfId="29" applyNumberFormat="1" applyFont="1" applyBorder="1" applyAlignment="1">
      <alignment horizontal="center" vertical="center"/>
    </xf>
    <xf numFmtId="43" fontId="74" fillId="0" borderId="21" xfId="29" applyFont="1" applyBorder="1" applyAlignment="1">
      <alignment horizontal="center" vertical="center"/>
    </xf>
    <xf numFmtId="0" fontId="7" fillId="0" borderId="0" xfId="27" applyAlignment="1">
      <alignment vertical="center"/>
    </xf>
    <xf numFmtId="0" fontId="74" fillId="0" borderId="21" xfId="27" applyFont="1" applyBorder="1" applyAlignment="1">
      <alignment horizontal="center" vertical="center"/>
    </xf>
    <xf numFmtId="0" fontId="31" fillId="0" borderId="21" xfId="29" applyNumberFormat="1" applyFont="1" applyBorder="1" applyAlignment="1">
      <alignment horizontal="center" vertical="center"/>
    </xf>
    <xf numFmtId="167" fontId="31" fillId="0" borderId="0" xfId="29" applyNumberFormat="1" applyFont="1" applyAlignment="1">
      <alignment vertical="top"/>
    </xf>
    <xf numFmtId="167" fontId="31" fillId="18" borderId="0" xfId="29" applyNumberFormat="1" applyFont="1" applyFill="1" applyAlignment="1">
      <alignment vertical="top"/>
    </xf>
    <xf numFmtId="167" fontId="31" fillId="0" borderId="0" xfId="29" quotePrefix="1" applyNumberFormat="1" applyFont="1" applyAlignment="1">
      <alignment vertical="top"/>
    </xf>
    <xf numFmtId="0" fontId="31" fillId="19" borderId="21" xfId="28" applyFill="1" applyBorder="1" applyAlignment="1">
      <alignment horizontal="left" vertical="top"/>
    </xf>
    <xf numFmtId="0" fontId="31" fillId="19" borderId="21" xfId="28" applyFill="1" applyBorder="1" applyAlignment="1">
      <alignment horizontal="center" vertical="top"/>
    </xf>
    <xf numFmtId="177" fontId="31" fillId="19" borderId="21" xfId="28" applyNumberFormat="1" applyFill="1" applyBorder="1" applyAlignment="1">
      <alignment horizontal="center" vertical="top"/>
    </xf>
    <xf numFmtId="49" fontId="31" fillId="19" borderId="21" xfId="28" applyNumberFormat="1" applyFill="1" applyBorder="1" applyAlignment="1">
      <alignment vertical="top" wrapText="1"/>
    </xf>
    <xf numFmtId="177" fontId="31" fillId="18" borderId="21" xfId="28" applyNumberFormat="1" applyFill="1" applyBorder="1" applyAlignment="1">
      <alignment vertical="top"/>
    </xf>
    <xf numFmtId="167" fontId="70" fillId="18" borderId="21" xfId="29" applyNumberFormat="1" applyFont="1" applyFill="1" applyBorder="1" applyAlignment="1">
      <alignment horizontal="right" vertical="top"/>
    </xf>
    <xf numFmtId="167" fontId="31" fillId="19" borderId="22" xfId="29" applyNumberFormat="1" applyFont="1" applyFill="1" applyBorder="1" applyAlignment="1">
      <alignment vertical="top"/>
    </xf>
    <xf numFmtId="167" fontId="31" fillId="19" borderId="21" xfId="29" applyNumberFormat="1" applyFont="1" applyFill="1" applyBorder="1" applyAlignment="1">
      <alignment vertical="top"/>
    </xf>
    <xf numFmtId="167" fontId="31" fillId="20" borderId="23" xfId="29" applyNumberFormat="1" applyFont="1" applyFill="1" applyBorder="1" applyAlignment="1">
      <alignment vertical="top"/>
    </xf>
    <xf numFmtId="0" fontId="31" fillId="20" borderId="21" xfId="28" applyFill="1" applyBorder="1" applyAlignment="1">
      <alignment horizontal="center" vertical="top"/>
    </xf>
    <xf numFmtId="49" fontId="31" fillId="19" borderId="21" xfId="28" applyNumberFormat="1" applyFill="1" applyBorder="1" applyAlignment="1">
      <alignment horizontal="center" vertical="top"/>
    </xf>
    <xf numFmtId="49" fontId="31" fillId="19" borderId="21" xfId="28" applyNumberFormat="1" applyFill="1" applyBorder="1" applyAlignment="1">
      <alignment horizontal="left" vertical="top"/>
    </xf>
    <xf numFmtId="177" fontId="31" fillId="0" borderId="21" xfId="28" applyNumberFormat="1" applyBorder="1" applyAlignment="1">
      <alignment horizontal="center" vertical="top"/>
    </xf>
    <xf numFmtId="49" fontId="31" fillId="19" borderId="21" xfId="28" applyNumberFormat="1" applyFill="1" applyBorder="1" applyAlignment="1">
      <alignment horizontal="left" vertical="top" wrapText="1"/>
    </xf>
    <xf numFmtId="178" fontId="31" fillId="19" borderId="21" xfId="28" quotePrefix="1" applyNumberFormat="1" applyFill="1" applyBorder="1" applyAlignment="1">
      <alignment horizontal="left" vertical="top"/>
    </xf>
    <xf numFmtId="178" fontId="75" fillId="21" borderId="21" xfId="28" quotePrefix="1" applyNumberFormat="1" applyFont="1" applyFill="1" applyBorder="1" applyAlignment="1">
      <alignment horizontal="left" vertical="top"/>
    </xf>
    <xf numFmtId="0" fontId="64" fillId="0" borderId="0" xfId="27" applyFont="1" applyAlignment="1">
      <alignment vertical="top"/>
    </xf>
    <xf numFmtId="49" fontId="7" fillId="0" borderId="0" xfId="27" applyNumberFormat="1"/>
    <xf numFmtId="0" fontId="7" fillId="12" borderId="0" xfId="27" applyFill="1"/>
    <xf numFmtId="0" fontId="74" fillId="0" borderId="0" xfId="27" applyFont="1"/>
    <xf numFmtId="37" fontId="72" fillId="0" borderId="0" xfId="28" applyNumberFormat="1" applyFont="1" applyAlignment="1">
      <alignment horizontal="center"/>
    </xf>
    <xf numFmtId="0" fontId="64" fillId="6" borderId="0" xfId="25" applyFill="1" applyAlignment="1">
      <alignment horizontal="center"/>
    </xf>
    <xf numFmtId="1" fontId="77" fillId="0" borderId="0" xfId="28" applyNumberFormat="1" applyFont="1" applyAlignment="1">
      <alignment horizontal="center"/>
    </xf>
    <xf numFmtId="37" fontId="70" fillId="0" borderId="12" xfId="28" applyNumberFormat="1" applyFont="1" applyBorder="1" applyAlignment="1">
      <alignment horizontal="center" wrapText="1"/>
    </xf>
    <xf numFmtId="177" fontId="70" fillId="8" borderId="12" xfId="28" applyNumberFormat="1" applyFont="1" applyFill="1" applyBorder="1" applyAlignment="1">
      <alignment horizontal="center"/>
    </xf>
    <xf numFmtId="37" fontId="78" fillId="0" borderId="0" xfId="28" applyNumberFormat="1" applyFont="1" applyAlignment="1">
      <alignment horizontal="center"/>
    </xf>
    <xf numFmtId="179" fontId="70" fillId="0" borderId="24" xfId="28" applyNumberFormat="1" applyFont="1" applyBorder="1" applyAlignment="1">
      <alignment horizontal="center"/>
    </xf>
    <xf numFmtId="179" fontId="70" fillId="0" borderId="16" xfId="28" applyNumberFormat="1" applyFont="1" applyBorder="1" applyAlignment="1">
      <alignment horizontal="center"/>
    </xf>
    <xf numFmtId="179" fontId="70" fillId="0" borderId="25" xfId="28" applyNumberFormat="1" applyFont="1" applyBorder="1" applyAlignment="1">
      <alignment horizontal="center"/>
    </xf>
    <xf numFmtId="37" fontId="70" fillId="0" borderId="12" xfId="28" applyNumberFormat="1" applyFont="1" applyBorder="1" applyAlignment="1">
      <alignment horizontal="left" wrapText="1"/>
    </xf>
    <xf numFmtId="37" fontId="79" fillId="0" borderId="12" xfId="28" applyNumberFormat="1" applyFont="1" applyBorder="1" applyAlignment="1">
      <alignment horizontal="center" wrapText="1"/>
    </xf>
    <xf numFmtId="0" fontId="49" fillId="6" borderId="0" xfId="25" applyFont="1" applyFill="1" applyAlignment="1">
      <alignment horizontal="centerContinuous"/>
    </xf>
    <xf numFmtId="0" fontId="64" fillId="6" borderId="0" xfId="25" applyFill="1" applyAlignment="1">
      <alignment horizontal="centerContinuous"/>
    </xf>
    <xf numFmtId="0" fontId="7" fillId="0" borderId="0" xfId="27" applyAlignment="1">
      <alignment horizontal="centerContinuous"/>
    </xf>
    <xf numFmtId="37" fontId="78" fillId="0" borderId="0" xfId="28" applyNumberFormat="1" applyFont="1" applyAlignment="1">
      <alignment horizontal="centerContinuous"/>
    </xf>
    <xf numFmtId="37" fontId="80" fillId="0" borderId="0" xfId="28" applyNumberFormat="1" applyFont="1" applyAlignment="1">
      <alignment horizontal="centerContinuous"/>
    </xf>
    <xf numFmtId="37" fontId="78" fillId="0" borderId="0" xfId="28" applyNumberFormat="1" applyFont="1"/>
    <xf numFmtId="0" fontId="49" fillId="22" borderId="0" xfId="26" applyFont="1" applyFill="1" applyAlignment="1">
      <alignment horizontal="centerContinuous"/>
    </xf>
    <xf numFmtId="37" fontId="56" fillId="0" borderId="0" xfId="28" applyNumberFormat="1" applyFont="1" applyAlignment="1">
      <alignment horizontal="center"/>
    </xf>
    <xf numFmtId="37" fontId="81" fillId="11" borderId="8" xfId="28" applyNumberFormat="1" applyFont="1" applyFill="1" applyBorder="1" applyAlignment="1">
      <alignment horizontal="center"/>
    </xf>
    <xf numFmtId="37" fontId="56" fillId="11" borderId="8" xfId="28" applyNumberFormat="1" applyFont="1" applyFill="1" applyBorder="1" applyAlignment="1">
      <alignment horizontal="center"/>
    </xf>
    <xf numFmtId="37" fontId="56" fillId="11" borderId="8" xfId="28" applyNumberFormat="1" applyFont="1" applyFill="1" applyBorder="1" applyAlignment="1">
      <alignment horizontal="left"/>
    </xf>
    <xf numFmtId="0" fontId="82" fillId="0" borderId="0" xfId="27" applyFont="1"/>
    <xf numFmtId="49" fontId="63" fillId="0" borderId="0" xfId="28" applyNumberFormat="1" applyFont="1" applyAlignment="1">
      <alignment horizontal="center"/>
    </xf>
    <xf numFmtId="37" fontId="31" fillId="0" borderId="0" xfId="28" applyNumberFormat="1" applyAlignment="1">
      <alignment horizontal="left"/>
    </xf>
    <xf numFmtId="37" fontId="37" fillId="0" borderId="0" xfId="28" applyNumberFormat="1" applyFont="1"/>
    <xf numFmtId="37" fontId="37" fillId="0" borderId="0" xfId="28" applyNumberFormat="1" applyFont="1" applyAlignment="1">
      <alignment wrapText="1"/>
    </xf>
    <xf numFmtId="49" fontId="70" fillId="0" borderId="0" xfId="28" applyNumberFormat="1" applyFont="1" applyAlignment="1">
      <alignment horizontal="left"/>
    </xf>
    <xf numFmtId="0" fontId="70" fillId="19" borderId="0" xfId="28" applyFont="1" applyFill="1" applyAlignment="1">
      <alignment horizontal="left"/>
    </xf>
    <xf numFmtId="49" fontId="56" fillId="0" borderId="0" xfId="27" applyNumberFormat="1" applyFont="1" applyAlignment="1">
      <alignment horizontal="right"/>
    </xf>
    <xf numFmtId="49" fontId="56" fillId="0" borderId="0" xfId="27" applyNumberFormat="1" applyFont="1"/>
    <xf numFmtId="49" fontId="56" fillId="0" borderId="0" xfId="27" applyNumberFormat="1" applyFont="1" applyAlignment="1">
      <alignment horizontal="left"/>
    </xf>
    <xf numFmtId="0" fontId="83" fillId="0" borderId="0" xfId="27" applyFont="1" applyAlignment="1">
      <alignment horizontal="right"/>
    </xf>
    <xf numFmtId="37" fontId="84" fillId="0" borderId="0" xfId="28" applyNumberFormat="1" applyFont="1"/>
    <xf numFmtId="49" fontId="70" fillId="20" borderId="0" xfId="28" applyNumberFormat="1" applyFont="1" applyFill="1" applyAlignment="1">
      <alignment horizontal="left"/>
    </xf>
    <xf numFmtId="0" fontId="56" fillId="0" borderId="0" xfId="27" applyFont="1" applyAlignment="1">
      <alignment horizontal="right"/>
    </xf>
    <xf numFmtId="0" fontId="56" fillId="0" borderId="0" xfId="27" applyFont="1"/>
    <xf numFmtId="0" fontId="56" fillId="0" borderId="0" xfId="27" applyFont="1" applyAlignment="1">
      <alignment horizontal="left"/>
    </xf>
    <xf numFmtId="0" fontId="51" fillId="23" borderId="0" xfId="27" applyFont="1" applyFill="1"/>
    <xf numFmtId="0" fontId="7" fillId="20" borderId="0" xfId="27" applyFill="1"/>
    <xf numFmtId="0" fontId="51" fillId="20" borderId="0" xfId="27" applyFont="1" applyFill="1" applyAlignment="1">
      <alignment horizontal="right"/>
    </xf>
    <xf numFmtId="0" fontId="64" fillId="20" borderId="0" xfId="27" applyFont="1" applyFill="1"/>
    <xf numFmtId="0" fontId="7" fillId="24" borderId="0" xfId="27" applyFill="1"/>
    <xf numFmtId="0" fontId="51" fillId="19" borderId="0" xfId="27" applyFont="1" applyFill="1" applyAlignment="1">
      <alignment horizontal="right"/>
    </xf>
    <xf numFmtId="0" fontId="7" fillId="19" borderId="0" xfId="27" applyFill="1"/>
    <xf numFmtId="0" fontId="7" fillId="24" borderId="0" xfId="27" applyFill="1" applyAlignment="1">
      <alignment horizontal="right"/>
    </xf>
    <xf numFmtId="0" fontId="55" fillId="20" borderId="0" xfId="27" applyFont="1" applyFill="1" applyAlignment="1">
      <alignment horizontal="right"/>
    </xf>
    <xf numFmtId="0" fontId="51" fillId="23" borderId="0" xfId="27" applyFont="1" applyFill="1" applyAlignment="1">
      <alignment horizontal="centerContinuous"/>
    </xf>
    <xf numFmtId="0" fontId="85" fillId="19" borderId="0" xfId="27" applyFont="1" applyFill="1"/>
    <xf numFmtId="0" fontId="7" fillId="19" borderId="0" xfId="27" applyFill="1" applyAlignment="1">
      <alignment horizontal="right"/>
    </xf>
    <xf numFmtId="0" fontId="7" fillId="19" borderId="0" xfId="27" quotePrefix="1" applyFill="1"/>
    <xf numFmtId="0" fontId="7" fillId="20" borderId="0" xfId="27" applyFill="1" applyAlignment="1">
      <alignment horizontal="right"/>
    </xf>
    <xf numFmtId="1" fontId="7" fillId="0" borderId="0" xfId="27" applyNumberFormat="1"/>
    <xf numFmtId="0" fontId="54" fillId="0" borderId="0" xfId="27" applyFont="1"/>
    <xf numFmtId="0" fontId="54" fillId="0" borderId="0" xfId="27" applyFont="1" applyAlignment="1">
      <alignment horizontal="center"/>
    </xf>
    <xf numFmtId="43" fontId="54" fillId="0" borderId="0" xfId="29" applyFont="1"/>
    <xf numFmtId="1" fontId="54" fillId="0" borderId="0" xfId="29" applyNumberFormat="1" applyFont="1"/>
    <xf numFmtId="173" fontId="54" fillId="0" borderId="0" xfId="27" applyNumberFormat="1" applyFont="1"/>
    <xf numFmtId="0" fontId="55" fillId="0" borderId="0" xfId="27" applyFont="1" applyAlignment="1">
      <alignment horizontal="left"/>
    </xf>
    <xf numFmtId="14" fontId="54" fillId="0" borderId="0" xfId="27" applyNumberFormat="1" applyFont="1"/>
    <xf numFmtId="0" fontId="7" fillId="9" borderId="0" xfId="27" applyFill="1"/>
    <xf numFmtId="0" fontId="54" fillId="9" borderId="0" xfId="27" applyFont="1" applyFill="1" applyAlignment="1">
      <alignment horizontal="center"/>
    </xf>
    <xf numFmtId="0" fontId="64" fillId="6" borderId="0" xfId="27" applyFont="1" applyFill="1"/>
    <xf numFmtId="0" fontId="49" fillId="6" borderId="12" xfId="27" applyFont="1" applyFill="1" applyBorder="1" applyAlignment="1">
      <alignment horizontal="center" wrapText="1"/>
    </xf>
    <xf numFmtId="1" fontId="49" fillId="6" borderId="12" xfId="27" applyNumberFormat="1" applyFont="1" applyFill="1" applyBorder="1" applyAlignment="1">
      <alignment horizontal="center" wrapText="1"/>
    </xf>
    <xf numFmtId="1" fontId="64" fillId="6" borderId="0" xfId="27" applyNumberFormat="1" applyFont="1" applyFill="1"/>
    <xf numFmtId="0" fontId="64" fillId="13" borderId="0" xfId="27" applyFont="1" applyFill="1"/>
    <xf numFmtId="0" fontId="64" fillId="6" borderId="0" xfId="27" applyFont="1" applyFill="1" applyAlignment="1">
      <alignment horizontal="right"/>
    </xf>
    <xf numFmtId="0" fontId="54" fillId="8" borderId="18" xfId="27" applyFont="1" applyFill="1" applyBorder="1" applyAlignment="1">
      <alignment horizontal="left"/>
    </xf>
    <xf numFmtId="0" fontId="65" fillId="6" borderId="0" xfId="27" applyFont="1" applyFill="1"/>
    <xf numFmtId="14" fontId="54" fillId="8" borderId="18" xfId="27" applyNumberFormat="1" applyFont="1" applyFill="1" applyBorder="1"/>
    <xf numFmtId="0" fontId="66" fillId="6" borderId="0" xfId="27" applyFont="1" applyFill="1"/>
    <xf numFmtId="49" fontId="54" fillId="8" borderId="18" xfId="27" applyNumberFormat="1" applyFont="1" applyFill="1" applyBorder="1" applyAlignment="1">
      <alignment horizontal="left"/>
    </xf>
    <xf numFmtId="0" fontId="54" fillId="8" borderId="18" xfId="27" applyFont="1" applyFill="1" applyBorder="1"/>
    <xf numFmtId="0" fontId="7" fillId="14" borderId="0" xfId="27" applyFill="1" applyAlignment="1">
      <alignment horizontal="left"/>
    </xf>
    <xf numFmtId="0" fontId="64" fillId="6" borderId="0" xfId="27" applyFont="1" applyFill="1" applyAlignment="1">
      <alignment horizontal="left"/>
    </xf>
    <xf numFmtId="0" fontId="64" fillId="6" borderId="0" xfId="27" applyFont="1" applyFill="1" applyAlignment="1">
      <alignment horizontal="center"/>
    </xf>
    <xf numFmtId="0" fontId="68" fillId="6" borderId="0" xfId="27" applyFont="1" applyFill="1"/>
    <xf numFmtId="1" fontId="54" fillId="0" borderId="0" xfId="27" applyNumberFormat="1" applyFont="1"/>
    <xf numFmtId="0" fontId="51" fillId="12" borderId="0" xfId="27" applyFont="1" applyFill="1" applyAlignment="1">
      <alignment horizontal="left"/>
    </xf>
    <xf numFmtId="0" fontId="51" fillId="12" borderId="0" xfId="27" applyFont="1" applyFill="1" applyAlignment="1">
      <alignment horizontal="right"/>
    </xf>
    <xf numFmtId="0" fontId="31" fillId="19" borderId="0" xfId="28" applyFill="1" applyAlignment="1">
      <alignment horizontal="center" vertical="top"/>
    </xf>
    <xf numFmtId="0" fontId="27" fillId="2" borderId="0" xfId="4" applyFill="1"/>
    <xf numFmtId="0" fontId="27" fillId="2" borderId="0" xfId="4" applyFill="1" applyAlignment="1">
      <alignment horizontal="right"/>
    </xf>
    <xf numFmtId="0" fontId="49" fillId="6" borderId="0" xfId="27" applyFont="1" applyFill="1" applyAlignment="1">
      <alignment horizontal="center" wrapText="1"/>
    </xf>
    <xf numFmtId="0" fontId="6" fillId="0" borderId="0" xfId="27" applyFont="1"/>
    <xf numFmtId="0" fontId="6" fillId="0" borderId="0" xfId="22" applyFont="1" applyAlignment="1">
      <alignment horizontal="right"/>
    </xf>
    <xf numFmtId="0" fontId="86" fillId="0" borderId="0" xfId="0" applyFont="1" applyAlignment="1">
      <alignment horizontal="center"/>
    </xf>
    <xf numFmtId="0" fontId="86" fillId="0" borderId="0" xfId="33" applyFont="1" applyAlignment="1">
      <alignment horizontal="center"/>
    </xf>
    <xf numFmtId="0" fontId="6" fillId="0" borderId="0" xfId="34"/>
    <xf numFmtId="43" fontId="7" fillId="0" borderId="0" xfId="1" applyFont="1"/>
    <xf numFmtId="0" fontId="7" fillId="0" borderId="8" xfId="27" applyBorder="1"/>
    <xf numFmtId="43" fontId="7" fillId="0" borderId="8" xfId="1" applyFont="1" applyBorder="1"/>
    <xf numFmtId="43" fontId="7" fillId="0" borderId="0" xfId="1" applyFont="1" applyBorder="1"/>
    <xf numFmtId="167" fontId="25" fillId="9" borderId="0" xfId="1" applyNumberFormat="1" applyFont="1" applyFill="1"/>
    <xf numFmtId="0" fontId="56" fillId="8" borderId="12" xfId="2" applyFont="1" applyFill="1" applyBorder="1" applyAlignment="1">
      <alignment horizontal="centerContinuous"/>
    </xf>
    <xf numFmtId="0" fontId="5" fillId="0" borderId="0" xfId="27" applyFont="1"/>
    <xf numFmtId="43" fontId="54" fillId="0" borderId="0" xfId="29" applyFont="1" applyFill="1"/>
    <xf numFmtId="0" fontId="49" fillId="0" borderId="0" xfId="27" applyFont="1" applyAlignment="1">
      <alignment horizontal="center" wrapText="1"/>
    </xf>
    <xf numFmtId="1" fontId="49" fillId="0" borderId="0" xfId="27" applyNumberFormat="1" applyFont="1" applyAlignment="1">
      <alignment horizontal="center" wrapText="1"/>
    </xf>
    <xf numFmtId="0" fontId="49" fillId="0" borderId="0" xfId="0" applyFont="1" applyAlignment="1">
      <alignment horizontal="center" wrapText="1"/>
    </xf>
    <xf numFmtId="1" fontId="54" fillId="0" borderId="0" xfId="29" applyNumberFormat="1" applyFont="1" applyFill="1"/>
    <xf numFmtId="1" fontId="0" fillId="2" borderId="0" xfId="3" applyNumberFormat="1" applyFont="1" applyFill="1"/>
    <xf numFmtId="167" fontId="7" fillId="0" borderId="0" xfId="1" applyNumberFormat="1" applyFont="1"/>
    <xf numFmtId="167" fontId="54" fillId="0" borderId="0" xfId="29" applyNumberFormat="1" applyFont="1" applyFill="1"/>
    <xf numFmtId="167" fontId="54" fillId="0" borderId="0" xfId="29" applyNumberFormat="1" applyFont="1"/>
    <xf numFmtId="0" fontId="3" fillId="0" borderId="0" xfId="22" applyFont="1"/>
    <xf numFmtId="0" fontId="8" fillId="0" borderId="8" xfId="22" applyBorder="1"/>
    <xf numFmtId="167" fontId="8" fillId="0" borderId="8" xfId="1" applyNumberFormat="1" applyFont="1" applyBorder="1"/>
    <xf numFmtId="167" fontId="8" fillId="0" borderId="26" xfId="22" applyNumberFormat="1" applyBorder="1"/>
    <xf numFmtId="0" fontId="51" fillId="0" borderId="8" xfId="22" applyFont="1" applyBorder="1" applyAlignment="1">
      <alignment horizontal="center"/>
    </xf>
    <xf numFmtId="167" fontId="60" fillId="0" borderId="0" xfId="23" applyNumberFormat="1" applyFont="1"/>
    <xf numFmtId="0" fontId="2" fillId="0" borderId="0" xfId="27" applyFont="1"/>
    <xf numFmtId="0" fontId="2" fillId="0" borderId="0" xfId="22" applyFont="1" applyAlignment="1">
      <alignment horizontal="right"/>
    </xf>
    <xf numFmtId="43" fontId="25" fillId="0" borderId="0" xfId="1" applyFont="1"/>
    <xf numFmtId="43" fontId="25" fillId="0" borderId="0" xfId="1" applyFont="1" applyFill="1" applyBorder="1"/>
    <xf numFmtId="0" fontId="2" fillId="0" borderId="0" xfId="34" applyFont="1"/>
    <xf numFmtId="167" fontId="60" fillId="7" borderId="0" xfId="23" applyNumberFormat="1" applyFont="1" applyFill="1"/>
    <xf numFmtId="0" fontId="2" fillId="0" borderId="0" xfId="22" applyFont="1"/>
    <xf numFmtId="9" fontId="59" fillId="0" borderId="0" xfId="8" applyFont="1" applyAlignment="1">
      <alignment horizontal="left" vertical="top"/>
    </xf>
    <xf numFmtId="0" fontId="46" fillId="0" borderId="8" xfId="0" applyFont="1" applyBorder="1" applyAlignment="1">
      <alignment horizontal="center"/>
    </xf>
    <xf numFmtId="9" fontId="0" fillId="0" borderId="0" xfId="8" applyFont="1" applyAlignment="1">
      <alignment horizontal="left" vertical="top"/>
    </xf>
    <xf numFmtId="167" fontId="8" fillId="0" borderId="0" xfId="1" applyNumberFormat="1" applyFont="1"/>
    <xf numFmtId="167" fontId="60" fillId="10" borderId="0" xfId="23" applyNumberFormat="1" applyFont="1" applyFill="1"/>
    <xf numFmtId="167" fontId="8" fillId="10" borderId="0" xfId="1" applyNumberFormat="1" applyFont="1" applyFill="1"/>
    <xf numFmtId="167" fontId="8" fillId="7" borderId="0" xfId="1" applyNumberFormat="1" applyFont="1" applyFill="1"/>
    <xf numFmtId="43" fontId="7" fillId="0" borderId="0" xfId="27" applyNumberFormat="1"/>
    <xf numFmtId="43" fontId="7" fillId="10" borderId="0" xfId="1" applyFont="1" applyFill="1"/>
    <xf numFmtId="0" fontId="7" fillId="10" borderId="0" xfId="27" applyFill="1"/>
    <xf numFmtId="43" fontId="7" fillId="10" borderId="0" xfId="1" applyFont="1" applyFill="1" applyBorder="1"/>
    <xf numFmtId="167" fontId="7" fillId="10" borderId="0" xfId="1" applyNumberFormat="1" applyFont="1" applyFill="1" applyBorder="1"/>
    <xf numFmtId="167" fontId="7" fillId="10" borderId="0" xfId="1" applyNumberFormat="1" applyFont="1" applyFill="1"/>
    <xf numFmtId="0" fontId="1" fillId="0" borderId="0" xfId="27" applyFont="1"/>
    <xf numFmtId="0" fontId="56" fillId="8" borderId="12" xfId="2" applyFont="1" applyFill="1" applyBorder="1" applyAlignment="1">
      <alignment horizontal="center"/>
    </xf>
    <xf numFmtId="0" fontId="54" fillId="8" borderId="18" xfId="27" applyFont="1" applyFill="1" applyBorder="1" applyAlignment="1">
      <alignment horizontal="left"/>
    </xf>
    <xf numFmtId="49" fontId="54" fillId="8" borderId="20" xfId="27" applyNumberFormat="1" applyFont="1" applyFill="1" applyBorder="1" applyAlignment="1">
      <alignment horizontal="left"/>
    </xf>
    <xf numFmtId="49" fontId="54" fillId="8" borderId="19" xfId="27" applyNumberFormat="1" applyFont="1" applyFill="1" applyBorder="1" applyAlignment="1">
      <alignment horizontal="left"/>
    </xf>
    <xf numFmtId="0" fontId="67" fillId="6" borderId="0" xfId="27" applyFont="1" applyFill="1" applyAlignment="1">
      <alignment horizontal="center"/>
    </xf>
    <xf numFmtId="0" fontId="23" fillId="0" borderId="0" xfId="2" applyFont="1" applyAlignment="1">
      <alignment horizontal="center"/>
    </xf>
  </cellXfs>
  <cellStyles count="42">
    <cellStyle name="Accent2" xfId="25" builtinId="33"/>
    <cellStyle name="Accent6" xfId="26" builtinId="49"/>
    <cellStyle name="Comma" xfId="1" builtinId="3"/>
    <cellStyle name="Comma 10" xfId="5" xr:uid="{00000000-0005-0000-0000-000001000000}"/>
    <cellStyle name="Comma 12 2" xfId="7" xr:uid="{00000000-0005-0000-0000-000002000000}"/>
    <cellStyle name="Comma 2" xfId="3" xr:uid="{00000000-0005-0000-0000-000003000000}"/>
    <cellStyle name="Comma 2 2" xfId="10" xr:uid="{00000000-0005-0000-0000-000004000000}"/>
    <cellStyle name="Comma 3" xfId="11" xr:uid="{00000000-0005-0000-0000-000005000000}"/>
    <cellStyle name="Comma 4" xfId="19" xr:uid="{266D0626-6668-49B2-A604-969263DDC0B3}"/>
    <cellStyle name="Comma 5" xfId="21" xr:uid="{C4C45C57-A9F8-42E4-BBCB-DD7471BE1A44}"/>
    <cellStyle name="Comma 6" xfId="23" xr:uid="{75F9CF85-D7E2-43DB-825B-C668074265C8}"/>
    <cellStyle name="Comma 7" xfId="29" xr:uid="{50D82A0E-AF03-4333-AEC5-E536DEF8BA93}"/>
    <cellStyle name="Comma 7 2" xfId="32" xr:uid="{AD977BF6-CDA9-4CF8-96DA-B1D82359192D}"/>
    <cellStyle name="Comma 7 3" xfId="36" xr:uid="{4DFDE3F6-0FE1-41C7-AD91-B5B3E9016FAF}"/>
    <cellStyle name="Currency" xfId="9" builtinId="4"/>
    <cellStyle name="Normal" xfId="0" builtinId="0"/>
    <cellStyle name="Normal 10" xfId="37" xr:uid="{281430DB-A043-4A8B-A8B8-CFC477F1C7CE}"/>
    <cellStyle name="Normal 139" xfId="34" xr:uid="{944C4E07-98BB-4960-82ED-2D5F2BD554FE}"/>
    <cellStyle name="Normal 154" xfId="33" xr:uid="{0EABC431-FAED-426E-B6A1-E7EBC416D713}"/>
    <cellStyle name="Normal 2" xfId="4" xr:uid="{00000000-0005-0000-0000-000008000000}"/>
    <cellStyle name="Normal 2 2" xfId="13" xr:uid="{00000000-0005-0000-0000-000009000000}"/>
    <cellStyle name="Normal 2 3" xfId="14" xr:uid="{00000000-0005-0000-0000-00000A000000}"/>
    <cellStyle name="Normal 3" xfId="15" xr:uid="{00000000-0005-0000-0000-00000B000000}"/>
    <cellStyle name="Normal 3 2" xfId="40" xr:uid="{4F532BB5-41ED-43B8-8975-85A22D401CB1}"/>
    <cellStyle name="Normal 4" xfId="17" xr:uid="{00000000-0005-0000-0000-00000C000000}"/>
    <cellStyle name="Normal 5" xfId="18" xr:uid="{270A3DC3-49AC-42BF-9041-105B0BE21E95}"/>
    <cellStyle name="Normal 5 2" xfId="38" xr:uid="{D60F8AFE-628B-4373-A66E-EE14CA55B423}"/>
    <cellStyle name="Normal 6" xfId="20" xr:uid="{E26A2F5E-D6B6-4D5B-9106-C0C8FA6F49BF}"/>
    <cellStyle name="Normal 7" xfId="22" xr:uid="{60063269-AEBE-450B-ACE6-DFAFB724F0B6}"/>
    <cellStyle name="Normal 8" xfId="27" xr:uid="{D328B470-F862-4EFC-82FF-C1C4D6D57EE5}"/>
    <cellStyle name="Normal 8 2" xfId="31" xr:uid="{40155BB6-D040-4D84-BFB8-E3CF087B273D}"/>
    <cellStyle name="Normal 8 3" xfId="35" xr:uid="{21C5E1FF-B365-4D9E-BD2E-84B075DC668F}"/>
    <cellStyle name="Normal 9" xfId="30" xr:uid="{15B7300D-4346-4A01-9EA3-0D87BF05F5A6}"/>
    <cellStyle name="Normal_Clark County Depr 12-31-10 R" xfId="24" xr:uid="{02386256-C176-4994-AB86-E8F4F68A1D51}"/>
    <cellStyle name="Normal_Depr 2144 3-31-12" xfId="2" xr:uid="{00000000-0005-0000-0000-00000D000000}"/>
    <cellStyle name="Normal_Report 2" xfId="28" xr:uid="{EBB2665F-8EEB-4737-B51B-12F20EA59ECE}"/>
    <cellStyle name="Percent" xfId="8" builtinId="5"/>
    <cellStyle name="Percent 11" xfId="16" xr:uid="{00000000-0005-0000-0000-000011000000}"/>
    <cellStyle name="Percent 11 2" xfId="41" xr:uid="{F7DDE368-D886-40C5-AD6E-9CA419926BB3}"/>
    <cellStyle name="Percent 2" xfId="6" xr:uid="{00000000-0005-0000-0000-000012000000}"/>
    <cellStyle name="Percent 3" xfId="12" xr:uid="{00000000-0005-0000-0000-000013000000}"/>
    <cellStyle name="Percent 4" xfId="39" xr:uid="{E31D2FC2-71DB-4D6B-AE49-B2BC6E0BD381}"/>
  </cellStyles>
  <dxfs count="12"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LeMay%20Companies\2018\Budget%20Pro%20formas\PCR%20Pro%20Forma%207.31.18\PCR%20Pro%20froma%207-31-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ControllerDir\JoeW\My%20Local%20Documents\OPF\Rate%20Reviews\2016\2016%20OPF%20Master%20DCR%20V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urrey%20%202111\General%20Rate%20Filings\Rate%20Filing%201-1-2019\Fuel%20Sta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MistyC\Current\DISTRICTS\2012%20-%20Cascade\Special%20Projects\Rate%20Reviews\2011\0912%202012%20Fixed%20Assets%20Depreci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saywa\AppData\Local\Interject\FileCache\Capital%20-%20Budget%20Input%20v1.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032%20Waste%20Control\Budget%20Analysis\2021\.Waste%20Control%20Budget%20Pro%20forma%2008.31.2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saywa\AppData\Local\Interject\FileCache\FAR_v3d_v1.0.8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144%20Island%20Disposal\Depreciation\2020\Island%20Depreciation%2012.31.20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0%20Western%20Region%20Office/WUTC/WIP%20Files/2032%20Waste%20Control/General%20Rate%20Filings/Waste%20Control%2010.31.22/.Waste%20Control%20Pro%20forma%2010.31.202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2000%20Western%20Region%20Office\WUTC\WIP%20Files\2032%20Waste%20Control\General%20Rate%20Filings\Waste%20Control%2010.31.22\.Waste%20Control%20Pro%20forma%2010.31.202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IP%20Files\2032%20Waste%20Control\Depreciation\Waste%20Control%20Depreciation%20Pre-Aquisition%205.21.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Mason\Rate%20Increase%201-1-2013\1%20Filing%2011-14-2012\Revised%202-21-2013\staff%20Mason%20Proforma%209-30-2012-Linked%20Cust%20Count%20Fix%2012-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 refreshError="1">
        <row r="3">
          <cell r="C3">
            <v>39783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OK!: ReportRange Formula OK [jAction{}]</v>
          </cell>
        </row>
        <row r="23">
          <cell r="C23">
            <v>12397</v>
          </cell>
          <cell r="D23">
            <v>2032</v>
          </cell>
          <cell r="E23" t="str">
            <v>New Peterbilt/Labrie Automated Resi (28 yd) (Not Manual)</v>
          </cell>
          <cell r="F23" t="str">
            <v>N</v>
          </cell>
          <cell r="G23" t="str">
            <v>Automated Sideloader</v>
          </cell>
          <cell r="H23" t="str">
            <v>Automated Sideloader</v>
          </cell>
          <cell r="I23">
            <v>393947</v>
          </cell>
          <cell r="J23">
            <v>0</v>
          </cell>
          <cell r="K23" t="str">
            <v>2032-22-0005-1</v>
          </cell>
        </row>
        <row r="24">
          <cell r="C24">
            <v>16656</v>
          </cell>
          <cell r="D24">
            <v>2032</v>
          </cell>
          <cell r="E24" t="str">
            <v>New Other/Other Roll Off  (Chain System)</v>
          </cell>
          <cell r="F24" t="str">
            <v>N</v>
          </cell>
          <cell r="G24" t="str">
            <v>Roll Off</v>
          </cell>
          <cell r="H24" t="str">
            <v>Roll Off</v>
          </cell>
          <cell r="I24">
            <v>356287</v>
          </cell>
        </row>
        <row r="25">
          <cell r="C25">
            <v>16656</v>
          </cell>
          <cell r="D25">
            <v>2032</v>
          </cell>
          <cell r="E25" t="str">
            <v>New Peterbilt/Other Roll Off  (Chain System)</v>
          </cell>
          <cell r="F25" t="str">
            <v>N</v>
          </cell>
          <cell r="G25" t="str">
            <v>Roll Off</v>
          </cell>
          <cell r="H25" t="str">
            <v>Roll Off</v>
          </cell>
          <cell r="I25">
            <v>356287</v>
          </cell>
        </row>
        <row r="26">
          <cell r="C26">
            <v>17108</v>
          </cell>
          <cell r="D26">
            <v>2032</v>
          </cell>
          <cell r="E26" t="str">
            <v>New Peterbilt/Labrie Retriever (11yd)</v>
          </cell>
          <cell r="F26" t="str">
            <v>N</v>
          </cell>
          <cell r="G26" t="str">
            <v>Retriever</v>
          </cell>
          <cell r="H26" t="str">
            <v>Retriever</v>
          </cell>
          <cell r="I26">
            <v>300882</v>
          </cell>
        </row>
        <row r="32">
          <cell r="C32" t="str">
            <v>PO Subtype</v>
          </cell>
          <cell r="D32" t="str">
            <v>Truck Center System Type</v>
          </cell>
        </row>
        <row r="33">
          <cell r="C33" t="str">
            <v>Automated</v>
          </cell>
          <cell r="D33" t="str">
            <v>Automated Sideloader</v>
          </cell>
        </row>
        <row r="34">
          <cell r="C34" t="str">
            <v>Container Delivery Truck</v>
          </cell>
          <cell r="D34" t="str">
            <v>Container Delivery</v>
          </cell>
        </row>
        <row r="35">
          <cell r="C35" t="str">
            <v>Front Load</v>
          </cell>
          <cell r="D35" t="str">
            <v>Front Loader</v>
          </cell>
        </row>
        <row r="36">
          <cell r="C36" t="str">
            <v>Grapple Brush Truck</v>
          </cell>
          <cell r="D36" t="str">
            <v>Grapple Truck</v>
          </cell>
        </row>
        <row r="37">
          <cell r="C37" t="str">
            <v>Hook Lift</v>
          </cell>
          <cell r="D37" t="str">
            <v>Hook Lift</v>
          </cell>
        </row>
        <row r="38">
          <cell r="C38" t="str">
            <v>Sideloader</v>
          </cell>
          <cell r="D38" t="str">
            <v>Sideloader</v>
          </cell>
        </row>
        <row r="39">
          <cell r="C39" t="str">
            <v>Sideloader</v>
          </cell>
          <cell r="D39" t="str">
            <v>Sideloader</v>
          </cell>
        </row>
        <row r="40">
          <cell r="C40" t="str">
            <v>Other Truck</v>
          </cell>
          <cell r="D40" t="str">
            <v>Other</v>
          </cell>
        </row>
        <row r="41">
          <cell r="C41" t="str">
            <v>Passenger Car</v>
          </cell>
          <cell r="D41" t="str">
            <v>Other</v>
          </cell>
        </row>
        <row r="42">
          <cell r="C42" t="str">
            <v>Pickup</v>
          </cell>
          <cell r="D42" t="str">
            <v>Pickup</v>
          </cell>
        </row>
        <row r="43">
          <cell r="C43" t="str">
            <v>Pumper Truck</v>
          </cell>
          <cell r="D43" t="str">
            <v>Pumper Truck</v>
          </cell>
        </row>
        <row r="44">
          <cell r="C44" t="str">
            <v>Rear Load</v>
          </cell>
          <cell r="D44" t="str">
            <v>Rear Loader</v>
          </cell>
        </row>
        <row r="45">
          <cell r="C45" t="str">
            <v>Recycle Truck</v>
          </cell>
          <cell r="D45" t="str">
            <v>Recycle</v>
          </cell>
        </row>
        <row r="46">
          <cell r="C46" t="str">
            <v>Retriever</v>
          </cell>
          <cell r="D46" t="str">
            <v>Retriever</v>
          </cell>
        </row>
        <row r="47">
          <cell r="C47" t="str">
            <v>Roll Off</v>
          </cell>
          <cell r="D47" t="str">
            <v>Roll Off</v>
          </cell>
        </row>
        <row r="48">
          <cell r="C48" t="str">
            <v>Service Truck</v>
          </cell>
          <cell r="D48" t="str">
            <v>Service Truck</v>
          </cell>
        </row>
        <row r="49">
          <cell r="C49" t="str">
            <v>Service Truck</v>
          </cell>
          <cell r="D49" t="str">
            <v>Service Truck</v>
          </cell>
        </row>
        <row r="50">
          <cell r="C50" t="str">
            <v>Tipper Trailer</v>
          </cell>
          <cell r="D50" t="str">
            <v>Trailer</v>
          </cell>
        </row>
        <row r="51">
          <cell r="C51" t="str">
            <v>Walking Floor Trailer</v>
          </cell>
          <cell r="D51" t="str">
            <v>Trailer</v>
          </cell>
        </row>
        <row r="52">
          <cell r="C52" t="str">
            <v>Roll Off Pup Trailer</v>
          </cell>
          <cell r="D52" t="str">
            <v>Trailer</v>
          </cell>
        </row>
        <row r="53">
          <cell r="C53" t="str">
            <v>Other Trailer</v>
          </cell>
          <cell r="D53" t="str">
            <v>Trailer</v>
          </cell>
        </row>
        <row r="54">
          <cell r="C54" t="str">
            <v>Container Delivery Trailer</v>
          </cell>
          <cell r="D54" t="str">
            <v>Trailer</v>
          </cell>
        </row>
        <row r="55">
          <cell r="C55" t="str">
            <v>Railroad Cars</v>
          </cell>
          <cell r="D55" t="str">
            <v>Trailer</v>
          </cell>
        </row>
        <row r="56">
          <cell r="C56" t="str">
            <v>Barge</v>
          </cell>
          <cell r="D56" t="str">
            <v>Trailer</v>
          </cell>
        </row>
        <row r="57">
          <cell r="C57" t="str">
            <v>Transfer Tractor</v>
          </cell>
          <cell r="D57" t="str">
            <v>Transfer Tractor</v>
          </cell>
        </row>
        <row r="58">
          <cell r="C58" t="str">
            <v>ATV/Gator</v>
          </cell>
          <cell r="D58" t="str">
            <v>UTV</v>
          </cell>
        </row>
        <row r="59">
          <cell r="C59" t="str">
            <v>Yard Mule</v>
          </cell>
          <cell r="D59" t="str">
            <v>Yard Mule</v>
          </cell>
        </row>
        <row r="60">
          <cell r="C60" t="str">
            <v>Automated</v>
          </cell>
          <cell r="D60" t="str">
            <v>Automated Sideloader</v>
          </cell>
        </row>
        <row r="61">
          <cell r="C61" t="str">
            <v>Container Delivery Truck</v>
          </cell>
          <cell r="D61" t="str">
            <v>Container Delivery</v>
          </cell>
        </row>
        <row r="62">
          <cell r="C62" t="str">
            <v>Front Load</v>
          </cell>
          <cell r="D62" t="str">
            <v>Front Loader</v>
          </cell>
        </row>
        <row r="63">
          <cell r="C63" t="str">
            <v>Grapple Brush Truck</v>
          </cell>
          <cell r="D63" t="str">
            <v>Grapple Truck</v>
          </cell>
        </row>
        <row r="64">
          <cell r="C64" t="str">
            <v>Hook Lift</v>
          </cell>
          <cell r="D64" t="str">
            <v>Hook Lift</v>
          </cell>
        </row>
        <row r="65">
          <cell r="C65" t="str">
            <v>Sideloader</v>
          </cell>
          <cell r="D65" t="str">
            <v>Manual Sideloader</v>
          </cell>
        </row>
        <row r="66">
          <cell r="C66" t="str">
            <v>Other Truck</v>
          </cell>
          <cell r="D66" t="str">
            <v>Other</v>
          </cell>
        </row>
        <row r="67">
          <cell r="C67" t="str">
            <v>Pickup</v>
          </cell>
          <cell r="D67" t="str">
            <v>Pickup</v>
          </cell>
        </row>
        <row r="68">
          <cell r="C68" t="str">
            <v>Pumper Truck</v>
          </cell>
          <cell r="D68" t="str">
            <v>Pumper Truck</v>
          </cell>
        </row>
        <row r="69">
          <cell r="C69" t="str">
            <v>Rear Load</v>
          </cell>
          <cell r="D69" t="str">
            <v>Rear Loader</v>
          </cell>
        </row>
        <row r="70">
          <cell r="C70" t="str">
            <v>Recycle Truck</v>
          </cell>
          <cell r="D70" t="str">
            <v>Recycle</v>
          </cell>
        </row>
        <row r="71">
          <cell r="C71" t="str">
            <v>Retriever</v>
          </cell>
          <cell r="D71" t="str">
            <v>Retriever</v>
          </cell>
        </row>
        <row r="72">
          <cell r="C72" t="str">
            <v>Roll Off</v>
          </cell>
          <cell r="D72" t="str">
            <v>Roll Off</v>
          </cell>
        </row>
        <row r="73">
          <cell r="C73" t="str">
            <v>Service Truck</v>
          </cell>
          <cell r="D73" t="str">
            <v>Serv Trk-Complete</v>
          </cell>
        </row>
        <row r="74">
          <cell r="C74" t="str">
            <v>Tipper Trailer</v>
          </cell>
          <cell r="D74" t="str">
            <v>Trailer</v>
          </cell>
        </row>
        <row r="75">
          <cell r="C75" t="str">
            <v>Walking Floor Trailer</v>
          </cell>
          <cell r="D75" t="str">
            <v>Trailer</v>
          </cell>
        </row>
        <row r="76">
          <cell r="C76" t="str">
            <v>Roll Off Pup Trailer</v>
          </cell>
          <cell r="D76" t="str">
            <v>Trailer</v>
          </cell>
        </row>
        <row r="77">
          <cell r="C77" t="str">
            <v>Barge</v>
          </cell>
          <cell r="D77" t="str">
            <v>Trailer</v>
          </cell>
        </row>
        <row r="78">
          <cell r="C78" t="str">
            <v>Railroad Cars</v>
          </cell>
          <cell r="D78" t="str">
            <v>Trailer</v>
          </cell>
        </row>
        <row r="79">
          <cell r="C79" t="str">
            <v>Container Delivery Trailer</v>
          </cell>
          <cell r="D79" t="str">
            <v>Trailer</v>
          </cell>
        </row>
        <row r="80">
          <cell r="C80" t="str">
            <v>Other Trailer</v>
          </cell>
          <cell r="D80" t="str">
            <v>Trailer</v>
          </cell>
        </row>
        <row r="81">
          <cell r="C81" t="str">
            <v>Transfer Tractor</v>
          </cell>
          <cell r="D81" t="str">
            <v>Transfer Tractor</v>
          </cell>
        </row>
        <row r="82">
          <cell r="C82" t="str">
            <v>Yard Mule</v>
          </cell>
          <cell r="D82" t="str">
            <v>Yard Mule</v>
          </cell>
        </row>
        <row r="83">
          <cell r="C83" t="str">
            <v>ATV/Gator</v>
          </cell>
          <cell r="D83" t="str">
            <v>UTV</v>
          </cell>
        </row>
      </sheetData>
      <sheetData sheetId="7">
        <row r="7">
          <cell r="C7" t="str">
            <v>OK!: ReportRange Formula OK [jAction{}]</v>
          </cell>
        </row>
      </sheetData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32 IS (C)"/>
      <sheetName val="2031 IS (C)"/>
      <sheetName val="Master IS (C)"/>
      <sheetName val="LG Public"/>
      <sheetName val="COVID JE Query"/>
      <sheetName val="LOB (C)"/>
      <sheetName val="Restating Adj (C)"/>
      <sheetName val="2022 Bud Capital Input"/>
      <sheetName val="2021 Bud Capital Input"/>
      <sheetName val="Depr Summary"/>
      <sheetName val="UTC Revenue"/>
      <sheetName val="Pro forma Adj (C)"/>
      <sheetName val="Allocators (C)"/>
      <sheetName val="2032 BS 8.2021 (C)"/>
      <sheetName val="2031 BS 8.2021 (C)"/>
      <sheetName val="2032_BS 9.2020 (C)"/>
      <sheetName val="2031_BS 9.2020 (C)"/>
      <sheetName val="401k JE Query"/>
      <sheetName val="43001 JE Query"/>
      <sheetName val="57147 JE Query 2032"/>
      <sheetName val="57147 JE Query 2031"/>
      <sheetName val="Asset GainLoss JE Query"/>
      <sheetName val="57147 JE Query Summary"/>
      <sheetName val="Interject_LastPulledValues"/>
      <sheetName val="Region OH"/>
      <sheetName val="Corp-OH (C)"/>
      <sheetName val="DVP-DivCon Allocs  (C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9">
          <cell r="C79">
            <v>0.19973225334683314</v>
          </cell>
          <cell r="D79">
            <v>0.40862189222634715</v>
          </cell>
          <cell r="E79">
            <v>0.39164585442681965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ject_LastPulledValues"/>
      <sheetName val="Post-Acquistion Dep Summary"/>
      <sheetName val="Assets"/>
      <sheetName val="ProjDepr"/>
      <sheetName val="District Summary"/>
      <sheetName val="Invoice"/>
    </sheetNames>
    <sheetDataSet>
      <sheetData sheetId="0"/>
      <sheetData sheetId="1"/>
      <sheetData sheetId="2" refreshError="1"/>
      <sheetData sheetId="3">
        <row r="3">
          <cell r="D3" t="str">
            <v>OK!: ReportRange Formula OK [jAction{}]</v>
          </cell>
        </row>
        <row r="19">
          <cell r="D19" t="str">
            <v>2022-11</v>
          </cell>
        </row>
      </sheetData>
      <sheetData sheetId="4"/>
      <sheetData sheetId="5">
        <row r="2">
          <cell r="C2" t="str">
            <v>OK!: ReportRange Formula OK [jAction{}]</v>
          </cell>
        </row>
        <row r="8">
          <cell r="E8" t="str">
            <v/>
          </cell>
        </row>
        <row r="9">
          <cell r="E9" t="str">
            <v/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 Summary"/>
      <sheetName val="2144 Trks"/>
      <sheetName val="Truck Allocation"/>
      <sheetName val="2144 Cont, DB"/>
      <sheetName val="2144 Shop,Serv"/>
      <sheetName val="2144 Other"/>
      <sheetName val="2144 Trks Orig"/>
      <sheetName val="2144 Cont, DB Orig"/>
      <sheetName val="2144 Shop,Serv Orig"/>
      <sheetName val="2144 Other Orig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O14">
            <v>120077</v>
          </cell>
        </row>
      </sheetData>
      <sheetData sheetId="7" refreshError="1"/>
      <sheetData sheetId="8">
        <row r="42">
          <cell r="N42">
            <v>20840</v>
          </cell>
          <cell r="P42">
            <v>13962.8</v>
          </cell>
        </row>
      </sheetData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31 IS (C)"/>
      <sheetName val="2032 IS (C)"/>
      <sheetName val="Master IS (C)"/>
      <sheetName val="Restating Adj (C)"/>
      <sheetName val="2032 Payroll Schedule (C)"/>
      <sheetName val="2031 Payroll Schedule (C)"/>
      <sheetName val="Pro forma Adj (C)"/>
      <sheetName val="Depr Summary"/>
      <sheetName val="Allocators (C)"/>
      <sheetName val="LG Public"/>
      <sheetName val="Disposal Nov 21-Oct 22 (C)"/>
      <sheetName val="2032 BS 10.2022 (C)"/>
      <sheetName val="2032_BS 10.2021 (C)"/>
      <sheetName val="41201 JE Query 2032 (C)"/>
      <sheetName val="43001 JE Query (C)"/>
      <sheetName val="57147 JE Query 2031 (C)"/>
      <sheetName val="57147 JE Query 2032 (C)"/>
      <sheetName val="57147 JE Query Summary (C)"/>
      <sheetName val="57357 Query 2031 (C)"/>
      <sheetName val="70195 JE Query 2032 (C)"/>
      <sheetName val="70310 JE Query (C)"/>
      <sheetName val="Interject_LastPulledValues"/>
      <sheetName val="2032 Region OH (C)"/>
      <sheetName val="Corp BS &amp; IS"/>
      <sheetName val="Corp-OH (C)"/>
      <sheetName val="DVP-DivCon Allocs  (C)"/>
    </sheetNames>
    <sheetDataSet>
      <sheetData sheetId="0"/>
      <sheetData sheetId="1">
        <row r="20">
          <cell r="AN20">
            <v>0.51700974076857442</v>
          </cell>
        </row>
        <row r="21">
          <cell r="AN21">
            <v>0.48299025923142552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31 IS (C)"/>
      <sheetName val="2032 IS (C)"/>
      <sheetName val="Master IS (C)"/>
      <sheetName val="LOB (C)"/>
      <sheetName val="LG Public"/>
      <sheetName val="Restating Adj (C)"/>
      <sheetName val="Pro forma Adj (C)"/>
      <sheetName val="Depr Summary"/>
      <sheetName val="UTC Revenue"/>
      <sheetName val="Allocators (C)"/>
      <sheetName val="2032 BS 10.2022 (C)"/>
      <sheetName val="2032_BS 10.2021 (C)"/>
      <sheetName val="41201 JE Query 2032"/>
      <sheetName val="43001 JE Query"/>
      <sheetName val="55135 JE Query 2032"/>
      <sheetName val="57147 JE Query 2031"/>
      <sheetName val="57147 JE Query 2032"/>
      <sheetName val="57147 JE Query Summary"/>
      <sheetName val="57357 Query 2031"/>
      <sheetName val="57357 Query 2032"/>
      <sheetName val="70195 JE Query 2032"/>
      <sheetName val="70310 JE Query"/>
      <sheetName val="70335 JE Query"/>
      <sheetName val="9100 Asset GainLoss JE Query"/>
      <sheetName val="10070 JE Querry"/>
      <sheetName val="Interject_LastPulledValues"/>
      <sheetName val="2032 Region OH"/>
      <sheetName val="Corp BS &amp; IS"/>
      <sheetName val="Corp-OH (C)"/>
      <sheetName val="DVP-DivCon Allocs  (C)"/>
      <sheetName val="2031 BS 10.2022 (C)"/>
      <sheetName val="2031_BS 10.2021 (C)"/>
      <sheetName val="41201 JE Query 2031"/>
      <sheetName val="51295 Query 2031"/>
      <sheetName val="52182 JE Query 2032"/>
      <sheetName val="Region OH"/>
      <sheetName val="Disposal Nov 21-Oct 2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>
        <row r="79">
          <cell r="C79">
            <v>0</v>
          </cell>
          <cell r="D79">
            <v>0</v>
          </cell>
          <cell r="E79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361">
          <cell r="H361">
            <v>4319197.5199999996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3"/>
  <sheetViews>
    <sheetView showGridLines="0" tabSelected="1" view="pageBreakPreview" topLeftCell="K1" zoomScale="85" zoomScaleNormal="100" zoomScaleSheetLayoutView="85" workbookViewId="0">
      <selection activeCell="AB61" sqref="AB61"/>
    </sheetView>
  </sheetViews>
  <sheetFormatPr defaultColWidth="22" defaultRowHeight="12" x14ac:dyDescent="0.2"/>
  <cols>
    <col min="1" max="1" width="31" style="33" customWidth="1"/>
    <col min="2" max="2" width="11.6640625" style="33" bestFit="1" customWidth="1"/>
    <col min="3" max="3" width="8.6640625" style="33" bestFit="1" customWidth="1"/>
    <col min="4" max="4" width="11.6640625" style="33" bestFit="1" customWidth="1"/>
    <col min="5" max="5" width="10.1640625" style="33" bestFit="1" customWidth="1"/>
    <col min="6" max="6" width="12.83203125" style="33" bestFit="1" customWidth="1"/>
    <col min="7" max="7" width="13.33203125" style="33" bestFit="1" customWidth="1"/>
    <col min="8" max="8" width="11.6640625" style="33" bestFit="1" customWidth="1"/>
    <col min="9" max="9" width="17.1640625" style="33" customWidth="1"/>
    <col min="10" max="10" width="26.6640625" style="33" bestFit="1" customWidth="1"/>
    <col min="11" max="11" width="11.6640625" style="33" bestFit="1" customWidth="1"/>
    <col min="12" max="12" width="8.6640625" style="33" bestFit="1" customWidth="1"/>
    <col min="13" max="13" width="12.83203125" style="33" customWidth="1"/>
    <col min="14" max="14" width="14.33203125" style="33" customWidth="1"/>
    <col min="15" max="15" width="13" style="33" customWidth="1"/>
    <col min="16" max="17" width="13.1640625" style="33" customWidth="1"/>
    <col min="18" max="18" width="17.1640625" style="33" customWidth="1"/>
    <col min="19" max="19" width="26.6640625" style="33" bestFit="1" customWidth="1"/>
    <col min="20" max="20" width="12.33203125" style="33" bestFit="1" customWidth="1"/>
    <col min="21" max="21" width="8.6640625" style="33" bestFit="1" customWidth="1"/>
    <col min="22" max="22" width="12.83203125" style="33" customWidth="1"/>
    <col min="23" max="23" width="14.33203125" style="33" customWidth="1"/>
    <col min="24" max="24" width="13" style="33" customWidth="1"/>
    <col min="25" max="26" width="13.1640625" style="33" customWidth="1"/>
    <col min="27" max="27" width="17.1640625" style="33" customWidth="1"/>
    <col min="28" max="28" width="22" style="33"/>
    <col min="29" max="29" width="15.33203125" style="33" customWidth="1"/>
    <col min="30" max="30" width="16" style="33" customWidth="1"/>
    <col min="31" max="31" width="15.33203125" style="33" customWidth="1"/>
    <col min="32" max="32" width="18.1640625" style="33" customWidth="1"/>
    <col min="33" max="34" width="17.6640625" style="33" customWidth="1"/>
    <col min="35" max="35" width="18.1640625" style="33" customWidth="1"/>
    <col min="36" max="265" width="22" style="33"/>
    <col min="266" max="266" width="31" style="33" customWidth="1"/>
    <col min="267" max="267" width="15" style="33" bestFit="1" customWidth="1"/>
    <col min="268" max="268" width="12.83203125" style="33" bestFit="1" customWidth="1"/>
    <col min="269" max="269" width="17" style="33" bestFit="1" customWidth="1"/>
    <col min="270" max="270" width="15.33203125" style="33" bestFit="1" customWidth="1"/>
    <col min="271" max="272" width="16.33203125" style="33" bestFit="1" customWidth="1"/>
    <col min="273" max="273" width="16" style="33" bestFit="1" customWidth="1"/>
    <col min="274" max="274" width="16.6640625" style="33" customWidth="1"/>
    <col min="275" max="521" width="22" style="33"/>
    <col min="522" max="522" width="31" style="33" customWidth="1"/>
    <col min="523" max="523" width="15" style="33" bestFit="1" customWidth="1"/>
    <col min="524" max="524" width="12.83203125" style="33" bestFit="1" customWidth="1"/>
    <col min="525" max="525" width="17" style="33" bestFit="1" customWidth="1"/>
    <col min="526" max="526" width="15.33203125" style="33" bestFit="1" customWidth="1"/>
    <col min="527" max="528" width="16.33203125" style="33" bestFit="1" customWidth="1"/>
    <col min="529" max="529" width="16" style="33" bestFit="1" customWidth="1"/>
    <col min="530" max="530" width="16.6640625" style="33" customWidth="1"/>
    <col min="531" max="777" width="22" style="33"/>
    <col min="778" max="778" width="31" style="33" customWidth="1"/>
    <col min="779" max="779" width="15" style="33" bestFit="1" customWidth="1"/>
    <col min="780" max="780" width="12.83203125" style="33" bestFit="1" customWidth="1"/>
    <col min="781" max="781" width="17" style="33" bestFit="1" customWidth="1"/>
    <col min="782" max="782" width="15.33203125" style="33" bestFit="1" customWidth="1"/>
    <col min="783" max="784" width="16.33203125" style="33" bestFit="1" customWidth="1"/>
    <col min="785" max="785" width="16" style="33" bestFit="1" customWidth="1"/>
    <col min="786" max="786" width="16.6640625" style="33" customWidth="1"/>
    <col min="787" max="1033" width="22" style="33"/>
    <col min="1034" max="1034" width="31" style="33" customWidth="1"/>
    <col min="1035" max="1035" width="15" style="33" bestFit="1" customWidth="1"/>
    <col min="1036" max="1036" width="12.83203125" style="33" bestFit="1" customWidth="1"/>
    <col min="1037" max="1037" width="17" style="33" bestFit="1" customWidth="1"/>
    <col min="1038" max="1038" width="15.33203125" style="33" bestFit="1" customWidth="1"/>
    <col min="1039" max="1040" width="16.33203125" style="33" bestFit="1" customWidth="1"/>
    <col min="1041" max="1041" width="16" style="33" bestFit="1" customWidth="1"/>
    <col min="1042" max="1042" width="16.6640625" style="33" customWidth="1"/>
    <col min="1043" max="1289" width="22" style="33"/>
    <col min="1290" max="1290" width="31" style="33" customWidth="1"/>
    <col min="1291" max="1291" width="15" style="33" bestFit="1" customWidth="1"/>
    <col min="1292" max="1292" width="12.83203125" style="33" bestFit="1" customWidth="1"/>
    <col min="1293" max="1293" width="17" style="33" bestFit="1" customWidth="1"/>
    <col min="1294" max="1294" width="15.33203125" style="33" bestFit="1" customWidth="1"/>
    <col min="1295" max="1296" width="16.33203125" style="33" bestFit="1" customWidth="1"/>
    <col min="1297" max="1297" width="16" style="33" bestFit="1" customWidth="1"/>
    <col min="1298" max="1298" width="16.6640625" style="33" customWidth="1"/>
    <col min="1299" max="1545" width="22" style="33"/>
    <col min="1546" max="1546" width="31" style="33" customWidth="1"/>
    <col min="1547" max="1547" width="15" style="33" bestFit="1" customWidth="1"/>
    <col min="1548" max="1548" width="12.83203125" style="33" bestFit="1" customWidth="1"/>
    <col min="1549" max="1549" width="17" style="33" bestFit="1" customWidth="1"/>
    <col min="1550" max="1550" width="15.33203125" style="33" bestFit="1" customWidth="1"/>
    <col min="1551" max="1552" width="16.33203125" style="33" bestFit="1" customWidth="1"/>
    <col min="1553" max="1553" width="16" style="33" bestFit="1" customWidth="1"/>
    <col min="1554" max="1554" width="16.6640625" style="33" customWidth="1"/>
    <col min="1555" max="1801" width="22" style="33"/>
    <col min="1802" max="1802" width="31" style="33" customWidth="1"/>
    <col min="1803" max="1803" width="15" style="33" bestFit="1" customWidth="1"/>
    <col min="1804" max="1804" width="12.83203125" style="33" bestFit="1" customWidth="1"/>
    <col min="1805" max="1805" width="17" style="33" bestFit="1" customWidth="1"/>
    <col min="1806" max="1806" width="15.33203125" style="33" bestFit="1" customWidth="1"/>
    <col min="1807" max="1808" width="16.33203125" style="33" bestFit="1" customWidth="1"/>
    <col min="1809" max="1809" width="16" style="33" bestFit="1" customWidth="1"/>
    <col min="1810" max="1810" width="16.6640625" style="33" customWidth="1"/>
    <col min="1811" max="2057" width="22" style="33"/>
    <col min="2058" max="2058" width="31" style="33" customWidth="1"/>
    <col min="2059" max="2059" width="15" style="33" bestFit="1" customWidth="1"/>
    <col min="2060" max="2060" width="12.83203125" style="33" bestFit="1" customWidth="1"/>
    <col min="2061" max="2061" width="17" style="33" bestFit="1" customWidth="1"/>
    <col min="2062" max="2062" width="15.33203125" style="33" bestFit="1" customWidth="1"/>
    <col min="2063" max="2064" width="16.33203125" style="33" bestFit="1" customWidth="1"/>
    <col min="2065" max="2065" width="16" style="33" bestFit="1" customWidth="1"/>
    <col min="2066" max="2066" width="16.6640625" style="33" customWidth="1"/>
    <col min="2067" max="2313" width="22" style="33"/>
    <col min="2314" max="2314" width="31" style="33" customWidth="1"/>
    <col min="2315" max="2315" width="15" style="33" bestFit="1" customWidth="1"/>
    <col min="2316" max="2316" width="12.83203125" style="33" bestFit="1" customWidth="1"/>
    <col min="2317" max="2317" width="17" style="33" bestFit="1" customWidth="1"/>
    <col min="2318" max="2318" width="15.33203125" style="33" bestFit="1" customWidth="1"/>
    <col min="2319" max="2320" width="16.33203125" style="33" bestFit="1" customWidth="1"/>
    <col min="2321" max="2321" width="16" style="33" bestFit="1" customWidth="1"/>
    <col min="2322" max="2322" width="16.6640625" style="33" customWidth="1"/>
    <col min="2323" max="2569" width="22" style="33"/>
    <col min="2570" max="2570" width="31" style="33" customWidth="1"/>
    <col min="2571" max="2571" width="15" style="33" bestFit="1" customWidth="1"/>
    <col min="2572" max="2572" width="12.83203125" style="33" bestFit="1" customWidth="1"/>
    <col min="2573" max="2573" width="17" style="33" bestFit="1" customWidth="1"/>
    <col min="2574" max="2574" width="15.33203125" style="33" bestFit="1" customWidth="1"/>
    <col min="2575" max="2576" width="16.33203125" style="33" bestFit="1" customWidth="1"/>
    <col min="2577" max="2577" width="16" style="33" bestFit="1" customWidth="1"/>
    <col min="2578" max="2578" width="16.6640625" style="33" customWidth="1"/>
    <col min="2579" max="2825" width="22" style="33"/>
    <col min="2826" max="2826" width="31" style="33" customWidth="1"/>
    <col min="2827" max="2827" width="15" style="33" bestFit="1" customWidth="1"/>
    <col min="2828" max="2828" width="12.83203125" style="33" bestFit="1" customWidth="1"/>
    <col min="2829" max="2829" width="17" style="33" bestFit="1" customWidth="1"/>
    <col min="2830" max="2830" width="15.33203125" style="33" bestFit="1" customWidth="1"/>
    <col min="2831" max="2832" width="16.33203125" style="33" bestFit="1" customWidth="1"/>
    <col min="2833" max="2833" width="16" style="33" bestFit="1" customWidth="1"/>
    <col min="2834" max="2834" width="16.6640625" style="33" customWidth="1"/>
    <col min="2835" max="3081" width="22" style="33"/>
    <col min="3082" max="3082" width="31" style="33" customWidth="1"/>
    <col min="3083" max="3083" width="15" style="33" bestFit="1" customWidth="1"/>
    <col min="3084" max="3084" width="12.83203125" style="33" bestFit="1" customWidth="1"/>
    <col min="3085" max="3085" width="17" style="33" bestFit="1" customWidth="1"/>
    <col min="3086" max="3086" width="15.33203125" style="33" bestFit="1" customWidth="1"/>
    <col min="3087" max="3088" width="16.33203125" style="33" bestFit="1" customWidth="1"/>
    <col min="3089" max="3089" width="16" style="33" bestFit="1" customWidth="1"/>
    <col min="3090" max="3090" width="16.6640625" style="33" customWidth="1"/>
    <col min="3091" max="3337" width="22" style="33"/>
    <col min="3338" max="3338" width="31" style="33" customWidth="1"/>
    <col min="3339" max="3339" width="15" style="33" bestFit="1" customWidth="1"/>
    <col min="3340" max="3340" width="12.83203125" style="33" bestFit="1" customWidth="1"/>
    <col min="3341" max="3341" width="17" style="33" bestFit="1" customWidth="1"/>
    <col min="3342" max="3342" width="15.33203125" style="33" bestFit="1" customWidth="1"/>
    <col min="3343" max="3344" width="16.33203125" style="33" bestFit="1" customWidth="1"/>
    <col min="3345" max="3345" width="16" style="33" bestFit="1" customWidth="1"/>
    <col min="3346" max="3346" width="16.6640625" style="33" customWidth="1"/>
    <col min="3347" max="3593" width="22" style="33"/>
    <col min="3594" max="3594" width="31" style="33" customWidth="1"/>
    <col min="3595" max="3595" width="15" style="33" bestFit="1" customWidth="1"/>
    <col min="3596" max="3596" width="12.83203125" style="33" bestFit="1" customWidth="1"/>
    <col min="3597" max="3597" width="17" style="33" bestFit="1" customWidth="1"/>
    <col min="3598" max="3598" width="15.33203125" style="33" bestFit="1" customWidth="1"/>
    <col min="3599" max="3600" width="16.33203125" style="33" bestFit="1" customWidth="1"/>
    <col min="3601" max="3601" width="16" style="33" bestFit="1" customWidth="1"/>
    <col min="3602" max="3602" width="16.6640625" style="33" customWidth="1"/>
    <col min="3603" max="3849" width="22" style="33"/>
    <col min="3850" max="3850" width="31" style="33" customWidth="1"/>
    <col min="3851" max="3851" width="15" style="33" bestFit="1" customWidth="1"/>
    <col min="3852" max="3852" width="12.83203125" style="33" bestFit="1" customWidth="1"/>
    <col min="3853" max="3853" width="17" style="33" bestFit="1" customWidth="1"/>
    <col min="3854" max="3854" width="15.33203125" style="33" bestFit="1" customWidth="1"/>
    <col min="3855" max="3856" width="16.33203125" style="33" bestFit="1" customWidth="1"/>
    <col min="3857" max="3857" width="16" style="33" bestFit="1" customWidth="1"/>
    <col min="3858" max="3858" width="16.6640625" style="33" customWidth="1"/>
    <col min="3859" max="4105" width="22" style="33"/>
    <col min="4106" max="4106" width="31" style="33" customWidth="1"/>
    <col min="4107" max="4107" width="15" style="33" bestFit="1" customWidth="1"/>
    <col min="4108" max="4108" width="12.83203125" style="33" bestFit="1" customWidth="1"/>
    <col min="4109" max="4109" width="17" style="33" bestFit="1" customWidth="1"/>
    <col min="4110" max="4110" width="15.33203125" style="33" bestFit="1" customWidth="1"/>
    <col min="4111" max="4112" width="16.33203125" style="33" bestFit="1" customWidth="1"/>
    <col min="4113" max="4113" width="16" style="33" bestFit="1" customWidth="1"/>
    <col min="4114" max="4114" width="16.6640625" style="33" customWidth="1"/>
    <col min="4115" max="4361" width="22" style="33"/>
    <col min="4362" max="4362" width="31" style="33" customWidth="1"/>
    <col min="4363" max="4363" width="15" style="33" bestFit="1" customWidth="1"/>
    <col min="4364" max="4364" width="12.83203125" style="33" bestFit="1" customWidth="1"/>
    <col min="4365" max="4365" width="17" style="33" bestFit="1" customWidth="1"/>
    <col min="4366" max="4366" width="15.33203125" style="33" bestFit="1" customWidth="1"/>
    <col min="4367" max="4368" width="16.33203125" style="33" bestFit="1" customWidth="1"/>
    <col min="4369" max="4369" width="16" style="33" bestFit="1" customWidth="1"/>
    <col min="4370" max="4370" width="16.6640625" style="33" customWidth="1"/>
    <col min="4371" max="4617" width="22" style="33"/>
    <col min="4618" max="4618" width="31" style="33" customWidth="1"/>
    <col min="4619" max="4619" width="15" style="33" bestFit="1" customWidth="1"/>
    <col min="4620" max="4620" width="12.83203125" style="33" bestFit="1" customWidth="1"/>
    <col min="4621" max="4621" width="17" style="33" bestFit="1" customWidth="1"/>
    <col min="4622" max="4622" width="15.33203125" style="33" bestFit="1" customWidth="1"/>
    <col min="4623" max="4624" width="16.33203125" style="33" bestFit="1" customWidth="1"/>
    <col min="4625" max="4625" width="16" style="33" bestFit="1" customWidth="1"/>
    <col min="4626" max="4626" width="16.6640625" style="33" customWidth="1"/>
    <col min="4627" max="4873" width="22" style="33"/>
    <col min="4874" max="4874" width="31" style="33" customWidth="1"/>
    <col min="4875" max="4875" width="15" style="33" bestFit="1" customWidth="1"/>
    <col min="4876" max="4876" width="12.83203125" style="33" bestFit="1" customWidth="1"/>
    <col min="4877" max="4877" width="17" style="33" bestFit="1" customWidth="1"/>
    <col min="4878" max="4878" width="15.33203125" style="33" bestFit="1" customWidth="1"/>
    <col min="4879" max="4880" width="16.33203125" style="33" bestFit="1" customWidth="1"/>
    <col min="4881" max="4881" width="16" style="33" bestFit="1" customWidth="1"/>
    <col min="4882" max="4882" width="16.6640625" style="33" customWidth="1"/>
    <col min="4883" max="5129" width="22" style="33"/>
    <col min="5130" max="5130" width="31" style="33" customWidth="1"/>
    <col min="5131" max="5131" width="15" style="33" bestFit="1" customWidth="1"/>
    <col min="5132" max="5132" width="12.83203125" style="33" bestFit="1" customWidth="1"/>
    <col min="5133" max="5133" width="17" style="33" bestFit="1" customWidth="1"/>
    <col min="5134" max="5134" width="15.33203125" style="33" bestFit="1" customWidth="1"/>
    <col min="5135" max="5136" width="16.33203125" style="33" bestFit="1" customWidth="1"/>
    <col min="5137" max="5137" width="16" style="33" bestFit="1" customWidth="1"/>
    <col min="5138" max="5138" width="16.6640625" style="33" customWidth="1"/>
    <col min="5139" max="5385" width="22" style="33"/>
    <col min="5386" max="5386" width="31" style="33" customWidth="1"/>
    <col min="5387" max="5387" width="15" style="33" bestFit="1" customWidth="1"/>
    <col min="5388" max="5388" width="12.83203125" style="33" bestFit="1" customWidth="1"/>
    <col min="5389" max="5389" width="17" style="33" bestFit="1" customWidth="1"/>
    <col min="5390" max="5390" width="15.33203125" style="33" bestFit="1" customWidth="1"/>
    <col min="5391" max="5392" width="16.33203125" style="33" bestFit="1" customWidth="1"/>
    <col min="5393" max="5393" width="16" style="33" bestFit="1" customWidth="1"/>
    <col min="5394" max="5394" width="16.6640625" style="33" customWidth="1"/>
    <col min="5395" max="5641" width="22" style="33"/>
    <col min="5642" max="5642" width="31" style="33" customWidth="1"/>
    <col min="5643" max="5643" width="15" style="33" bestFit="1" customWidth="1"/>
    <col min="5644" max="5644" width="12.83203125" style="33" bestFit="1" customWidth="1"/>
    <col min="5645" max="5645" width="17" style="33" bestFit="1" customWidth="1"/>
    <col min="5646" max="5646" width="15.33203125" style="33" bestFit="1" customWidth="1"/>
    <col min="5647" max="5648" width="16.33203125" style="33" bestFit="1" customWidth="1"/>
    <col min="5649" max="5649" width="16" style="33" bestFit="1" customWidth="1"/>
    <col min="5650" max="5650" width="16.6640625" style="33" customWidth="1"/>
    <col min="5651" max="5897" width="22" style="33"/>
    <col min="5898" max="5898" width="31" style="33" customWidth="1"/>
    <col min="5899" max="5899" width="15" style="33" bestFit="1" customWidth="1"/>
    <col min="5900" max="5900" width="12.83203125" style="33" bestFit="1" customWidth="1"/>
    <col min="5901" max="5901" width="17" style="33" bestFit="1" customWidth="1"/>
    <col min="5902" max="5902" width="15.33203125" style="33" bestFit="1" customWidth="1"/>
    <col min="5903" max="5904" width="16.33203125" style="33" bestFit="1" customWidth="1"/>
    <col min="5905" max="5905" width="16" style="33" bestFit="1" customWidth="1"/>
    <col min="5906" max="5906" width="16.6640625" style="33" customWidth="1"/>
    <col min="5907" max="6153" width="22" style="33"/>
    <col min="6154" max="6154" width="31" style="33" customWidth="1"/>
    <col min="6155" max="6155" width="15" style="33" bestFit="1" customWidth="1"/>
    <col min="6156" max="6156" width="12.83203125" style="33" bestFit="1" customWidth="1"/>
    <col min="6157" max="6157" width="17" style="33" bestFit="1" customWidth="1"/>
    <col min="6158" max="6158" width="15.33203125" style="33" bestFit="1" customWidth="1"/>
    <col min="6159" max="6160" width="16.33203125" style="33" bestFit="1" customWidth="1"/>
    <col min="6161" max="6161" width="16" style="33" bestFit="1" customWidth="1"/>
    <col min="6162" max="6162" width="16.6640625" style="33" customWidth="1"/>
    <col min="6163" max="6409" width="22" style="33"/>
    <col min="6410" max="6410" width="31" style="33" customWidth="1"/>
    <col min="6411" max="6411" width="15" style="33" bestFit="1" customWidth="1"/>
    <col min="6412" max="6412" width="12.83203125" style="33" bestFit="1" customWidth="1"/>
    <col min="6413" max="6413" width="17" style="33" bestFit="1" customWidth="1"/>
    <col min="6414" max="6414" width="15.33203125" style="33" bestFit="1" customWidth="1"/>
    <col min="6415" max="6416" width="16.33203125" style="33" bestFit="1" customWidth="1"/>
    <col min="6417" max="6417" width="16" style="33" bestFit="1" customWidth="1"/>
    <col min="6418" max="6418" width="16.6640625" style="33" customWidth="1"/>
    <col min="6419" max="6665" width="22" style="33"/>
    <col min="6666" max="6666" width="31" style="33" customWidth="1"/>
    <col min="6667" max="6667" width="15" style="33" bestFit="1" customWidth="1"/>
    <col min="6668" max="6668" width="12.83203125" style="33" bestFit="1" customWidth="1"/>
    <col min="6669" max="6669" width="17" style="33" bestFit="1" customWidth="1"/>
    <col min="6670" max="6670" width="15.33203125" style="33" bestFit="1" customWidth="1"/>
    <col min="6671" max="6672" width="16.33203125" style="33" bestFit="1" customWidth="1"/>
    <col min="6673" max="6673" width="16" style="33" bestFit="1" customWidth="1"/>
    <col min="6674" max="6674" width="16.6640625" style="33" customWidth="1"/>
    <col min="6675" max="6921" width="22" style="33"/>
    <col min="6922" max="6922" width="31" style="33" customWidth="1"/>
    <col min="6923" max="6923" width="15" style="33" bestFit="1" customWidth="1"/>
    <col min="6924" max="6924" width="12.83203125" style="33" bestFit="1" customWidth="1"/>
    <col min="6925" max="6925" width="17" style="33" bestFit="1" customWidth="1"/>
    <col min="6926" max="6926" width="15.33203125" style="33" bestFit="1" customWidth="1"/>
    <col min="6927" max="6928" width="16.33203125" style="33" bestFit="1" customWidth="1"/>
    <col min="6929" max="6929" width="16" style="33" bestFit="1" customWidth="1"/>
    <col min="6930" max="6930" width="16.6640625" style="33" customWidth="1"/>
    <col min="6931" max="7177" width="22" style="33"/>
    <col min="7178" max="7178" width="31" style="33" customWidth="1"/>
    <col min="7179" max="7179" width="15" style="33" bestFit="1" customWidth="1"/>
    <col min="7180" max="7180" width="12.83203125" style="33" bestFit="1" customWidth="1"/>
    <col min="7181" max="7181" width="17" style="33" bestFit="1" customWidth="1"/>
    <col min="7182" max="7182" width="15.33203125" style="33" bestFit="1" customWidth="1"/>
    <col min="7183" max="7184" width="16.33203125" style="33" bestFit="1" customWidth="1"/>
    <col min="7185" max="7185" width="16" style="33" bestFit="1" customWidth="1"/>
    <col min="7186" max="7186" width="16.6640625" style="33" customWidth="1"/>
    <col min="7187" max="7433" width="22" style="33"/>
    <col min="7434" max="7434" width="31" style="33" customWidth="1"/>
    <col min="7435" max="7435" width="15" style="33" bestFit="1" customWidth="1"/>
    <col min="7436" max="7436" width="12.83203125" style="33" bestFit="1" customWidth="1"/>
    <col min="7437" max="7437" width="17" style="33" bestFit="1" customWidth="1"/>
    <col min="7438" max="7438" width="15.33203125" style="33" bestFit="1" customWidth="1"/>
    <col min="7439" max="7440" width="16.33203125" style="33" bestFit="1" customWidth="1"/>
    <col min="7441" max="7441" width="16" style="33" bestFit="1" customWidth="1"/>
    <col min="7442" max="7442" width="16.6640625" style="33" customWidth="1"/>
    <col min="7443" max="7689" width="22" style="33"/>
    <col min="7690" max="7690" width="31" style="33" customWidth="1"/>
    <col min="7691" max="7691" width="15" style="33" bestFit="1" customWidth="1"/>
    <col min="7692" max="7692" width="12.83203125" style="33" bestFit="1" customWidth="1"/>
    <col min="7693" max="7693" width="17" style="33" bestFit="1" customWidth="1"/>
    <col min="7694" max="7694" width="15.33203125" style="33" bestFit="1" customWidth="1"/>
    <col min="7695" max="7696" width="16.33203125" style="33" bestFit="1" customWidth="1"/>
    <col min="7697" max="7697" width="16" style="33" bestFit="1" customWidth="1"/>
    <col min="7698" max="7698" width="16.6640625" style="33" customWidth="1"/>
    <col min="7699" max="7945" width="22" style="33"/>
    <col min="7946" max="7946" width="31" style="33" customWidth="1"/>
    <col min="7947" max="7947" width="15" style="33" bestFit="1" customWidth="1"/>
    <col min="7948" max="7948" width="12.83203125" style="33" bestFit="1" customWidth="1"/>
    <col min="7949" max="7949" width="17" style="33" bestFit="1" customWidth="1"/>
    <col min="7950" max="7950" width="15.33203125" style="33" bestFit="1" customWidth="1"/>
    <col min="7951" max="7952" width="16.33203125" style="33" bestFit="1" customWidth="1"/>
    <col min="7953" max="7953" width="16" style="33" bestFit="1" customWidth="1"/>
    <col min="7954" max="7954" width="16.6640625" style="33" customWidth="1"/>
    <col min="7955" max="8201" width="22" style="33"/>
    <col min="8202" max="8202" width="31" style="33" customWidth="1"/>
    <col min="8203" max="8203" width="15" style="33" bestFit="1" customWidth="1"/>
    <col min="8204" max="8204" width="12.83203125" style="33" bestFit="1" customWidth="1"/>
    <col min="8205" max="8205" width="17" style="33" bestFit="1" customWidth="1"/>
    <col min="8206" max="8206" width="15.33203125" style="33" bestFit="1" customWidth="1"/>
    <col min="8207" max="8208" width="16.33203125" style="33" bestFit="1" customWidth="1"/>
    <col min="8209" max="8209" width="16" style="33" bestFit="1" customWidth="1"/>
    <col min="8210" max="8210" width="16.6640625" style="33" customWidth="1"/>
    <col min="8211" max="8457" width="22" style="33"/>
    <col min="8458" max="8458" width="31" style="33" customWidth="1"/>
    <col min="8459" max="8459" width="15" style="33" bestFit="1" customWidth="1"/>
    <col min="8460" max="8460" width="12.83203125" style="33" bestFit="1" customWidth="1"/>
    <col min="8461" max="8461" width="17" style="33" bestFit="1" customWidth="1"/>
    <col min="8462" max="8462" width="15.33203125" style="33" bestFit="1" customWidth="1"/>
    <col min="8463" max="8464" width="16.33203125" style="33" bestFit="1" customWidth="1"/>
    <col min="8465" max="8465" width="16" style="33" bestFit="1" customWidth="1"/>
    <col min="8466" max="8466" width="16.6640625" style="33" customWidth="1"/>
    <col min="8467" max="8713" width="22" style="33"/>
    <col min="8714" max="8714" width="31" style="33" customWidth="1"/>
    <col min="8715" max="8715" width="15" style="33" bestFit="1" customWidth="1"/>
    <col min="8716" max="8716" width="12.83203125" style="33" bestFit="1" customWidth="1"/>
    <col min="8717" max="8717" width="17" style="33" bestFit="1" customWidth="1"/>
    <col min="8718" max="8718" width="15.33203125" style="33" bestFit="1" customWidth="1"/>
    <col min="8719" max="8720" width="16.33203125" style="33" bestFit="1" customWidth="1"/>
    <col min="8721" max="8721" width="16" style="33" bestFit="1" customWidth="1"/>
    <col min="8722" max="8722" width="16.6640625" style="33" customWidth="1"/>
    <col min="8723" max="8969" width="22" style="33"/>
    <col min="8970" max="8970" width="31" style="33" customWidth="1"/>
    <col min="8971" max="8971" width="15" style="33" bestFit="1" customWidth="1"/>
    <col min="8972" max="8972" width="12.83203125" style="33" bestFit="1" customWidth="1"/>
    <col min="8973" max="8973" width="17" style="33" bestFit="1" customWidth="1"/>
    <col min="8974" max="8974" width="15.33203125" style="33" bestFit="1" customWidth="1"/>
    <col min="8975" max="8976" width="16.33203125" style="33" bestFit="1" customWidth="1"/>
    <col min="8977" max="8977" width="16" style="33" bestFit="1" customWidth="1"/>
    <col min="8978" max="8978" width="16.6640625" style="33" customWidth="1"/>
    <col min="8979" max="9225" width="22" style="33"/>
    <col min="9226" max="9226" width="31" style="33" customWidth="1"/>
    <col min="9227" max="9227" width="15" style="33" bestFit="1" customWidth="1"/>
    <col min="9228" max="9228" width="12.83203125" style="33" bestFit="1" customWidth="1"/>
    <col min="9229" max="9229" width="17" style="33" bestFit="1" customWidth="1"/>
    <col min="9230" max="9230" width="15.33203125" style="33" bestFit="1" customWidth="1"/>
    <col min="9231" max="9232" width="16.33203125" style="33" bestFit="1" customWidth="1"/>
    <col min="9233" max="9233" width="16" style="33" bestFit="1" customWidth="1"/>
    <col min="9234" max="9234" width="16.6640625" style="33" customWidth="1"/>
    <col min="9235" max="9481" width="22" style="33"/>
    <col min="9482" max="9482" width="31" style="33" customWidth="1"/>
    <col min="9483" max="9483" width="15" style="33" bestFit="1" customWidth="1"/>
    <col min="9484" max="9484" width="12.83203125" style="33" bestFit="1" customWidth="1"/>
    <col min="9485" max="9485" width="17" style="33" bestFit="1" customWidth="1"/>
    <col min="9486" max="9486" width="15.33203125" style="33" bestFit="1" customWidth="1"/>
    <col min="9487" max="9488" width="16.33203125" style="33" bestFit="1" customWidth="1"/>
    <col min="9489" max="9489" width="16" style="33" bestFit="1" customWidth="1"/>
    <col min="9490" max="9490" width="16.6640625" style="33" customWidth="1"/>
    <col min="9491" max="9737" width="22" style="33"/>
    <col min="9738" max="9738" width="31" style="33" customWidth="1"/>
    <col min="9739" max="9739" width="15" style="33" bestFit="1" customWidth="1"/>
    <col min="9740" max="9740" width="12.83203125" style="33" bestFit="1" customWidth="1"/>
    <col min="9741" max="9741" width="17" style="33" bestFit="1" customWidth="1"/>
    <col min="9742" max="9742" width="15.33203125" style="33" bestFit="1" customWidth="1"/>
    <col min="9743" max="9744" width="16.33203125" style="33" bestFit="1" customWidth="1"/>
    <col min="9745" max="9745" width="16" style="33" bestFit="1" customWidth="1"/>
    <col min="9746" max="9746" width="16.6640625" style="33" customWidth="1"/>
    <col min="9747" max="9993" width="22" style="33"/>
    <col min="9994" max="9994" width="31" style="33" customWidth="1"/>
    <col min="9995" max="9995" width="15" style="33" bestFit="1" customWidth="1"/>
    <col min="9996" max="9996" width="12.83203125" style="33" bestFit="1" customWidth="1"/>
    <col min="9997" max="9997" width="17" style="33" bestFit="1" customWidth="1"/>
    <col min="9998" max="9998" width="15.33203125" style="33" bestFit="1" customWidth="1"/>
    <col min="9999" max="10000" width="16.33203125" style="33" bestFit="1" customWidth="1"/>
    <col min="10001" max="10001" width="16" style="33" bestFit="1" customWidth="1"/>
    <col min="10002" max="10002" width="16.6640625" style="33" customWidth="1"/>
    <col min="10003" max="10249" width="22" style="33"/>
    <col min="10250" max="10250" width="31" style="33" customWidth="1"/>
    <col min="10251" max="10251" width="15" style="33" bestFit="1" customWidth="1"/>
    <col min="10252" max="10252" width="12.83203125" style="33" bestFit="1" customWidth="1"/>
    <col min="10253" max="10253" width="17" style="33" bestFit="1" customWidth="1"/>
    <col min="10254" max="10254" width="15.33203125" style="33" bestFit="1" customWidth="1"/>
    <col min="10255" max="10256" width="16.33203125" style="33" bestFit="1" customWidth="1"/>
    <col min="10257" max="10257" width="16" style="33" bestFit="1" customWidth="1"/>
    <col min="10258" max="10258" width="16.6640625" style="33" customWidth="1"/>
    <col min="10259" max="10505" width="22" style="33"/>
    <col min="10506" max="10506" width="31" style="33" customWidth="1"/>
    <col min="10507" max="10507" width="15" style="33" bestFit="1" customWidth="1"/>
    <col min="10508" max="10508" width="12.83203125" style="33" bestFit="1" customWidth="1"/>
    <col min="10509" max="10509" width="17" style="33" bestFit="1" customWidth="1"/>
    <col min="10510" max="10510" width="15.33203125" style="33" bestFit="1" customWidth="1"/>
    <col min="10511" max="10512" width="16.33203125" style="33" bestFit="1" customWidth="1"/>
    <col min="10513" max="10513" width="16" style="33" bestFit="1" customWidth="1"/>
    <col min="10514" max="10514" width="16.6640625" style="33" customWidth="1"/>
    <col min="10515" max="10761" width="22" style="33"/>
    <col min="10762" max="10762" width="31" style="33" customWidth="1"/>
    <col min="10763" max="10763" width="15" style="33" bestFit="1" customWidth="1"/>
    <col min="10764" max="10764" width="12.83203125" style="33" bestFit="1" customWidth="1"/>
    <col min="10765" max="10765" width="17" style="33" bestFit="1" customWidth="1"/>
    <col min="10766" max="10766" width="15.33203125" style="33" bestFit="1" customWidth="1"/>
    <col min="10767" max="10768" width="16.33203125" style="33" bestFit="1" customWidth="1"/>
    <col min="10769" max="10769" width="16" style="33" bestFit="1" customWidth="1"/>
    <col min="10770" max="10770" width="16.6640625" style="33" customWidth="1"/>
    <col min="10771" max="11017" width="22" style="33"/>
    <col min="11018" max="11018" width="31" style="33" customWidth="1"/>
    <col min="11019" max="11019" width="15" style="33" bestFit="1" customWidth="1"/>
    <col min="11020" max="11020" width="12.83203125" style="33" bestFit="1" customWidth="1"/>
    <col min="11021" max="11021" width="17" style="33" bestFit="1" customWidth="1"/>
    <col min="11022" max="11022" width="15.33203125" style="33" bestFit="1" customWidth="1"/>
    <col min="11023" max="11024" width="16.33203125" style="33" bestFit="1" customWidth="1"/>
    <col min="11025" max="11025" width="16" style="33" bestFit="1" customWidth="1"/>
    <col min="11026" max="11026" width="16.6640625" style="33" customWidth="1"/>
    <col min="11027" max="11273" width="22" style="33"/>
    <col min="11274" max="11274" width="31" style="33" customWidth="1"/>
    <col min="11275" max="11275" width="15" style="33" bestFit="1" customWidth="1"/>
    <col min="11276" max="11276" width="12.83203125" style="33" bestFit="1" customWidth="1"/>
    <col min="11277" max="11277" width="17" style="33" bestFit="1" customWidth="1"/>
    <col min="11278" max="11278" width="15.33203125" style="33" bestFit="1" customWidth="1"/>
    <col min="11279" max="11280" width="16.33203125" style="33" bestFit="1" customWidth="1"/>
    <col min="11281" max="11281" width="16" style="33" bestFit="1" customWidth="1"/>
    <col min="11282" max="11282" width="16.6640625" style="33" customWidth="1"/>
    <col min="11283" max="11529" width="22" style="33"/>
    <col min="11530" max="11530" width="31" style="33" customWidth="1"/>
    <col min="11531" max="11531" width="15" style="33" bestFit="1" customWidth="1"/>
    <col min="11532" max="11532" width="12.83203125" style="33" bestFit="1" customWidth="1"/>
    <col min="11533" max="11533" width="17" style="33" bestFit="1" customWidth="1"/>
    <col min="11534" max="11534" width="15.33203125" style="33" bestFit="1" customWidth="1"/>
    <col min="11535" max="11536" width="16.33203125" style="33" bestFit="1" customWidth="1"/>
    <col min="11537" max="11537" width="16" style="33" bestFit="1" customWidth="1"/>
    <col min="11538" max="11538" width="16.6640625" style="33" customWidth="1"/>
    <col min="11539" max="11785" width="22" style="33"/>
    <col min="11786" max="11786" width="31" style="33" customWidth="1"/>
    <col min="11787" max="11787" width="15" style="33" bestFit="1" customWidth="1"/>
    <col min="11788" max="11788" width="12.83203125" style="33" bestFit="1" customWidth="1"/>
    <col min="11789" max="11789" width="17" style="33" bestFit="1" customWidth="1"/>
    <col min="11790" max="11790" width="15.33203125" style="33" bestFit="1" customWidth="1"/>
    <col min="11791" max="11792" width="16.33203125" style="33" bestFit="1" customWidth="1"/>
    <col min="11793" max="11793" width="16" style="33" bestFit="1" customWidth="1"/>
    <col min="11794" max="11794" width="16.6640625" style="33" customWidth="1"/>
    <col min="11795" max="12041" width="22" style="33"/>
    <col min="12042" max="12042" width="31" style="33" customWidth="1"/>
    <col min="12043" max="12043" width="15" style="33" bestFit="1" customWidth="1"/>
    <col min="12044" max="12044" width="12.83203125" style="33" bestFit="1" customWidth="1"/>
    <col min="12045" max="12045" width="17" style="33" bestFit="1" customWidth="1"/>
    <col min="12046" max="12046" width="15.33203125" style="33" bestFit="1" customWidth="1"/>
    <col min="12047" max="12048" width="16.33203125" style="33" bestFit="1" customWidth="1"/>
    <col min="12049" max="12049" width="16" style="33" bestFit="1" customWidth="1"/>
    <col min="12050" max="12050" width="16.6640625" style="33" customWidth="1"/>
    <col min="12051" max="12297" width="22" style="33"/>
    <col min="12298" max="12298" width="31" style="33" customWidth="1"/>
    <col min="12299" max="12299" width="15" style="33" bestFit="1" customWidth="1"/>
    <col min="12300" max="12300" width="12.83203125" style="33" bestFit="1" customWidth="1"/>
    <col min="12301" max="12301" width="17" style="33" bestFit="1" customWidth="1"/>
    <col min="12302" max="12302" width="15.33203125" style="33" bestFit="1" customWidth="1"/>
    <col min="12303" max="12304" width="16.33203125" style="33" bestFit="1" customWidth="1"/>
    <col min="12305" max="12305" width="16" style="33" bestFit="1" customWidth="1"/>
    <col min="12306" max="12306" width="16.6640625" style="33" customWidth="1"/>
    <col min="12307" max="12553" width="22" style="33"/>
    <col min="12554" max="12554" width="31" style="33" customWidth="1"/>
    <col min="12555" max="12555" width="15" style="33" bestFit="1" customWidth="1"/>
    <col min="12556" max="12556" width="12.83203125" style="33" bestFit="1" customWidth="1"/>
    <col min="12557" max="12557" width="17" style="33" bestFit="1" customWidth="1"/>
    <col min="12558" max="12558" width="15.33203125" style="33" bestFit="1" customWidth="1"/>
    <col min="12559" max="12560" width="16.33203125" style="33" bestFit="1" customWidth="1"/>
    <col min="12561" max="12561" width="16" style="33" bestFit="1" customWidth="1"/>
    <col min="12562" max="12562" width="16.6640625" style="33" customWidth="1"/>
    <col min="12563" max="12809" width="22" style="33"/>
    <col min="12810" max="12810" width="31" style="33" customWidth="1"/>
    <col min="12811" max="12811" width="15" style="33" bestFit="1" customWidth="1"/>
    <col min="12812" max="12812" width="12.83203125" style="33" bestFit="1" customWidth="1"/>
    <col min="12813" max="12813" width="17" style="33" bestFit="1" customWidth="1"/>
    <col min="12814" max="12814" width="15.33203125" style="33" bestFit="1" customWidth="1"/>
    <col min="12815" max="12816" width="16.33203125" style="33" bestFit="1" customWidth="1"/>
    <col min="12817" max="12817" width="16" style="33" bestFit="1" customWidth="1"/>
    <col min="12818" max="12818" width="16.6640625" style="33" customWidth="1"/>
    <col min="12819" max="13065" width="22" style="33"/>
    <col min="13066" max="13066" width="31" style="33" customWidth="1"/>
    <col min="13067" max="13067" width="15" style="33" bestFit="1" customWidth="1"/>
    <col min="13068" max="13068" width="12.83203125" style="33" bestFit="1" customWidth="1"/>
    <col min="13069" max="13069" width="17" style="33" bestFit="1" customWidth="1"/>
    <col min="13070" max="13070" width="15.33203125" style="33" bestFit="1" customWidth="1"/>
    <col min="13071" max="13072" width="16.33203125" style="33" bestFit="1" customWidth="1"/>
    <col min="13073" max="13073" width="16" style="33" bestFit="1" customWidth="1"/>
    <col min="13074" max="13074" width="16.6640625" style="33" customWidth="1"/>
    <col min="13075" max="13321" width="22" style="33"/>
    <col min="13322" max="13322" width="31" style="33" customWidth="1"/>
    <col min="13323" max="13323" width="15" style="33" bestFit="1" customWidth="1"/>
    <col min="13324" max="13324" width="12.83203125" style="33" bestFit="1" customWidth="1"/>
    <col min="13325" max="13325" width="17" style="33" bestFit="1" customWidth="1"/>
    <col min="13326" max="13326" width="15.33203125" style="33" bestFit="1" customWidth="1"/>
    <col min="13327" max="13328" width="16.33203125" style="33" bestFit="1" customWidth="1"/>
    <col min="13329" max="13329" width="16" style="33" bestFit="1" customWidth="1"/>
    <col min="13330" max="13330" width="16.6640625" style="33" customWidth="1"/>
    <col min="13331" max="13577" width="22" style="33"/>
    <col min="13578" max="13578" width="31" style="33" customWidth="1"/>
    <col min="13579" max="13579" width="15" style="33" bestFit="1" customWidth="1"/>
    <col min="13580" max="13580" width="12.83203125" style="33" bestFit="1" customWidth="1"/>
    <col min="13581" max="13581" width="17" style="33" bestFit="1" customWidth="1"/>
    <col min="13582" max="13582" width="15.33203125" style="33" bestFit="1" customWidth="1"/>
    <col min="13583" max="13584" width="16.33203125" style="33" bestFit="1" customWidth="1"/>
    <col min="13585" max="13585" width="16" style="33" bestFit="1" customWidth="1"/>
    <col min="13586" max="13586" width="16.6640625" style="33" customWidth="1"/>
    <col min="13587" max="13833" width="22" style="33"/>
    <col min="13834" max="13834" width="31" style="33" customWidth="1"/>
    <col min="13835" max="13835" width="15" style="33" bestFit="1" customWidth="1"/>
    <col min="13836" max="13836" width="12.83203125" style="33" bestFit="1" customWidth="1"/>
    <col min="13837" max="13837" width="17" style="33" bestFit="1" customWidth="1"/>
    <col min="13838" max="13838" width="15.33203125" style="33" bestFit="1" customWidth="1"/>
    <col min="13839" max="13840" width="16.33203125" style="33" bestFit="1" customWidth="1"/>
    <col min="13841" max="13841" width="16" style="33" bestFit="1" customWidth="1"/>
    <col min="13842" max="13842" width="16.6640625" style="33" customWidth="1"/>
    <col min="13843" max="14089" width="22" style="33"/>
    <col min="14090" max="14090" width="31" style="33" customWidth="1"/>
    <col min="14091" max="14091" width="15" style="33" bestFit="1" customWidth="1"/>
    <col min="14092" max="14092" width="12.83203125" style="33" bestFit="1" customWidth="1"/>
    <col min="14093" max="14093" width="17" style="33" bestFit="1" customWidth="1"/>
    <col min="14094" max="14094" width="15.33203125" style="33" bestFit="1" customWidth="1"/>
    <col min="14095" max="14096" width="16.33203125" style="33" bestFit="1" customWidth="1"/>
    <col min="14097" max="14097" width="16" style="33" bestFit="1" customWidth="1"/>
    <col min="14098" max="14098" width="16.6640625" style="33" customWidth="1"/>
    <col min="14099" max="14345" width="22" style="33"/>
    <col min="14346" max="14346" width="31" style="33" customWidth="1"/>
    <col min="14347" max="14347" width="15" style="33" bestFit="1" customWidth="1"/>
    <col min="14348" max="14348" width="12.83203125" style="33" bestFit="1" customWidth="1"/>
    <col min="14349" max="14349" width="17" style="33" bestFit="1" customWidth="1"/>
    <col min="14350" max="14350" width="15.33203125" style="33" bestFit="1" customWidth="1"/>
    <col min="14351" max="14352" width="16.33203125" style="33" bestFit="1" customWidth="1"/>
    <col min="14353" max="14353" width="16" style="33" bestFit="1" customWidth="1"/>
    <col min="14354" max="14354" width="16.6640625" style="33" customWidth="1"/>
    <col min="14355" max="14601" width="22" style="33"/>
    <col min="14602" max="14602" width="31" style="33" customWidth="1"/>
    <col min="14603" max="14603" width="15" style="33" bestFit="1" customWidth="1"/>
    <col min="14604" max="14604" width="12.83203125" style="33" bestFit="1" customWidth="1"/>
    <col min="14605" max="14605" width="17" style="33" bestFit="1" customWidth="1"/>
    <col min="14606" max="14606" width="15.33203125" style="33" bestFit="1" customWidth="1"/>
    <col min="14607" max="14608" width="16.33203125" style="33" bestFit="1" customWidth="1"/>
    <col min="14609" max="14609" width="16" style="33" bestFit="1" customWidth="1"/>
    <col min="14610" max="14610" width="16.6640625" style="33" customWidth="1"/>
    <col min="14611" max="14857" width="22" style="33"/>
    <col min="14858" max="14858" width="31" style="33" customWidth="1"/>
    <col min="14859" max="14859" width="15" style="33" bestFit="1" customWidth="1"/>
    <col min="14860" max="14860" width="12.83203125" style="33" bestFit="1" customWidth="1"/>
    <col min="14861" max="14861" width="17" style="33" bestFit="1" customWidth="1"/>
    <col min="14862" max="14862" width="15.33203125" style="33" bestFit="1" customWidth="1"/>
    <col min="14863" max="14864" width="16.33203125" style="33" bestFit="1" customWidth="1"/>
    <col min="14865" max="14865" width="16" style="33" bestFit="1" customWidth="1"/>
    <col min="14866" max="14866" width="16.6640625" style="33" customWidth="1"/>
    <col min="14867" max="15113" width="22" style="33"/>
    <col min="15114" max="15114" width="31" style="33" customWidth="1"/>
    <col min="15115" max="15115" width="15" style="33" bestFit="1" customWidth="1"/>
    <col min="15116" max="15116" width="12.83203125" style="33" bestFit="1" customWidth="1"/>
    <col min="15117" max="15117" width="17" style="33" bestFit="1" customWidth="1"/>
    <col min="15118" max="15118" width="15.33203125" style="33" bestFit="1" customWidth="1"/>
    <col min="15119" max="15120" width="16.33203125" style="33" bestFit="1" customWidth="1"/>
    <col min="15121" max="15121" width="16" style="33" bestFit="1" customWidth="1"/>
    <col min="15122" max="15122" width="16.6640625" style="33" customWidth="1"/>
    <col min="15123" max="15369" width="22" style="33"/>
    <col min="15370" max="15370" width="31" style="33" customWidth="1"/>
    <col min="15371" max="15371" width="15" style="33" bestFit="1" customWidth="1"/>
    <col min="15372" max="15372" width="12.83203125" style="33" bestFit="1" customWidth="1"/>
    <col min="15373" max="15373" width="17" style="33" bestFit="1" customWidth="1"/>
    <col min="15374" max="15374" width="15.33203125" style="33" bestFit="1" customWidth="1"/>
    <col min="15375" max="15376" width="16.33203125" style="33" bestFit="1" customWidth="1"/>
    <col min="15377" max="15377" width="16" style="33" bestFit="1" customWidth="1"/>
    <col min="15378" max="15378" width="16.6640625" style="33" customWidth="1"/>
    <col min="15379" max="15625" width="22" style="33"/>
    <col min="15626" max="15626" width="31" style="33" customWidth="1"/>
    <col min="15627" max="15627" width="15" style="33" bestFit="1" customWidth="1"/>
    <col min="15628" max="15628" width="12.83203125" style="33" bestFit="1" customWidth="1"/>
    <col min="15629" max="15629" width="17" style="33" bestFit="1" customWidth="1"/>
    <col min="15630" max="15630" width="15.33203125" style="33" bestFit="1" customWidth="1"/>
    <col min="15631" max="15632" width="16.33203125" style="33" bestFit="1" customWidth="1"/>
    <col min="15633" max="15633" width="16" style="33" bestFit="1" customWidth="1"/>
    <col min="15634" max="15634" width="16.6640625" style="33" customWidth="1"/>
    <col min="15635" max="15881" width="22" style="33"/>
    <col min="15882" max="15882" width="31" style="33" customWidth="1"/>
    <col min="15883" max="15883" width="15" style="33" bestFit="1" customWidth="1"/>
    <col min="15884" max="15884" width="12.83203125" style="33" bestFit="1" customWidth="1"/>
    <col min="15885" max="15885" width="17" style="33" bestFit="1" customWidth="1"/>
    <col min="15886" max="15886" width="15.33203125" style="33" bestFit="1" customWidth="1"/>
    <col min="15887" max="15888" width="16.33203125" style="33" bestFit="1" customWidth="1"/>
    <col min="15889" max="15889" width="16" style="33" bestFit="1" customWidth="1"/>
    <col min="15890" max="15890" width="16.6640625" style="33" customWidth="1"/>
    <col min="15891" max="16137" width="22" style="33"/>
    <col min="16138" max="16138" width="31" style="33" customWidth="1"/>
    <col min="16139" max="16139" width="15" style="33" bestFit="1" customWidth="1"/>
    <col min="16140" max="16140" width="12.83203125" style="33" bestFit="1" customWidth="1"/>
    <col min="16141" max="16141" width="17" style="33" bestFit="1" customWidth="1"/>
    <col min="16142" max="16142" width="15.33203125" style="33" bestFit="1" customWidth="1"/>
    <col min="16143" max="16144" width="16.33203125" style="33" bestFit="1" customWidth="1"/>
    <col min="16145" max="16145" width="16" style="33" bestFit="1" customWidth="1"/>
    <col min="16146" max="16146" width="16.6640625" style="33" customWidth="1"/>
    <col min="16147" max="16384" width="22" style="33"/>
  </cols>
  <sheetData>
    <row r="1" spans="1:35" ht="16.5" customHeight="1" thickBot="1" x14ac:dyDescent="0.3">
      <c r="A1" s="541" t="s">
        <v>373</v>
      </c>
      <c r="B1" s="541"/>
      <c r="C1" s="541"/>
      <c r="D1" s="541"/>
      <c r="E1" s="541"/>
      <c r="F1" s="541"/>
      <c r="G1" s="541"/>
      <c r="H1" s="541"/>
      <c r="J1" s="541" t="s">
        <v>755</v>
      </c>
      <c r="K1" s="541"/>
      <c r="L1" s="541"/>
      <c r="M1" s="541"/>
      <c r="N1" s="541"/>
      <c r="O1" s="541"/>
      <c r="P1" s="541"/>
      <c r="Q1" s="541"/>
      <c r="S1" s="541" t="s">
        <v>1537</v>
      </c>
      <c r="T1" s="541"/>
      <c r="U1" s="541"/>
      <c r="V1" s="541"/>
      <c r="W1" s="541"/>
      <c r="X1" s="541"/>
      <c r="Y1" s="541"/>
      <c r="Z1" s="541"/>
      <c r="AB1" s="503" t="s">
        <v>715</v>
      </c>
      <c r="AC1" s="503"/>
      <c r="AD1" s="503"/>
      <c r="AE1" s="503"/>
      <c r="AF1" s="503"/>
      <c r="AG1" s="503"/>
      <c r="AH1" s="503"/>
      <c r="AI1" s="503"/>
    </row>
    <row r="2" spans="1:35" ht="12" customHeight="1" x14ac:dyDescent="0.2">
      <c r="A2" s="29" t="s">
        <v>280</v>
      </c>
      <c r="B2" s="30"/>
      <c r="C2" s="31"/>
      <c r="D2" s="31"/>
      <c r="E2" s="31"/>
      <c r="F2" s="31"/>
      <c r="G2" s="31"/>
      <c r="H2" s="32"/>
      <c r="J2" s="29"/>
      <c r="K2" s="30"/>
      <c r="L2" s="31"/>
      <c r="M2" s="31"/>
      <c r="N2" s="31"/>
      <c r="O2" s="31"/>
      <c r="P2" s="31"/>
      <c r="Q2" s="32"/>
      <c r="S2" s="29"/>
      <c r="T2" s="30"/>
      <c r="U2" s="31"/>
      <c r="V2" s="31"/>
      <c r="W2" s="31"/>
      <c r="X2" s="31"/>
      <c r="Y2" s="31"/>
      <c r="Z2" s="32"/>
      <c r="AB2" s="29"/>
      <c r="AC2" s="30"/>
      <c r="AD2" s="31"/>
      <c r="AE2" s="31"/>
      <c r="AF2" s="31"/>
      <c r="AG2" s="31"/>
      <c r="AH2" s="31"/>
      <c r="AI2" s="32"/>
    </row>
    <row r="3" spans="1:35" x14ac:dyDescent="0.2">
      <c r="A3" s="290" t="s">
        <v>718</v>
      </c>
      <c r="H3" s="35"/>
      <c r="J3" s="34"/>
      <c r="Q3" s="35"/>
      <c r="S3" s="34"/>
      <c r="Z3" s="35"/>
      <c r="AB3" s="34"/>
      <c r="AI3" s="35"/>
    </row>
    <row r="4" spans="1:35" x14ac:dyDescent="0.2">
      <c r="A4" s="36"/>
      <c r="F4" s="37" t="s">
        <v>281</v>
      </c>
      <c r="G4" s="37" t="s">
        <v>282</v>
      </c>
      <c r="H4" s="38" t="s">
        <v>283</v>
      </c>
      <c r="J4" s="36"/>
      <c r="O4" s="37" t="s">
        <v>281</v>
      </c>
      <c r="P4" s="37" t="s">
        <v>282</v>
      </c>
      <c r="Q4" s="38" t="s">
        <v>283</v>
      </c>
      <c r="S4" s="36"/>
      <c r="X4" s="37" t="s">
        <v>281</v>
      </c>
      <c r="Y4" s="37" t="s">
        <v>282</v>
      </c>
      <c r="Z4" s="38" t="s">
        <v>283</v>
      </c>
      <c r="AB4" s="36"/>
      <c r="AG4" s="37" t="s">
        <v>281</v>
      </c>
      <c r="AH4" s="37" t="s">
        <v>282</v>
      </c>
      <c r="AI4" s="38" t="s">
        <v>283</v>
      </c>
    </row>
    <row r="5" spans="1:35" x14ac:dyDescent="0.2">
      <c r="A5" s="39" t="s">
        <v>284</v>
      </c>
      <c r="B5" s="37" t="s">
        <v>285</v>
      </c>
      <c r="C5" s="37" t="s">
        <v>286</v>
      </c>
      <c r="D5" s="37" t="s">
        <v>287</v>
      </c>
      <c r="E5" s="37" t="s">
        <v>288</v>
      </c>
      <c r="F5" s="37" t="s">
        <v>289</v>
      </c>
      <c r="G5" s="37" t="s">
        <v>289</v>
      </c>
      <c r="H5" s="38" t="s">
        <v>290</v>
      </c>
      <c r="J5" s="39" t="s">
        <v>284</v>
      </c>
      <c r="K5" s="37" t="s">
        <v>285</v>
      </c>
      <c r="L5" s="37" t="s">
        <v>286</v>
      </c>
      <c r="M5" s="37" t="s">
        <v>287</v>
      </c>
      <c r="N5" s="37" t="s">
        <v>288</v>
      </c>
      <c r="O5" s="37" t="s">
        <v>289</v>
      </c>
      <c r="P5" s="37" t="s">
        <v>289</v>
      </c>
      <c r="Q5" s="38" t="s">
        <v>290</v>
      </c>
      <c r="S5" s="39" t="s">
        <v>284</v>
      </c>
      <c r="T5" s="37" t="s">
        <v>285</v>
      </c>
      <c r="U5" s="37" t="s">
        <v>286</v>
      </c>
      <c r="V5" s="37" t="s">
        <v>287</v>
      </c>
      <c r="W5" s="37" t="s">
        <v>288</v>
      </c>
      <c r="X5" s="37" t="s">
        <v>289</v>
      </c>
      <c r="Y5" s="37" t="s">
        <v>289</v>
      </c>
      <c r="Z5" s="38" t="s">
        <v>290</v>
      </c>
      <c r="AB5" s="39" t="s">
        <v>284</v>
      </c>
      <c r="AC5" s="37" t="s">
        <v>285</v>
      </c>
      <c r="AD5" s="37" t="s">
        <v>286</v>
      </c>
      <c r="AE5" s="37" t="s">
        <v>287</v>
      </c>
      <c r="AF5" s="37" t="s">
        <v>288</v>
      </c>
      <c r="AG5" s="37" t="s">
        <v>289</v>
      </c>
      <c r="AH5" s="37" t="s">
        <v>289</v>
      </c>
      <c r="AI5" s="38" t="s">
        <v>290</v>
      </c>
    </row>
    <row r="6" spans="1:35" x14ac:dyDescent="0.2">
      <c r="A6" s="39"/>
      <c r="B6" s="40"/>
      <c r="C6" s="40"/>
      <c r="D6" s="40" t="s">
        <v>285</v>
      </c>
      <c r="E6" s="40" t="s">
        <v>287</v>
      </c>
      <c r="F6" s="41">
        <v>44501</v>
      </c>
      <c r="G6" s="41">
        <v>44865</v>
      </c>
      <c r="H6" s="42">
        <f>G6</f>
        <v>44865</v>
      </c>
      <c r="J6" s="39"/>
      <c r="K6" s="40"/>
      <c r="L6" s="40"/>
      <c r="M6" s="40" t="s">
        <v>285</v>
      </c>
      <c r="N6" s="40" t="s">
        <v>287</v>
      </c>
      <c r="O6" s="41">
        <f>+F6</f>
        <v>44501</v>
      </c>
      <c r="P6" s="41">
        <f t="shared" ref="P6:Q6" si="0">+G6</f>
        <v>44865</v>
      </c>
      <c r="Q6" s="42">
        <f t="shared" si="0"/>
        <v>44865</v>
      </c>
      <c r="S6" s="39"/>
      <c r="T6" s="40"/>
      <c r="U6" s="40"/>
      <c r="V6" s="40" t="s">
        <v>285</v>
      </c>
      <c r="W6" s="40" t="s">
        <v>287</v>
      </c>
      <c r="X6" s="41">
        <f>+O6</f>
        <v>44501</v>
      </c>
      <c r="Y6" s="41">
        <f t="shared" ref="Y6" si="1">+P6</f>
        <v>44865</v>
      </c>
      <c r="Z6" s="42">
        <f t="shared" ref="Z6" si="2">+Q6</f>
        <v>44865</v>
      </c>
      <c r="AB6" s="39"/>
      <c r="AC6" s="40"/>
      <c r="AD6" s="40"/>
      <c r="AE6" s="40" t="s">
        <v>285</v>
      </c>
      <c r="AF6" s="40" t="s">
        <v>287</v>
      </c>
      <c r="AG6" s="41">
        <f>+F6</f>
        <v>44501</v>
      </c>
      <c r="AH6" s="41">
        <f>+G6</f>
        <v>44865</v>
      </c>
      <c r="AI6" s="42">
        <f>+H6</f>
        <v>44865</v>
      </c>
    </row>
    <row r="7" spans="1:35" x14ac:dyDescent="0.2">
      <c r="A7" s="43" t="s">
        <v>291</v>
      </c>
      <c r="B7" s="44"/>
      <c r="H7" s="35"/>
      <c r="J7" s="43" t="s">
        <v>291</v>
      </c>
      <c r="K7" s="44"/>
      <c r="Q7" s="35"/>
      <c r="S7" s="43" t="s">
        <v>291</v>
      </c>
      <c r="T7" s="44"/>
      <c r="Z7" s="35"/>
      <c r="AB7" s="43" t="s">
        <v>291</v>
      </c>
      <c r="AC7" s="44"/>
      <c r="AI7" s="35"/>
    </row>
    <row r="8" spans="1:35" x14ac:dyDescent="0.2">
      <c r="A8" s="36" t="s">
        <v>742</v>
      </c>
      <c r="B8" s="45">
        <f>Trks!M52</f>
        <v>1457445.0900000003</v>
      </c>
      <c r="C8" s="45">
        <f>B8-D8</f>
        <v>0</v>
      </c>
      <c r="D8" s="45">
        <f>Trks!N52</f>
        <v>1457445.0900000003</v>
      </c>
      <c r="E8" s="45">
        <f>+Trks!Q52</f>
        <v>81287.582500000004</v>
      </c>
      <c r="F8" s="45">
        <f>+Trks!S52</f>
        <v>1169281.7249999994</v>
      </c>
      <c r="G8" s="45">
        <f>+Trks!T52</f>
        <v>1250569.3075000001</v>
      </c>
      <c r="H8" s="46">
        <f>+Trks!U52</f>
        <v>206875.78250000009</v>
      </c>
      <c r="I8" s="44"/>
      <c r="J8" s="36" t="s">
        <v>742</v>
      </c>
      <c r="K8" s="45">
        <f>IFERROR(VLOOKUP($J8,'Post-Acquistion Dep Summary'!$A$23:$F$36,2,FALSE),0)</f>
        <v>1768164.99</v>
      </c>
      <c r="L8" s="45">
        <f>K8-M8</f>
        <v>0</v>
      </c>
      <c r="M8" s="45">
        <f>K8</f>
        <v>1768164.99</v>
      </c>
      <c r="N8" s="45">
        <f>IFERROR(VLOOKUP($J8,'Post-Acquistion Dep Summary'!$A$23:$F$36,3,FALSE),0)</f>
        <v>155590.62433333334</v>
      </c>
      <c r="O8" s="45">
        <f>IFERROR(VLOOKUP($J8,'Post-Acquistion Dep Summary'!$A$23:$F$36,4,FALSE),0)</f>
        <v>373682.7043333333</v>
      </c>
      <c r="P8" s="45">
        <f>IFERROR(VLOOKUP($J8,'Post-Acquistion Dep Summary'!$A$23:$F$36,5,FALSE),0)</f>
        <v>529273.32866666664</v>
      </c>
      <c r="Q8" s="46">
        <f>IFERROR(VLOOKUP($J8,'Post-Acquistion Dep Summary'!$A$23:$F$36,6,FALSE),0)</f>
        <v>1238891.6613333332</v>
      </c>
      <c r="R8" s="44"/>
      <c r="S8" s="36" t="s">
        <v>742</v>
      </c>
      <c r="T8" s="45">
        <f>+SUMIF('Bud Capital Input'!AE:AE,S8,'Bud Capital Input'!AF:AF)</f>
        <v>404654</v>
      </c>
      <c r="U8" s="45">
        <f>T8-V8</f>
        <v>0</v>
      </c>
      <c r="V8" s="45">
        <f>T8</f>
        <v>404654</v>
      </c>
      <c r="W8" s="45">
        <f>+SUMIF('Bud Capital Input'!AE:AE,S8,'Bud Capital Input'!AH:AH)</f>
        <v>40465.4</v>
      </c>
      <c r="X8" s="45">
        <v>0</v>
      </c>
      <c r="Y8" s="45">
        <f>+SUMIF('Bud Capital Input'!AE:AE,S8,'Bud Capital Input'!AH:AH)</f>
        <v>40465.4</v>
      </c>
      <c r="Z8" s="46">
        <f>+SUMIF('Bud Capital Input'!AE:AE,S8,'Bud Capital Input'!AK:AK)</f>
        <v>364188.6</v>
      </c>
      <c r="AB8" s="36" t="s">
        <v>742</v>
      </c>
      <c r="AC8" s="45">
        <f t="shared" ref="AC8:AH8" si="3">B8+K8+T8</f>
        <v>3630264.08</v>
      </c>
      <c r="AD8" s="45">
        <f t="shared" si="3"/>
        <v>0</v>
      </c>
      <c r="AE8" s="45">
        <f t="shared" si="3"/>
        <v>3630264.08</v>
      </c>
      <c r="AF8" s="45">
        <f t="shared" si="3"/>
        <v>277343.60683333338</v>
      </c>
      <c r="AG8" s="45">
        <f t="shared" si="3"/>
        <v>1542964.4293333327</v>
      </c>
      <c r="AH8" s="45">
        <f t="shared" si="3"/>
        <v>1820308.0361666665</v>
      </c>
      <c r="AI8" s="46">
        <f>H8+Q8+Z8</f>
        <v>1809956.0438333335</v>
      </c>
    </row>
    <row r="9" spans="1:35" x14ac:dyDescent="0.2">
      <c r="A9" s="36"/>
      <c r="B9" s="45"/>
      <c r="C9" s="45"/>
      <c r="D9" s="45"/>
      <c r="E9" s="45"/>
      <c r="F9" s="45"/>
      <c r="G9" s="45"/>
      <c r="H9" s="46"/>
      <c r="J9" s="36"/>
      <c r="K9" s="45"/>
      <c r="L9" s="45"/>
      <c r="M9" s="45"/>
      <c r="N9" s="45"/>
      <c r="O9" s="45"/>
      <c r="P9" s="45"/>
      <c r="Q9" s="46"/>
      <c r="S9" s="36"/>
      <c r="T9" s="45"/>
      <c r="U9" s="45"/>
      <c r="V9" s="45"/>
      <c r="W9" s="45"/>
      <c r="X9" s="45"/>
      <c r="Y9" s="45"/>
      <c r="Z9" s="46"/>
      <c r="AB9" s="36"/>
      <c r="AC9" s="45"/>
      <c r="AD9" s="45"/>
      <c r="AE9" s="45"/>
      <c r="AF9" s="45"/>
      <c r="AG9" s="45"/>
      <c r="AH9" s="45"/>
      <c r="AI9" s="46"/>
    </row>
    <row r="10" spans="1:35" x14ac:dyDescent="0.2">
      <c r="A10" s="36" t="s">
        <v>743</v>
      </c>
      <c r="B10" s="522">
        <v>0</v>
      </c>
      <c r="C10" s="523">
        <f>B10-D10</f>
        <v>0</v>
      </c>
      <c r="D10" s="522">
        <v>0</v>
      </c>
      <c r="E10" s="522">
        <v>0</v>
      </c>
      <c r="F10" s="522">
        <v>0</v>
      </c>
      <c r="G10" s="522">
        <v>0</v>
      </c>
      <c r="H10" s="46">
        <v>0</v>
      </c>
      <c r="J10" s="36" t="s">
        <v>743</v>
      </c>
      <c r="K10" s="45">
        <f>IFERROR(VLOOKUP($J10,'Post-Acquistion Dep Summary'!$A$23:$F$36,2,FALSE),0)</f>
        <v>0</v>
      </c>
      <c r="L10" s="45">
        <f>K10-M10</f>
        <v>0</v>
      </c>
      <c r="M10" s="45">
        <f>K10</f>
        <v>0</v>
      </c>
      <c r="N10" s="45">
        <f>IFERROR(VLOOKUP($J10,'Post-Acquistion Dep Summary'!$A$23:$F$36,3,FALSE),0)</f>
        <v>0</v>
      </c>
      <c r="O10" s="45">
        <f>IFERROR(VLOOKUP($J10,'Post-Acquistion Dep Summary'!$A$23:$F$36,4,FALSE),0)</f>
        <v>0</v>
      </c>
      <c r="P10" s="45">
        <f>IFERROR(VLOOKUP($J10,'Post-Acquistion Dep Summary'!$A$23:$F$36,5,FALSE),0)</f>
        <v>0</v>
      </c>
      <c r="Q10" s="46">
        <f>IFERROR(VLOOKUP($J10,'Post-Acquistion Dep Summary'!$A$23:$F$36,6,FALSE),0)</f>
        <v>0</v>
      </c>
      <c r="S10" s="36" t="s">
        <v>743</v>
      </c>
      <c r="T10" s="45">
        <f>+SUMIF('Bud Capital Input'!AE:AE,S10,'Bud Capital Input'!AF:AF)</f>
        <v>0</v>
      </c>
      <c r="U10" s="45">
        <f>T10-V10</f>
        <v>0</v>
      </c>
      <c r="V10" s="45">
        <f>T10</f>
        <v>0</v>
      </c>
      <c r="W10" s="45">
        <f>+SUMIF('Bud Capital Input'!AE:AE,S10,'Bud Capital Input'!AH:AH)</f>
        <v>0</v>
      </c>
      <c r="X10" s="45">
        <v>0</v>
      </c>
      <c r="Y10" s="45">
        <f>+SUMIF('Bud Capital Input'!AE:AE,S10,'Bud Capital Input'!AH:AH)</f>
        <v>0</v>
      </c>
      <c r="Z10" s="46">
        <f>+SUMIF('Bud Capital Input'!AE:AE,S10,'Bud Capital Input'!AK:AK)</f>
        <v>0</v>
      </c>
      <c r="AB10" s="36" t="s">
        <v>743</v>
      </c>
      <c r="AC10" s="45">
        <f t="shared" ref="AC10" si="4">B10+K10+T10</f>
        <v>0</v>
      </c>
      <c r="AD10" s="45">
        <f t="shared" ref="AD10" si="5">C10+L10+U10</f>
        <v>0</v>
      </c>
      <c r="AE10" s="45">
        <f t="shared" ref="AE10" si="6">D10+M10+V10</f>
        <v>0</v>
      </c>
      <c r="AF10" s="45">
        <f t="shared" ref="AF10" si="7">E10+N10+W10</f>
        <v>0</v>
      </c>
      <c r="AG10" s="45">
        <f t="shared" ref="AG10" si="8">F10+O10+X10</f>
        <v>0</v>
      </c>
      <c r="AH10" s="45">
        <f t="shared" ref="AH10" si="9">G10+P10+Y10</f>
        <v>0</v>
      </c>
      <c r="AI10" s="46">
        <f>H10+Q10+Z10</f>
        <v>0</v>
      </c>
    </row>
    <row r="11" spans="1:35" x14ac:dyDescent="0.2">
      <c r="A11" s="36"/>
      <c r="B11" s="45"/>
      <c r="C11" s="45"/>
      <c r="D11" s="45"/>
      <c r="E11" s="45"/>
      <c r="F11" s="45"/>
      <c r="G11" s="45"/>
      <c r="H11" s="46"/>
      <c r="J11" s="36"/>
      <c r="K11" s="45"/>
      <c r="L11" s="45"/>
      <c r="M11" s="45"/>
      <c r="N11" s="45"/>
      <c r="O11" s="45"/>
      <c r="P11" s="45"/>
      <c r="Q11" s="46"/>
      <c r="S11" s="36"/>
      <c r="T11" s="45"/>
      <c r="U11" s="45"/>
      <c r="V11" s="45"/>
      <c r="W11" s="45"/>
      <c r="X11" s="45"/>
      <c r="Y11" s="45"/>
      <c r="Z11" s="46"/>
      <c r="AB11" s="36"/>
      <c r="AC11" s="45"/>
      <c r="AD11" s="45"/>
      <c r="AE11" s="45"/>
      <c r="AF11" s="45"/>
      <c r="AG11" s="45"/>
      <c r="AH11" s="45"/>
      <c r="AI11" s="46"/>
    </row>
    <row r="12" spans="1:35" x14ac:dyDescent="0.2">
      <c r="A12" s="36" t="s">
        <v>1547</v>
      </c>
      <c r="B12" s="45">
        <f>+Trks!M70</f>
        <v>856919.4</v>
      </c>
      <c r="C12" s="45">
        <f>B12-D12</f>
        <v>0</v>
      </c>
      <c r="D12" s="45">
        <f>+Trks!N70</f>
        <v>856919.4</v>
      </c>
      <c r="E12" s="45">
        <f>+Trks!Q70</f>
        <v>77178.266249999986</v>
      </c>
      <c r="F12" s="45">
        <f>+Trks!S70</f>
        <v>598641.91500000004</v>
      </c>
      <c r="G12" s="45">
        <f>+Trks!T70</f>
        <v>675820.18125000014</v>
      </c>
      <c r="H12" s="46">
        <f>+Trks!U70</f>
        <v>181099.21874999994</v>
      </c>
      <c r="J12" s="36" t="s">
        <v>1547</v>
      </c>
      <c r="K12" s="45">
        <f>IFERROR(VLOOKUP($J12,'Post-Acquistion Dep Summary'!$A$23:$F$36,2,FALSE),0)</f>
        <v>943515.04</v>
      </c>
      <c r="L12" s="45">
        <f>K12-M12</f>
        <v>0</v>
      </c>
      <c r="M12" s="45">
        <f>K12</f>
        <v>943515.04</v>
      </c>
      <c r="N12" s="45">
        <f>IFERROR(VLOOKUP($J12,'Post-Acquistion Dep Summary'!$A$23:$F$36,3,FALSE),0)</f>
        <v>108703.83333333334</v>
      </c>
      <c r="O12" s="45">
        <f>IFERROR(VLOOKUP($J12,'Post-Acquistion Dep Summary'!$A$23:$F$36,4,FALSE),0)</f>
        <v>72823.010000000009</v>
      </c>
      <c r="P12" s="45">
        <f>IFERROR(VLOOKUP($J12,'Post-Acquistion Dep Summary'!$A$23:$F$36,5,FALSE),0)</f>
        <v>181526.84333333332</v>
      </c>
      <c r="Q12" s="46">
        <f>IFERROR(VLOOKUP($J12,'Post-Acquistion Dep Summary'!$A$23:$F$36,6,FALSE),0)</f>
        <v>761988.19666666666</v>
      </c>
      <c r="S12" s="36" t="s">
        <v>1547</v>
      </c>
      <c r="T12" s="45">
        <f>+SUMIF('Bud Capital Input'!AE:AE,S12,'Bud Capital Input'!AF:AF)</f>
        <v>300882</v>
      </c>
      <c r="U12" s="45">
        <f>T12-V12</f>
        <v>0</v>
      </c>
      <c r="V12" s="45">
        <f>T12</f>
        <v>300882</v>
      </c>
      <c r="W12" s="45">
        <f>+SUMIF('Bud Capital Input'!AE:AE,S12,'Bud Capital Input'!AH:AH)</f>
        <v>30088.2</v>
      </c>
      <c r="X12" s="45">
        <v>0</v>
      </c>
      <c r="Y12" s="45">
        <f>+SUMIF('Bud Capital Input'!AE:AE,S12,'Bud Capital Input'!AH:AH)</f>
        <v>30088.2</v>
      </c>
      <c r="Z12" s="46">
        <f>+SUMIF('Bud Capital Input'!AE:AE,S12,'Bud Capital Input'!AK:AK)</f>
        <v>270793.8</v>
      </c>
      <c r="AB12" s="36" t="s">
        <v>1547</v>
      </c>
      <c r="AC12" s="45">
        <f t="shared" ref="AC12" si="10">B12+K12+T12</f>
        <v>2101316.44</v>
      </c>
      <c r="AD12" s="45">
        <f t="shared" ref="AD12" si="11">C12+L12+U12</f>
        <v>0</v>
      </c>
      <c r="AE12" s="45">
        <f t="shared" ref="AE12" si="12">D12+M12+V12</f>
        <v>2101316.44</v>
      </c>
      <c r="AF12" s="45">
        <f t="shared" ref="AF12" si="13">E12+N12+W12</f>
        <v>215970.29958333334</v>
      </c>
      <c r="AG12" s="45">
        <f t="shared" ref="AG12" si="14">F12+O12+X12</f>
        <v>671464.92500000005</v>
      </c>
      <c r="AH12" s="45">
        <f t="shared" ref="AH12" si="15">G12+P12+Y12</f>
        <v>887435.22458333336</v>
      </c>
      <c r="AI12" s="46">
        <f>H12+Q12+Z12</f>
        <v>1213881.2154166666</v>
      </c>
    </row>
    <row r="13" spans="1:35" x14ac:dyDescent="0.2">
      <c r="A13" s="36"/>
      <c r="B13" s="45"/>
      <c r="C13" s="45"/>
      <c r="D13" s="45"/>
      <c r="E13" s="45"/>
      <c r="F13" s="45"/>
      <c r="G13" s="45"/>
      <c r="H13" s="46"/>
      <c r="J13" s="36"/>
      <c r="K13" s="45"/>
      <c r="L13" s="45"/>
      <c r="M13" s="45"/>
      <c r="N13" s="45"/>
      <c r="O13" s="45"/>
      <c r="P13" s="45"/>
      <c r="Q13" s="46"/>
      <c r="S13" s="36"/>
      <c r="T13" s="45"/>
      <c r="U13" s="45"/>
      <c r="V13" s="45"/>
      <c r="W13" s="45"/>
      <c r="X13" s="45"/>
      <c r="Y13" s="45"/>
      <c r="Z13" s="46"/>
      <c r="AB13" s="36"/>
      <c r="AC13" s="45"/>
      <c r="AD13" s="45"/>
      <c r="AE13" s="45"/>
      <c r="AF13" s="45"/>
      <c r="AG13" s="45"/>
      <c r="AH13" s="45"/>
      <c r="AI13" s="46"/>
    </row>
    <row r="14" spans="1:35" x14ac:dyDescent="0.2">
      <c r="A14" s="36" t="s">
        <v>741</v>
      </c>
      <c r="B14" s="45">
        <f>+Trks!M78</f>
        <v>227896.38999999998</v>
      </c>
      <c r="C14" s="45">
        <f>B14-D14</f>
        <v>0</v>
      </c>
      <c r="D14" s="45">
        <f>+Trks!N78</f>
        <v>227896.38999999998</v>
      </c>
      <c r="E14" s="45">
        <f>+Trks!Q78</f>
        <v>20624.65642857143</v>
      </c>
      <c r="F14" s="45">
        <f>+Trks!S78</f>
        <v>147764.04571428569</v>
      </c>
      <c r="G14" s="45">
        <f>+Trks!T78</f>
        <v>168388.70214285713</v>
      </c>
      <c r="H14" s="46">
        <f>+Trks!U78</f>
        <v>59507.687857142853</v>
      </c>
      <c r="I14" s="44"/>
      <c r="J14" s="36" t="s">
        <v>741</v>
      </c>
      <c r="K14" s="45">
        <f>IFERROR(VLOOKUP($J14,'Post-Acquistion Dep Summary'!$A$23:$F$36,2,FALSE),0)</f>
        <v>420840.19</v>
      </c>
      <c r="L14" s="45">
        <f>K14-M14</f>
        <v>0</v>
      </c>
      <c r="M14" s="45">
        <f>K14</f>
        <v>420840.19</v>
      </c>
      <c r="N14" s="45">
        <f>IFERROR(VLOOKUP($J14,'Post-Acquistion Dep Summary'!$A$23:$F$36,3,FALSE),0)</f>
        <v>30938.432333333334</v>
      </c>
      <c r="O14" s="45">
        <f>IFERROR(VLOOKUP($J14,'Post-Acquistion Dep Summary'!$A$23:$F$36,4,FALSE),0)</f>
        <v>172885.32233333334</v>
      </c>
      <c r="P14" s="45">
        <f>IFERROR(VLOOKUP($J14,'Post-Acquistion Dep Summary'!$A$23:$F$36,5,FALSE),0)</f>
        <v>203823.75466666667</v>
      </c>
      <c r="Q14" s="46">
        <f>IFERROR(VLOOKUP($J14,'Post-Acquistion Dep Summary'!$A$23:$F$36,6,FALSE),0)</f>
        <v>217016.43533333333</v>
      </c>
      <c r="R14" s="44"/>
      <c r="S14" s="36" t="s">
        <v>741</v>
      </c>
      <c r="T14" s="45">
        <f>+SUMIF('Bud Capital Input'!AE:AE,S14,'Bud Capital Input'!AF:AF)</f>
        <v>356287</v>
      </c>
      <c r="U14" s="45">
        <f>T14-V14</f>
        <v>0</v>
      </c>
      <c r="V14" s="45">
        <f>T14</f>
        <v>356287</v>
      </c>
      <c r="W14" s="45">
        <f>+SUMIF('Bud Capital Input'!AE:AE,S14,'Bud Capital Input'!AH:AH)</f>
        <v>35628.699999999997</v>
      </c>
      <c r="X14" s="45">
        <v>0</v>
      </c>
      <c r="Y14" s="45">
        <f>+SUMIF('Bud Capital Input'!AE:AE,S14,'Bud Capital Input'!AH:AH)</f>
        <v>35628.699999999997</v>
      </c>
      <c r="Z14" s="46">
        <f>+SUMIF('Bud Capital Input'!AE:AE,S14,'Bud Capital Input'!AK:AK)</f>
        <v>320658.3</v>
      </c>
      <c r="AB14" s="36" t="s">
        <v>292</v>
      </c>
      <c r="AC14" s="45">
        <f t="shared" ref="AC14:AI14" si="16">B14+K14+T14</f>
        <v>1005023.58</v>
      </c>
      <c r="AD14" s="45">
        <f t="shared" si="16"/>
        <v>0</v>
      </c>
      <c r="AE14" s="45">
        <f t="shared" si="16"/>
        <v>1005023.58</v>
      </c>
      <c r="AF14" s="45">
        <f t="shared" si="16"/>
        <v>87191.788761904754</v>
      </c>
      <c r="AG14" s="45">
        <f t="shared" si="16"/>
        <v>320649.36804761901</v>
      </c>
      <c r="AH14" s="45">
        <f t="shared" si="16"/>
        <v>407841.15680952382</v>
      </c>
      <c r="AI14" s="46">
        <f t="shared" si="16"/>
        <v>597182.42319047614</v>
      </c>
    </row>
    <row r="15" spans="1:35" x14ac:dyDescent="0.2">
      <c r="A15" s="36"/>
      <c r="B15" s="45"/>
      <c r="C15" s="45"/>
      <c r="D15" s="45"/>
      <c r="E15" s="45"/>
      <c r="F15" s="45"/>
      <c r="G15" s="45"/>
      <c r="H15" s="46"/>
      <c r="J15" s="36"/>
      <c r="K15" s="45"/>
      <c r="L15" s="45"/>
      <c r="M15" s="45"/>
      <c r="N15" s="45"/>
      <c r="O15" s="45"/>
      <c r="P15" s="45"/>
      <c r="Q15" s="46"/>
      <c r="S15" s="36"/>
      <c r="T15" s="45"/>
      <c r="U15" s="45"/>
      <c r="V15" s="45"/>
      <c r="W15" s="45"/>
      <c r="X15" s="45"/>
      <c r="Y15" s="45"/>
      <c r="Z15" s="46"/>
      <c r="AB15" s="36"/>
      <c r="AC15" s="45"/>
      <c r="AD15" s="45"/>
      <c r="AE15" s="45"/>
      <c r="AF15" s="45"/>
      <c r="AG15" s="45"/>
      <c r="AH15" s="45"/>
      <c r="AI15" s="46"/>
    </row>
    <row r="16" spans="1:35" x14ac:dyDescent="0.2">
      <c r="A16" s="36" t="s">
        <v>293</v>
      </c>
      <c r="B16" s="45">
        <f>+Trks!M83</f>
        <v>0</v>
      </c>
      <c r="C16" s="45">
        <f>B16-D16</f>
        <v>0</v>
      </c>
      <c r="D16" s="45">
        <f>+Trks!N83</f>
        <v>0</v>
      </c>
      <c r="E16" s="45">
        <f>+Trks!Q83</f>
        <v>0</v>
      </c>
      <c r="F16" s="45">
        <f>+Trks!S83</f>
        <v>0</v>
      </c>
      <c r="G16" s="45">
        <f>+Trks!T83</f>
        <v>0</v>
      </c>
      <c r="H16" s="46">
        <f>+Trks!U83</f>
        <v>0</v>
      </c>
      <c r="I16" s="44"/>
      <c r="J16" s="36" t="s">
        <v>293</v>
      </c>
      <c r="K16" s="45">
        <f>IFERROR(VLOOKUP($J16,'Post-Acquistion Dep Summary'!$A$23:$F$36,2,FALSE),0)</f>
        <v>0</v>
      </c>
      <c r="L16" s="45">
        <f>K16-M16</f>
        <v>0</v>
      </c>
      <c r="M16" s="45">
        <f>K16</f>
        <v>0</v>
      </c>
      <c r="N16" s="45">
        <f>IFERROR(VLOOKUP($J16,'Post-Acquistion Dep Summary'!$A$23:$F$36,3,FALSE),0)</f>
        <v>0</v>
      </c>
      <c r="O16" s="45">
        <f>IFERROR(VLOOKUP($J16,'Post-Acquistion Dep Summary'!$A$23:$F$36,4,FALSE),0)</f>
        <v>0</v>
      </c>
      <c r="P16" s="45">
        <f>IFERROR(VLOOKUP($J16,'Post-Acquistion Dep Summary'!$A$23:$F$36,5,FALSE),0)</f>
        <v>0</v>
      </c>
      <c r="Q16" s="46">
        <f>IFERROR(VLOOKUP($J16,'Post-Acquistion Dep Summary'!$A$23:$F$36,6,FALSE),0)</f>
        <v>0</v>
      </c>
      <c r="R16" s="44"/>
      <c r="S16" s="36" t="s">
        <v>293</v>
      </c>
      <c r="T16" s="45">
        <f>+SUMIF('Bud Capital Input'!AE:AE,S16,'Bud Capital Input'!AF:AF)</f>
        <v>0</v>
      </c>
      <c r="U16" s="45">
        <f>T16-V16</f>
        <v>0</v>
      </c>
      <c r="V16" s="45">
        <f>T16</f>
        <v>0</v>
      </c>
      <c r="W16" s="45">
        <f>+SUMIF('Bud Capital Input'!AE:AE,S16,'Bud Capital Input'!AH:AH)</f>
        <v>0</v>
      </c>
      <c r="X16" s="45">
        <v>0</v>
      </c>
      <c r="Y16" s="45">
        <f>+SUMIF('Bud Capital Input'!AE:AE,S16,'Bud Capital Input'!AH:AH)</f>
        <v>0</v>
      </c>
      <c r="Z16" s="46">
        <f>+SUMIF('Bud Capital Input'!AE:AE,S16,'Bud Capital Input'!AK:AK)</f>
        <v>0</v>
      </c>
      <c r="AB16" s="36" t="s">
        <v>293</v>
      </c>
      <c r="AC16" s="45">
        <f t="shared" ref="AC16:AI16" si="17">B16+K16+T16</f>
        <v>0</v>
      </c>
      <c r="AD16" s="45">
        <f t="shared" si="17"/>
        <v>0</v>
      </c>
      <c r="AE16" s="45">
        <f t="shared" si="17"/>
        <v>0</v>
      </c>
      <c r="AF16" s="45">
        <f t="shared" si="17"/>
        <v>0</v>
      </c>
      <c r="AG16" s="45">
        <f t="shared" si="17"/>
        <v>0</v>
      </c>
      <c r="AH16" s="45">
        <f t="shared" si="17"/>
        <v>0</v>
      </c>
      <c r="AI16" s="46">
        <f t="shared" si="17"/>
        <v>0</v>
      </c>
    </row>
    <row r="17" spans="1:35" x14ac:dyDescent="0.2">
      <c r="A17" s="36"/>
      <c r="B17" s="45"/>
      <c r="C17" s="45"/>
      <c r="D17" s="45"/>
      <c r="E17" s="45"/>
      <c r="F17" s="45"/>
      <c r="G17" s="45"/>
      <c r="H17" s="46"/>
      <c r="I17" s="44"/>
      <c r="J17" s="36"/>
      <c r="K17" s="45"/>
      <c r="L17" s="45"/>
      <c r="M17" s="45"/>
      <c r="N17" s="45"/>
      <c r="O17" s="45"/>
      <c r="P17" s="45"/>
      <c r="Q17" s="46"/>
      <c r="R17" s="44"/>
      <c r="S17" s="36"/>
      <c r="T17" s="45"/>
      <c r="U17" s="45"/>
      <c r="V17" s="45"/>
      <c r="W17" s="45"/>
      <c r="X17" s="45"/>
      <c r="Y17" s="45"/>
      <c r="Z17" s="46"/>
      <c r="AB17" s="36"/>
      <c r="AC17" s="45"/>
      <c r="AD17" s="45"/>
      <c r="AE17" s="45"/>
      <c r="AF17" s="45"/>
      <c r="AG17" s="45"/>
      <c r="AH17" s="45"/>
      <c r="AI17" s="46"/>
    </row>
    <row r="18" spans="1:35" x14ac:dyDescent="0.2">
      <c r="A18" s="36" t="s">
        <v>751</v>
      </c>
      <c r="B18" s="45"/>
      <c r="C18" s="45"/>
      <c r="D18" s="45"/>
      <c r="E18" s="45"/>
      <c r="F18" s="45"/>
      <c r="G18" s="45"/>
      <c r="H18" s="46"/>
      <c r="I18" s="44"/>
      <c r="J18" s="36" t="s">
        <v>751</v>
      </c>
      <c r="K18" s="45">
        <f>IFERROR(VLOOKUP($J18,'Post-Acquistion Dep Summary'!$A$23:$F$36,2,FALSE),0)</f>
        <v>94742.7</v>
      </c>
      <c r="L18" s="45">
        <f>K18-M18</f>
        <v>0</v>
      </c>
      <c r="M18" s="45">
        <f>K18</f>
        <v>94742.7</v>
      </c>
      <c r="N18" s="45">
        <f>IFERROR(VLOOKUP($J18,'Post-Acquistion Dep Summary'!$A$23:$F$36,3,FALSE),0)</f>
        <v>0</v>
      </c>
      <c r="O18" s="45">
        <f>IFERROR(VLOOKUP($J18,'Post-Acquistion Dep Summary'!$A$23:$F$36,4,FALSE),0)</f>
        <v>94742.7</v>
      </c>
      <c r="P18" s="45">
        <f>IFERROR(VLOOKUP($J18,'Post-Acquistion Dep Summary'!$A$23:$F$36,5,FALSE),0)</f>
        <v>94742.7</v>
      </c>
      <c r="Q18" s="46">
        <f>IFERROR(VLOOKUP($J18,'Post-Acquistion Dep Summary'!$A$23:$F$36,6,FALSE),0)</f>
        <v>0</v>
      </c>
      <c r="R18" s="44"/>
      <c r="S18" s="36" t="s">
        <v>751</v>
      </c>
      <c r="T18" s="45">
        <f>+SUMIF('Bud Capital Input'!AE:AE,S18,'Bud Capital Input'!AF:AF)</f>
        <v>0</v>
      </c>
      <c r="U18" s="45">
        <f>T18-V18</f>
        <v>0</v>
      </c>
      <c r="V18" s="45">
        <f>T18</f>
        <v>0</v>
      </c>
      <c r="W18" s="45">
        <f>+SUMIF('Bud Capital Input'!AE:AE,S18,'Bud Capital Input'!AH:AH)</f>
        <v>0</v>
      </c>
      <c r="X18" s="45">
        <v>0</v>
      </c>
      <c r="Y18" s="45">
        <f>+SUMIF('Bud Capital Input'!AE:AE,S18,'Bud Capital Input'!AH:AH)</f>
        <v>0</v>
      </c>
      <c r="Z18" s="46">
        <f>+SUMIF('Bud Capital Input'!AE:AE,S18,'Bud Capital Input'!AK:AK)</f>
        <v>0</v>
      </c>
      <c r="AB18" s="36" t="s">
        <v>751</v>
      </c>
      <c r="AC18" s="45">
        <f t="shared" ref="AC18:AI18" si="18">B18+K18+T18</f>
        <v>94742.7</v>
      </c>
      <c r="AD18" s="45">
        <f t="shared" si="18"/>
        <v>0</v>
      </c>
      <c r="AE18" s="45">
        <f t="shared" si="18"/>
        <v>94742.7</v>
      </c>
      <c r="AF18" s="45">
        <f t="shared" si="18"/>
        <v>0</v>
      </c>
      <c r="AG18" s="45">
        <f t="shared" si="18"/>
        <v>94742.7</v>
      </c>
      <c r="AH18" s="45">
        <f t="shared" si="18"/>
        <v>94742.7</v>
      </c>
      <c r="AI18" s="46">
        <f t="shared" si="18"/>
        <v>0</v>
      </c>
    </row>
    <row r="19" spans="1:35" x14ac:dyDescent="0.2">
      <c r="A19" s="47"/>
      <c r="B19" s="48"/>
      <c r="C19" s="48"/>
      <c r="D19" s="48"/>
      <c r="E19" s="48"/>
      <c r="F19" s="48"/>
      <c r="G19" s="48"/>
      <c r="H19" s="49"/>
      <c r="J19" s="47"/>
      <c r="K19" s="48"/>
      <c r="L19" s="48"/>
      <c r="M19" s="48"/>
      <c r="N19" s="48"/>
      <c r="O19" s="48"/>
      <c r="P19" s="48"/>
      <c r="Q19" s="49"/>
      <c r="S19" s="47"/>
      <c r="T19" s="48"/>
      <c r="U19" s="48"/>
      <c r="V19" s="48"/>
      <c r="W19" s="48"/>
      <c r="X19" s="48"/>
      <c r="Y19" s="48"/>
      <c r="Z19" s="49"/>
      <c r="AB19" s="47"/>
      <c r="AC19" s="48"/>
      <c r="AD19" s="48"/>
      <c r="AE19" s="48"/>
      <c r="AF19" s="48"/>
      <c r="AG19" s="48"/>
      <c r="AH19" s="48"/>
      <c r="AI19" s="49"/>
    </row>
    <row r="20" spans="1:35" x14ac:dyDescent="0.2">
      <c r="A20" s="34" t="s">
        <v>294</v>
      </c>
      <c r="B20" s="50">
        <f t="shared" ref="B20:H20" si="19">SUM(B8:B19)</f>
        <v>2542260.8800000004</v>
      </c>
      <c r="C20" s="50">
        <f t="shared" si="19"/>
        <v>0</v>
      </c>
      <c r="D20" s="50">
        <f t="shared" si="19"/>
        <v>2542260.8800000004</v>
      </c>
      <c r="E20" s="50">
        <f t="shared" si="19"/>
        <v>179090.50517857145</v>
      </c>
      <c r="F20" s="50">
        <f t="shared" si="19"/>
        <v>1915687.6857142851</v>
      </c>
      <c r="G20" s="50">
        <f t="shared" si="19"/>
        <v>2094778.1908928575</v>
      </c>
      <c r="H20" s="51">
        <f t="shared" si="19"/>
        <v>447482.68910714285</v>
      </c>
      <c r="I20" s="44"/>
      <c r="J20" s="34" t="s">
        <v>294</v>
      </c>
      <c r="K20" s="50">
        <f t="shared" ref="K20:Q20" si="20">SUM(K8:K19)</f>
        <v>3227262.9200000004</v>
      </c>
      <c r="L20" s="50">
        <f t="shared" si="20"/>
        <v>0</v>
      </c>
      <c r="M20" s="50">
        <f t="shared" si="20"/>
        <v>3227262.9200000004</v>
      </c>
      <c r="N20" s="50">
        <f t="shared" ref="N20" si="21">SUM(N8:N19)</f>
        <v>295232.89000000007</v>
      </c>
      <c r="O20" s="50">
        <f t="shared" si="20"/>
        <v>714133.73666666658</v>
      </c>
      <c r="P20" s="50">
        <f t="shared" si="20"/>
        <v>1009366.6266666667</v>
      </c>
      <c r="Q20" s="51">
        <f t="shared" si="20"/>
        <v>2217896.2933333335</v>
      </c>
      <c r="R20" s="44"/>
      <c r="S20" s="34" t="s">
        <v>294</v>
      </c>
      <c r="T20" s="50">
        <f t="shared" ref="T20:Z20" si="22">SUM(T8:T19)</f>
        <v>1061823</v>
      </c>
      <c r="U20" s="50">
        <f t="shared" si="22"/>
        <v>0</v>
      </c>
      <c r="V20" s="50">
        <f t="shared" si="22"/>
        <v>1061823</v>
      </c>
      <c r="W20" s="50">
        <f t="shared" si="22"/>
        <v>106182.3</v>
      </c>
      <c r="X20" s="50">
        <f t="shared" si="22"/>
        <v>0</v>
      </c>
      <c r="Y20" s="50">
        <f t="shared" si="22"/>
        <v>106182.3</v>
      </c>
      <c r="Z20" s="51">
        <f t="shared" si="22"/>
        <v>955640.7</v>
      </c>
      <c r="AB20" s="34" t="s">
        <v>294</v>
      </c>
      <c r="AC20" s="50">
        <f t="shared" ref="AC20:AI20" si="23">SUM(AC8:AC19)</f>
        <v>6831346.7999999998</v>
      </c>
      <c r="AD20" s="50">
        <f t="shared" si="23"/>
        <v>0</v>
      </c>
      <c r="AE20" s="50">
        <f t="shared" si="23"/>
        <v>6831346.7999999998</v>
      </c>
      <c r="AF20" s="50">
        <f t="shared" si="23"/>
        <v>580505.69517857139</v>
      </c>
      <c r="AG20" s="50">
        <f t="shared" si="23"/>
        <v>2629821.4223809522</v>
      </c>
      <c r="AH20" s="50">
        <f t="shared" si="23"/>
        <v>3210327.1175595238</v>
      </c>
      <c r="AI20" s="51">
        <f t="shared" si="23"/>
        <v>3621019.6824404765</v>
      </c>
    </row>
    <row r="21" spans="1:35" x14ac:dyDescent="0.2">
      <c r="A21" s="36"/>
      <c r="B21" s="45">
        <f>B20-Trks!M86</f>
        <v>0</v>
      </c>
      <c r="C21" s="45"/>
      <c r="D21" s="45"/>
      <c r="E21" s="45">
        <f>E20-Trks!Q86</f>
        <v>0</v>
      </c>
      <c r="F21" s="45"/>
      <c r="G21" s="45"/>
      <c r="H21" s="46">
        <f>H20-Trks!U86</f>
        <v>0</v>
      </c>
      <c r="J21" s="36"/>
      <c r="K21" s="45"/>
      <c r="L21" s="45"/>
      <c r="M21" s="45"/>
      <c r="N21" s="45"/>
      <c r="O21" s="45"/>
      <c r="P21" s="45"/>
      <c r="Q21" s="46"/>
      <c r="S21" s="36"/>
      <c r="T21" s="45"/>
      <c r="U21" s="45"/>
      <c r="V21" s="45"/>
      <c r="W21" s="45"/>
      <c r="X21" s="45"/>
      <c r="Y21" s="45"/>
      <c r="Z21" s="46"/>
      <c r="AB21" s="36"/>
      <c r="AC21" s="45"/>
      <c r="AD21" s="45"/>
      <c r="AE21" s="45"/>
      <c r="AF21" s="45"/>
      <c r="AG21" s="45"/>
      <c r="AH21" s="45"/>
      <c r="AI21" s="46"/>
    </row>
    <row r="22" spans="1:35" x14ac:dyDescent="0.2">
      <c r="A22" s="43" t="s">
        <v>295</v>
      </c>
      <c r="B22" s="45"/>
      <c r="C22" s="45"/>
      <c r="D22" s="45"/>
      <c r="E22" s="45"/>
      <c r="F22" s="45"/>
      <c r="G22" s="45"/>
      <c r="H22" s="46"/>
      <c r="J22" s="43" t="s">
        <v>295</v>
      </c>
      <c r="K22" s="45"/>
      <c r="L22" s="45"/>
      <c r="M22" s="45"/>
      <c r="N22" s="45"/>
      <c r="O22" s="45"/>
      <c r="P22" s="45"/>
      <c r="Q22" s="46"/>
      <c r="S22" s="43" t="s">
        <v>295</v>
      </c>
      <c r="T22" s="45"/>
      <c r="U22" s="45"/>
      <c r="V22" s="45"/>
      <c r="W22" s="45"/>
      <c r="X22" s="45"/>
      <c r="Y22" s="45"/>
      <c r="Z22" s="46"/>
      <c r="AB22" s="43" t="s">
        <v>295</v>
      </c>
      <c r="AC22" s="45"/>
      <c r="AD22" s="45"/>
      <c r="AE22" s="45"/>
      <c r="AF22" s="45"/>
      <c r="AG22" s="45"/>
      <c r="AH22" s="45"/>
      <c r="AI22" s="46"/>
    </row>
    <row r="23" spans="1:35" x14ac:dyDescent="0.2">
      <c r="A23" s="36" t="s">
        <v>295</v>
      </c>
      <c r="B23" s="45">
        <f>'Cont, DB'!L66</f>
        <v>67544.250000000015</v>
      </c>
      <c r="C23" s="45">
        <f>B23-D23</f>
        <v>0</v>
      </c>
      <c r="D23" s="45">
        <f>'Cont, DB'!M66</f>
        <v>67544.250000000015</v>
      </c>
      <c r="E23" s="45">
        <f>'Cont, DB'!P66</f>
        <v>2778.9589999999998</v>
      </c>
      <c r="F23" s="45">
        <f>+'Cont, DB'!Q66</f>
        <v>58969.135999999999</v>
      </c>
      <c r="G23" s="45">
        <f>+'Cont, DB'!R66</f>
        <v>61748.094999999994</v>
      </c>
      <c r="H23" s="46">
        <f>+'Cont, DB'!S66</f>
        <v>5796.1550000000007</v>
      </c>
      <c r="I23" s="44"/>
      <c r="J23" s="36" t="s">
        <v>295</v>
      </c>
      <c r="K23" s="45">
        <f>IFERROR(VLOOKUP($J23,'Post-Acquistion Dep Summary'!$A$23:$F$36,2,FALSE),0)</f>
        <v>266062.87999999995</v>
      </c>
      <c r="L23" s="45">
        <f>K23-M23</f>
        <v>0</v>
      </c>
      <c r="M23" s="45">
        <f>K23</f>
        <v>266062.87999999995</v>
      </c>
      <c r="N23" s="45">
        <f>IFERROR(VLOOKUP($J23,'Post-Acquistion Dep Summary'!$A$23:$F$36,3,FALSE),0)</f>
        <v>25149.825714285715</v>
      </c>
      <c r="O23" s="45">
        <f>IFERROR(VLOOKUP($J23,'Post-Acquistion Dep Summary'!$A$23:$F$36,4,FALSE),0)</f>
        <v>18791.068333333333</v>
      </c>
      <c r="P23" s="45">
        <f>IFERROR(VLOOKUP($J23,'Post-Acquistion Dep Summary'!$A$23:$F$36,5,FALSE),0)</f>
        <v>43940.89404761904</v>
      </c>
      <c r="Q23" s="46">
        <f>IFERROR(VLOOKUP($J23,'Post-Acquistion Dep Summary'!$A$23:$F$36,6,FALSE),0)</f>
        <v>222121.98595238093</v>
      </c>
      <c r="R23" s="44"/>
      <c r="S23" s="36" t="s">
        <v>295</v>
      </c>
      <c r="T23" s="45">
        <f>+SUMIF('Bud Capital Input'!AE:AE,S23,'Bud Capital Input'!AF:AF)</f>
        <v>903678</v>
      </c>
      <c r="U23" s="45">
        <f>T23-V23</f>
        <v>0</v>
      </c>
      <c r="V23" s="45">
        <f t="shared" ref="V23:V33" si="24">T23</f>
        <v>903678</v>
      </c>
      <c r="W23" s="45">
        <f>+SUMIF('Bud Capital Input'!AE:AE,S23,'Bud Capital Input'!AH:AH)</f>
        <v>75306.5</v>
      </c>
      <c r="X23" s="45">
        <v>0</v>
      </c>
      <c r="Y23" s="45">
        <f>+SUMIF('Bud Capital Input'!AE:AE,S23,'Bud Capital Input'!AH:AH)</f>
        <v>75306.5</v>
      </c>
      <c r="Z23" s="46">
        <f>+SUMIF('Bud Capital Input'!AE:AE,S23,'Bud Capital Input'!AK:AK)</f>
        <v>828371.5</v>
      </c>
      <c r="AB23" s="36" t="s">
        <v>296</v>
      </c>
      <c r="AC23" s="45">
        <f t="shared" ref="AC23:AI23" si="25">B23+K23+T23</f>
        <v>1237285.1299999999</v>
      </c>
      <c r="AD23" s="45">
        <f t="shared" si="25"/>
        <v>0</v>
      </c>
      <c r="AE23" s="45">
        <f t="shared" si="25"/>
        <v>1237285.1299999999</v>
      </c>
      <c r="AF23" s="45">
        <f t="shared" si="25"/>
        <v>103235.28471428572</v>
      </c>
      <c r="AG23" s="45">
        <f t="shared" si="25"/>
        <v>77760.204333333328</v>
      </c>
      <c r="AH23" s="45">
        <f t="shared" si="25"/>
        <v>180995.48904761905</v>
      </c>
      <c r="AI23" s="46">
        <f t="shared" si="25"/>
        <v>1056289.6409523808</v>
      </c>
    </row>
    <row r="24" spans="1:35" x14ac:dyDescent="0.2">
      <c r="A24" s="36"/>
      <c r="B24" s="45"/>
      <c r="C24" s="45"/>
      <c r="D24" s="45"/>
      <c r="E24" s="45"/>
      <c r="F24" s="45"/>
      <c r="G24" s="45"/>
      <c r="H24" s="46"/>
      <c r="J24" s="36"/>
      <c r="K24" s="45"/>
      <c r="L24" s="45"/>
      <c r="M24" s="45"/>
      <c r="N24" s="45"/>
      <c r="O24" s="45"/>
      <c r="P24" s="45"/>
      <c r="Q24" s="46"/>
      <c r="S24" s="36"/>
      <c r="T24" s="45"/>
      <c r="U24" s="45"/>
      <c r="V24" s="45"/>
      <c r="W24" s="45"/>
      <c r="X24" s="45"/>
      <c r="Y24" s="45"/>
      <c r="Z24" s="46"/>
      <c r="AB24" s="36"/>
      <c r="AC24" s="45"/>
      <c r="AD24" s="45"/>
      <c r="AE24" s="45"/>
      <c r="AF24" s="45"/>
      <c r="AG24" s="45"/>
      <c r="AH24" s="45"/>
      <c r="AI24" s="46"/>
    </row>
    <row r="25" spans="1:35" ht="12.75" customHeight="1" x14ac:dyDescent="0.2">
      <c r="A25" s="36" t="s">
        <v>297</v>
      </c>
      <c r="B25" s="45">
        <f>'Cont, DB'!L105</f>
        <v>290015.03999999998</v>
      </c>
      <c r="C25" s="45">
        <f>B25-D25</f>
        <v>0</v>
      </c>
      <c r="D25" s="45">
        <f>'Cont, DB'!M105</f>
        <v>290015.03999999998</v>
      </c>
      <c r="E25" s="45">
        <f>'Cont, DB'!P105</f>
        <v>21224.152000000002</v>
      </c>
      <c r="F25" s="45">
        <f>'Cont, DB'!Q105</f>
        <v>167094.96099999998</v>
      </c>
      <c r="G25" s="45">
        <f>'Cont, DB'!R105</f>
        <v>188319.11299999998</v>
      </c>
      <c r="H25" s="46">
        <f>'Cont, DB'!S105</f>
        <v>101695.92700000003</v>
      </c>
      <c r="I25" s="44"/>
      <c r="J25" s="36" t="s">
        <v>297</v>
      </c>
      <c r="K25" s="45">
        <f>IFERROR(VLOOKUP($J25,'Post-Acquistion Dep Summary'!$A$23:$F$36,2,FALSE),0)</f>
        <v>514615.47</v>
      </c>
      <c r="L25" s="45">
        <f>K25-M25</f>
        <v>0</v>
      </c>
      <c r="M25" s="45">
        <f>K25</f>
        <v>514615.47</v>
      </c>
      <c r="N25" s="45">
        <f>IFERROR(VLOOKUP($J25,'Post-Acquistion Dep Summary'!$A$23:$F$36,3,FALSE),0)</f>
        <v>37170.731428571431</v>
      </c>
      <c r="O25" s="45">
        <f>IFERROR(VLOOKUP($J25,'Post-Acquistion Dep Summary'!$A$23:$F$36,4,FALSE),0)</f>
        <v>120698.9092857143</v>
      </c>
      <c r="P25" s="45">
        <f>IFERROR(VLOOKUP($J25,'Post-Acquistion Dep Summary'!$A$23:$F$36,5,FALSE),0)</f>
        <v>157869.64071428569</v>
      </c>
      <c r="Q25" s="46">
        <f>IFERROR(VLOOKUP($J25,'Post-Acquistion Dep Summary'!$A$23:$F$36,6,FALSE),0)</f>
        <v>356745.82928571437</v>
      </c>
      <c r="R25" s="44"/>
      <c r="S25" s="36" t="s">
        <v>297</v>
      </c>
      <c r="T25" s="45">
        <f>+SUMIF('Bud Capital Input'!AE:AE,S25,'Bud Capital Input'!AF:AF)</f>
        <v>0</v>
      </c>
      <c r="U25" s="45">
        <f>T25-V25</f>
        <v>0</v>
      </c>
      <c r="V25" s="45">
        <f t="shared" si="24"/>
        <v>0</v>
      </c>
      <c r="W25" s="45">
        <f>+SUMIF('Bud Capital Input'!AE:AE,S25,'Bud Capital Input'!AH:AH)</f>
        <v>0</v>
      </c>
      <c r="X25" s="45">
        <v>0</v>
      </c>
      <c r="Y25" s="45">
        <f>+SUMIF('Bud Capital Input'!AE:AE,S25,'Bud Capital Input'!AH:AH)</f>
        <v>0</v>
      </c>
      <c r="Z25" s="46">
        <f>+SUMIF('Bud Capital Input'!AE:AE,S25,'Bud Capital Input'!AK:AK)</f>
        <v>0</v>
      </c>
      <c r="AB25" s="36" t="s">
        <v>297</v>
      </c>
      <c r="AC25" s="45">
        <f t="shared" ref="AC25:AI25" si="26">B25+K25+T25</f>
        <v>804630.51</v>
      </c>
      <c r="AD25" s="45">
        <f t="shared" si="26"/>
        <v>0</v>
      </c>
      <c r="AE25" s="45">
        <f t="shared" si="26"/>
        <v>804630.51</v>
      </c>
      <c r="AF25" s="45">
        <f t="shared" si="26"/>
        <v>58394.883428571433</v>
      </c>
      <c r="AG25" s="45">
        <f t="shared" si="26"/>
        <v>287793.87028571428</v>
      </c>
      <c r="AH25" s="45">
        <f t="shared" si="26"/>
        <v>346188.75371428567</v>
      </c>
      <c r="AI25" s="46">
        <f t="shared" si="26"/>
        <v>458441.75628571439</v>
      </c>
    </row>
    <row r="26" spans="1:35" ht="19.5" customHeight="1" x14ac:dyDescent="0.4">
      <c r="A26" s="36"/>
      <c r="B26" s="45"/>
      <c r="C26" s="45"/>
      <c r="D26" s="45"/>
      <c r="E26" s="45"/>
      <c r="F26" s="45"/>
      <c r="G26" s="45"/>
      <c r="H26" s="46"/>
      <c r="I26" s="269" t="s">
        <v>716</v>
      </c>
      <c r="J26" s="36"/>
      <c r="K26" s="45"/>
      <c r="L26" s="45"/>
      <c r="M26" s="45"/>
      <c r="N26" s="45"/>
      <c r="O26" s="45"/>
      <c r="P26" s="45"/>
      <c r="Q26" s="46"/>
      <c r="R26" s="269" t="s">
        <v>716</v>
      </c>
      <c r="S26" s="36"/>
      <c r="T26" s="45"/>
      <c r="U26" s="45"/>
      <c r="V26" s="45"/>
      <c r="W26" s="45"/>
      <c r="X26" s="45"/>
      <c r="Y26" s="45"/>
      <c r="Z26" s="46"/>
      <c r="AA26" s="269" t="s">
        <v>717</v>
      </c>
      <c r="AB26" s="36"/>
      <c r="AC26" s="45"/>
      <c r="AD26" s="45"/>
      <c r="AE26" s="45"/>
      <c r="AF26" s="45"/>
      <c r="AG26" s="45"/>
      <c r="AH26" s="45"/>
      <c r="AI26" s="46"/>
    </row>
    <row r="27" spans="1:35" ht="12" customHeight="1" x14ac:dyDescent="0.2">
      <c r="A27" s="36" t="str">
        <f>'Cont, DB'!C107</f>
        <v>Garbage Carts</v>
      </c>
      <c r="B27" s="45">
        <f>+'Cont, DB'!L222</f>
        <v>547428.77000000014</v>
      </c>
      <c r="C27" s="45">
        <f>B27-D27</f>
        <v>0</v>
      </c>
      <c r="D27" s="45">
        <f>+'Cont, DB'!M222</f>
        <v>547428.77000000014</v>
      </c>
      <c r="E27" s="45">
        <f>+'Cont, DB'!P222</f>
        <v>19738.521000000001</v>
      </c>
      <c r="F27" s="45">
        <f>+'Cont, DB'!Q222</f>
        <v>476098.37900000007</v>
      </c>
      <c r="G27" s="45">
        <f>+'Cont, DB'!R222</f>
        <v>495836.90000000014</v>
      </c>
      <c r="H27" s="46">
        <f>+'Cont, DB'!S222</f>
        <v>51591.869999999995</v>
      </c>
      <c r="J27" s="36" t="s">
        <v>367</v>
      </c>
      <c r="K27" s="45">
        <f>IFERROR(VLOOKUP($J27,'Post-Acquistion Dep Summary'!$A$23:$F$36,2,FALSE),0)</f>
        <v>430906.99</v>
      </c>
      <c r="L27" s="45">
        <f>K27-M27</f>
        <v>0</v>
      </c>
      <c r="M27" s="45">
        <f>K27</f>
        <v>430906.99</v>
      </c>
      <c r="N27" s="45">
        <f>IFERROR(VLOOKUP($J27,'Post-Acquistion Dep Summary'!$A$23:$F$36,3,FALSE),0)</f>
        <v>60652.407142857141</v>
      </c>
      <c r="O27" s="45">
        <f>IFERROR(VLOOKUP($J27,'Post-Acquistion Dep Summary'!$A$23:$F$36,4,FALSE),0)</f>
        <v>27823.858571428573</v>
      </c>
      <c r="P27" s="45">
        <f>IFERROR(VLOOKUP($J27,'Post-Acquistion Dep Summary'!$A$23:$F$36,5,FALSE),0)</f>
        <v>88476.265714285706</v>
      </c>
      <c r="Q27" s="46">
        <f>IFERROR(VLOOKUP($J27,'Post-Acquistion Dep Summary'!$A$23:$F$36,6,FALSE),0)</f>
        <v>342430.72428571433</v>
      </c>
      <c r="S27" s="36" t="s">
        <v>367</v>
      </c>
      <c r="T27" s="45">
        <f>+SUMIF('Bud Capital Input'!AE:AE,S27,'Bud Capital Input'!AF:AF)</f>
        <v>0</v>
      </c>
      <c r="U27" s="45">
        <f>T27-V27</f>
        <v>0</v>
      </c>
      <c r="V27" s="45">
        <f t="shared" si="24"/>
        <v>0</v>
      </c>
      <c r="W27" s="45">
        <f>+SUMIF('Bud Capital Input'!AE:AE,S27,'Bud Capital Input'!AH:AH)</f>
        <v>0</v>
      </c>
      <c r="X27" s="45">
        <v>0</v>
      </c>
      <c r="Y27" s="45">
        <f>+SUMIF('Bud Capital Input'!AE:AE,S27,'Bud Capital Input'!AH:AH)</f>
        <v>0</v>
      </c>
      <c r="Z27" s="46">
        <f>+SUMIF('Bud Capital Input'!AE:AE,S27,'Bud Capital Input'!AK:AK)</f>
        <v>0</v>
      </c>
      <c r="AB27" s="36" t="s">
        <v>367</v>
      </c>
      <c r="AC27" s="45">
        <f t="shared" ref="AC27:AI27" si="27">B27+K27+T27</f>
        <v>978335.76000000013</v>
      </c>
      <c r="AD27" s="45">
        <f t="shared" si="27"/>
        <v>0</v>
      </c>
      <c r="AE27" s="45">
        <f t="shared" si="27"/>
        <v>978335.76000000013</v>
      </c>
      <c r="AF27" s="45">
        <f t="shared" si="27"/>
        <v>80390.928142857141</v>
      </c>
      <c r="AG27" s="45">
        <f t="shared" si="27"/>
        <v>503922.23757142865</v>
      </c>
      <c r="AH27" s="45">
        <f t="shared" si="27"/>
        <v>584313.1657142858</v>
      </c>
      <c r="AI27" s="46">
        <f t="shared" si="27"/>
        <v>394022.59428571432</v>
      </c>
    </row>
    <row r="28" spans="1:35" x14ac:dyDescent="0.2">
      <c r="A28" s="36"/>
      <c r="B28" s="45"/>
      <c r="C28" s="45"/>
      <c r="D28" s="45"/>
      <c r="E28" s="45"/>
      <c r="F28" s="45"/>
      <c r="G28" s="45"/>
      <c r="H28" s="46"/>
      <c r="J28" s="36"/>
      <c r="K28" s="45"/>
      <c r="L28" s="45"/>
      <c r="M28" s="45"/>
      <c r="N28" s="45"/>
      <c r="O28" s="45"/>
      <c r="P28" s="45"/>
      <c r="Q28" s="46"/>
      <c r="S28" s="36"/>
      <c r="T28" s="45"/>
      <c r="U28" s="45"/>
      <c r="V28" s="45"/>
      <c r="W28" s="45"/>
      <c r="X28" s="45"/>
      <c r="Y28" s="45"/>
      <c r="Z28" s="46"/>
      <c r="AB28" s="36"/>
      <c r="AC28" s="45"/>
      <c r="AD28" s="45"/>
      <c r="AE28" s="45"/>
      <c r="AF28" s="45"/>
      <c r="AG28" s="45"/>
      <c r="AH28" s="45"/>
      <c r="AI28" s="46"/>
    </row>
    <row r="29" spans="1:35" x14ac:dyDescent="0.2">
      <c r="A29" s="36" t="str">
        <f>'Cont, DB'!C224</f>
        <v>Recycle Carts</v>
      </c>
      <c r="B29" s="45">
        <f>+'Cont, DB'!L226</f>
        <v>0</v>
      </c>
      <c r="C29" s="45">
        <f>B29-D29</f>
        <v>0</v>
      </c>
      <c r="D29" s="45">
        <f>+'Cont, DB'!M226</f>
        <v>0</v>
      </c>
      <c r="E29" s="45">
        <f>+'Cont, DB'!P226</f>
        <v>0</v>
      </c>
      <c r="F29" s="45">
        <f>+'Cont, DB'!Q226</f>
        <v>0</v>
      </c>
      <c r="G29" s="45">
        <f>+'Cont, DB'!R226</f>
        <v>0</v>
      </c>
      <c r="H29" s="46">
        <f>+'Cont, DB'!S226</f>
        <v>0</v>
      </c>
      <c r="J29" s="36" t="s">
        <v>368</v>
      </c>
      <c r="K29" s="45">
        <f>IFERROR(VLOOKUP($J29,'Post-Acquistion Dep Summary'!$A$23:$F$36,2,FALSE),0)</f>
        <v>35914.060000000005</v>
      </c>
      <c r="L29" s="45">
        <f>K29-M29</f>
        <v>0</v>
      </c>
      <c r="M29" s="45">
        <f>K29</f>
        <v>35914.060000000005</v>
      </c>
      <c r="N29" s="45">
        <f>IFERROR(VLOOKUP($J29,'Post-Acquistion Dep Summary'!$A$23:$F$36,3,FALSE),0)</f>
        <v>5130.58</v>
      </c>
      <c r="O29" s="45">
        <f>IFERROR(VLOOKUP($J29,'Post-Acquistion Dep Summary'!$A$23:$F$36,4,FALSE),0)</f>
        <v>3208.2528571428575</v>
      </c>
      <c r="P29" s="45">
        <f>IFERROR(VLOOKUP($J29,'Post-Acquistion Dep Summary'!$A$23:$F$36,5,FALSE),0)</f>
        <v>8338.8328571428574</v>
      </c>
      <c r="Q29" s="46">
        <f>IFERROR(VLOOKUP($J29,'Post-Acquistion Dep Summary'!$A$23:$F$36,6,FALSE),0)</f>
        <v>27575.227142857144</v>
      </c>
      <c r="S29" s="36" t="s">
        <v>368</v>
      </c>
      <c r="T29" s="45">
        <f>+SUMIF('Bud Capital Input'!AE:AE,S29,'Bud Capital Input'!AF:AF)</f>
        <v>0</v>
      </c>
      <c r="U29" s="45">
        <f>T29-V29</f>
        <v>0</v>
      </c>
      <c r="V29" s="45">
        <f t="shared" si="24"/>
        <v>0</v>
      </c>
      <c r="W29" s="45">
        <f>+SUMIF('Bud Capital Input'!AE:AE,S29,'Bud Capital Input'!AH:AH)</f>
        <v>0</v>
      </c>
      <c r="X29" s="45">
        <v>0</v>
      </c>
      <c r="Y29" s="45">
        <f>+SUMIF('Bud Capital Input'!AE:AE,S29,'Bud Capital Input'!AH:AH)</f>
        <v>0</v>
      </c>
      <c r="Z29" s="46">
        <f>+SUMIF('Bud Capital Input'!AE:AE,S29,'Bud Capital Input'!AK:AK)</f>
        <v>0</v>
      </c>
      <c r="AB29" s="36" t="s">
        <v>368</v>
      </c>
      <c r="AC29" s="45">
        <f t="shared" ref="AC29:AI29" si="28">B29+K29+T29</f>
        <v>35914.060000000005</v>
      </c>
      <c r="AD29" s="45">
        <f t="shared" si="28"/>
        <v>0</v>
      </c>
      <c r="AE29" s="45">
        <f t="shared" si="28"/>
        <v>35914.060000000005</v>
      </c>
      <c r="AF29" s="45">
        <f t="shared" si="28"/>
        <v>5130.58</v>
      </c>
      <c r="AG29" s="45">
        <f t="shared" si="28"/>
        <v>3208.2528571428575</v>
      </c>
      <c r="AH29" s="45">
        <f t="shared" si="28"/>
        <v>8338.8328571428574</v>
      </c>
      <c r="AI29" s="46">
        <f t="shared" si="28"/>
        <v>27575.227142857144</v>
      </c>
    </row>
    <row r="30" spans="1:35" x14ac:dyDescent="0.2">
      <c r="A30" s="36"/>
      <c r="B30" s="45"/>
      <c r="C30" s="45"/>
      <c r="D30" s="45"/>
      <c r="E30" s="45"/>
      <c r="F30" s="45"/>
      <c r="G30" s="45"/>
      <c r="H30" s="46"/>
      <c r="J30" s="36"/>
      <c r="K30" s="45"/>
      <c r="L30" s="45"/>
      <c r="M30" s="45"/>
      <c r="N30" s="45"/>
      <c r="O30" s="45"/>
      <c r="P30" s="45"/>
      <c r="Q30" s="46"/>
      <c r="S30" s="36"/>
      <c r="T30" s="45"/>
      <c r="U30" s="45"/>
      <c r="V30" s="45"/>
      <c r="W30" s="45"/>
      <c r="X30" s="45"/>
      <c r="Y30" s="45"/>
      <c r="Z30" s="46"/>
      <c r="AB30" s="36"/>
      <c r="AC30" s="45"/>
      <c r="AD30" s="45"/>
      <c r="AE30" s="45"/>
      <c r="AF30" s="45"/>
      <c r="AG30" s="45"/>
      <c r="AH30" s="45"/>
      <c r="AI30" s="46"/>
    </row>
    <row r="31" spans="1:35" x14ac:dyDescent="0.2">
      <c r="A31" s="36" t="str">
        <f>'Cont, DB'!C229</f>
        <v>Commercial Recycling</v>
      </c>
      <c r="B31" s="45">
        <f>+'Cont, DB'!L231</f>
        <v>0</v>
      </c>
      <c r="C31" s="45">
        <f>B31-D31</f>
        <v>0</v>
      </c>
      <c r="D31" s="45">
        <f>+'Cont, DB'!M231</f>
        <v>0</v>
      </c>
      <c r="E31" s="45">
        <f>+'Cont, DB'!P231</f>
        <v>0</v>
      </c>
      <c r="F31" s="45">
        <f>+'Cont, DB'!Q231</f>
        <v>0</v>
      </c>
      <c r="G31" s="45">
        <f>+'Cont, DB'!R231</f>
        <v>0</v>
      </c>
      <c r="H31" s="46">
        <f>+'Cont, DB'!S231</f>
        <v>0</v>
      </c>
      <c r="J31" s="36" t="s">
        <v>370</v>
      </c>
      <c r="K31" s="45">
        <f>IFERROR(VLOOKUP($J31,'Post-Acquistion Dep Summary'!$A$23:$F$36,2,FALSE),0)</f>
        <v>0</v>
      </c>
      <c r="L31" s="45">
        <f>K31-M31</f>
        <v>0</v>
      </c>
      <c r="M31" s="45">
        <f>K31</f>
        <v>0</v>
      </c>
      <c r="N31" s="45">
        <f>IFERROR(VLOOKUP($J31,'Post-Acquistion Dep Summary'!$A$23:$F$36,3,FALSE),0)</f>
        <v>0</v>
      </c>
      <c r="O31" s="45">
        <f>IFERROR(VLOOKUP($J31,'Post-Acquistion Dep Summary'!$A$23:$F$36,4,FALSE),0)</f>
        <v>0</v>
      </c>
      <c r="P31" s="45">
        <f>IFERROR(VLOOKUP($J31,'Post-Acquistion Dep Summary'!$A$23:$F$36,5,FALSE),0)</f>
        <v>0</v>
      </c>
      <c r="Q31" s="46">
        <f>IFERROR(VLOOKUP($J31,'Post-Acquistion Dep Summary'!$A$23:$F$36,6,FALSE),0)</f>
        <v>0</v>
      </c>
      <c r="S31" s="36" t="s">
        <v>370</v>
      </c>
      <c r="T31" s="45">
        <f>+SUMIF('Bud Capital Input'!AE:AE,S31,'Bud Capital Input'!AF:AF)</f>
        <v>0</v>
      </c>
      <c r="U31" s="45">
        <f>T31-V31</f>
        <v>0</v>
      </c>
      <c r="V31" s="45">
        <f t="shared" si="24"/>
        <v>0</v>
      </c>
      <c r="W31" s="45">
        <f>+SUMIF('Bud Capital Input'!AE:AE,S31,'Bud Capital Input'!AH:AH)</f>
        <v>0</v>
      </c>
      <c r="X31" s="45">
        <v>0</v>
      </c>
      <c r="Y31" s="45">
        <f>+SUMIF('Bud Capital Input'!AE:AE,S31,'Bud Capital Input'!AH:AH)</f>
        <v>0</v>
      </c>
      <c r="Z31" s="46">
        <f>+SUMIF('Bud Capital Input'!AE:AE,S31,'Bud Capital Input'!AK:AK)</f>
        <v>0</v>
      </c>
      <c r="AB31" s="36" t="s">
        <v>370</v>
      </c>
      <c r="AC31" s="45">
        <f t="shared" ref="AC31:AI31" si="29">B31+K31+T31</f>
        <v>0</v>
      </c>
      <c r="AD31" s="45">
        <f t="shared" si="29"/>
        <v>0</v>
      </c>
      <c r="AE31" s="45">
        <f t="shared" si="29"/>
        <v>0</v>
      </c>
      <c r="AF31" s="45">
        <f t="shared" si="29"/>
        <v>0</v>
      </c>
      <c r="AG31" s="45">
        <f t="shared" si="29"/>
        <v>0</v>
      </c>
      <c r="AH31" s="45">
        <f t="shared" si="29"/>
        <v>0</v>
      </c>
      <c r="AI31" s="46">
        <f t="shared" si="29"/>
        <v>0</v>
      </c>
    </row>
    <row r="32" spans="1:35" x14ac:dyDescent="0.2">
      <c r="A32" s="36"/>
      <c r="B32" s="45"/>
      <c r="C32" s="45"/>
      <c r="D32" s="45"/>
      <c r="E32" s="45"/>
      <c r="F32" s="45"/>
      <c r="G32" s="45"/>
      <c r="H32" s="46"/>
      <c r="J32" s="36"/>
      <c r="K32" s="45"/>
      <c r="L32" s="45"/>
      <c r="M32" s="45"/>
      <c r="N32" s="45"/>
      <c r="O32" s="45"/>
      <c r="P32" s="45"/>
      <c r="Q32" s="46"/>
      <c r="S32" s="36"/>
      <c r="T32" s="45"/>
      <c r="U32" s="45"/>
      <c r="V32" s="45"/>
      <c r="W32" s="45"/>
      <c r="X32" s="45"/>
      <c r="Y32" s="45"/>
      <c r="Z32" s="46"/>
      <c r="AB32" s="36"/>
      <c r="AC32" s="45"/>
      <c r="AD32" s="45"/>
      <c r="AE32" s="45"/>
      <c r="AF32" s="45"/>
      <c r="AG32" s="45"/>
      <c r="AH32" s="45"/>
      <c r="AI32" s="46"/>
    </row>
    <row r="33" spans="1:35" x14ac:dyDescent="0.2">
      <c r="A33" s="36" t="s">
        <v>747</v>
      </c>
      <c r="B33" s="45">
        <f>+'Cont, DB'!L238</f>
        <v>9546.69</v>
      </c>
      <c r="C33" s="45">
        <f>B33-D33</f>
        <v>0</v>
      </c>
      <c r="D33" s="45">
        <f>+'Cont, DB'!M238</f>
        <v>9546.69</v>
      </c>
      <c r="E33" s="45">
        <f>+'Cont, DB'!P238</f>
        <v>0</v>
      </c>
      <c r="F33" s="45">
        <f>+'Cont, DB'!Q238</f>
        <v>9546.69</v>
      </c>
      <c r="G33" s="45">
        <f>+'Cont, DB'!R238</f>
        <v>9546.69</v>
      </c>
      <c r="H33" s="46">
        <f>+'Cont, DB'!S238</f>
        <v>0</v>
      </c>
      <c r="J33" s="36" t="s">
        <v>747</v>
      </c>
      <c r="K33" s="45">
        <f>IFERROR(VLOOKUP($J33,'Post-Acquistion Dep Summary'!$A$23:$F$36,2,FALSE),0)</f>
        <v>0</v>
      </c>
      <c r="L33" s="45">
        <f>K33-M33</f>
        <v>0</v>
      </c>
      <c r="M33" s="45">
        <f>K33</f>
        <v>0</v>
      </c>
      <c r="N33" s="45">
        <f>IFERROR(VLOOKUP($J33,'Post-Acquistion Dep Summary'!$A$23:$F$36,3,FALSE),0)</f>
        <v>0</v>
      </c>
      <c r="O33" s="45">
        <f>IFERROR(VLOOKUP($J33,'Post-Acquistion Dep Summary'!$A$23:$F$36,4,FALSE),0)</f>
        <v>0</v>
      </c>
      <c r="P33" s="45">
        <f>IFERROR(VLOOKUP($J33,'Post-Acquistion Dep Summary'!$A$23:$F$36,5,FALSE),0)</f>
        <v>0</v>
      </c>
      <c r="Q33" s="46">
        <f>IFERROR(VLOOKUP($J33,'Post-Acquistion Dep Summary'!$A$23:$F$36,6,FALSE),0)</f>
        <v>0</v>
      </c>
      <c r="S33" s="36" t="s">
        <v>747</v>
      </c>
      <c r="T33" s="45">
        <f>+SUMIF('Bud Capital Input'!AE:AE,S33,'Bud Capital Input'!AF:AF)</f>
        <v>0</v>
      </c>
      <c r="U33" s="45">
        <f t="shared" ref="U33" si="30">T33-V33</f>
        <v>0</v>
      </c>
      <c r="V33" s="45">
        <f t="shared" si="24"/>
        <v>0</v>
      </c>
      <c r="W33" s="45">
        <f>+SUMIF('Bud Capital Input'!AE:AE,S33,'Bud Capital Input'!AH:AH)</f>
        <v>0</v>
      </c>
      <c r="X33" s="45">
        <v>0</v>
      </c>
      <c r="Y33" s="45">
        <f>+SUMIF('Bud Capital Input'!AE:AE,S33,'Bud Capital Input'!AH:AH)</f>
        <v>0</v>
      </c>
      <c r="Z33" s="46">
        <f>+SUMIF('Bud Capital Input'!AE:AE,S33,'Bud Capital Input'!AK:AK)</f>
        <v>0</v>
      </c>
      <c r="AB33" s="36" t="s">
        <v>747</v>
      </c>
      <c r="AC33" s="45">
        <f t="shared" ref="AC33:AI33" si="31">B33+K33+T33</f>
        <v>9546.69</v>
      </c>
      <c r="AD33" s="45">
        <f t="shared" si="31"/>
        <v>0</v>
      </c>
      <c r="AE33" s="45">
        <f t="shared" si="31"/>
        <v>9546.69</v>
      </c>
      <c r="AF33" s="45">
        <f t="shared" si="31"/>
        <v>0</v>
      </c>
      <c r="AG33" s="45">
        <f t="shared" si="31"/>
        <v>9546.69</v>
      </c>
      <c r="AH33" s="45">
        <f t="shared" si="31"/>
        <v>9546.69</v>
      </c>
      <c r="AI33" s="46">
        <f t="shared" si="31"/>
        <v>0</v>
      </c>
    </row>
    <row r="34" spans="1:35" x14ac:dyDescent="0.2">
      <c r="A34" s="47"/>
      <c r="B34" s="48"/>
      <c r="C34" s="48"/>
      <c r="D34" s="48"/>
      <c r="E34" s="48"/>
      <c r="F34" s="48"/>
      <c r="G34" s="48"/>
      <c r="H34" s="49"/>
      <c r="J34" s="47"/>
      <c r="K34" s="48"/>
      <c r="L34" s="48"/>
      <c r="M34" s="48"/>
      <c r="N34" s="48"/>
      <c r="O34" s="48"/>
      <c r="P34" s="48"/>
      <c r="Q34" s="49"/>
      <c r="S34" s="47"/>
      <c r="T34" s="48"/>
      <c r="U34" s="48"/>
      <c r="V34" s="48"/>
      <c r="W34" s="48"/>
      <c r="X34" s="48"/>
      <c r="Y34" s="48"/>
      <c r="Z34" s="49"/>
      <c r="AB34" s="47"/>
      <c r="AC34" s="48"/>
      <c r="AD34" s="48"/>
      <c r="AE34" s="48"/>
      <c r="AF34" s="48"/>
      <c r="AG34" s="48"/>
      <c r="AH34" s="48"/>
      <c r="AI34" s="49"/>
    </row>
    <row r="35" spans="1:35" x14ac:dyDescent="0.2">
      <c r="A35" s="34" t="s">
        <v>298</v>
      </c>
      <c r="B35" s="50">
        <f>SUM(B23:B34)</f>
        <v>914534.75</v>
      </c>
      <c r="C35" s="50">
        <f t="shared" ref="C35:H35" si="32">SUM(C23:C34)</f>
        <v>0</v>
      </c>
      <c r="D35" s="50">
        <f t="shared" si="32"/>
        <v>914534.75</v>
      </c>
      <c r="E35" s="50">
        <f t="shared" si="32"/>
        <v>43741.631999999998</v>
      </c>
      <c r="F35" s="50">
        <f t="shared" si="32"/>
        <v>711709.16599999997</v>
      </c>
      <c r="G35" s="50">
        <f t="shared" si="32"/>
        <v>755450.79800000007</v>
      </c>
      <c r="H35" s="51">
        <f t="shared" si="32"/>
        <v>159083.95200000002</v>
      </c>
      <c r="I35" s="52"/>
      <c r="J35" s="34" t="s">
        <v>298</v>
      </c>
      <c r="K35" s="50">
        <f>SUM(K23:K34)</f>
        <v>1247499.3999999999</v>
      </c>
      <c r="L35" s="50">
        <f t="shared" ref="L35:Q35" si="33">SUM(L23:L34)</f>
        <v>0</v>
      </c>
      <c r="M35" s="50">
        <f t="shared" si="33"/>
        <v>1247499.3999999999</v>
      </c>
      <c r="N35" s="50">
        <f t="shared" si="33"/>
        <v>128103.54428571429</v>
      </c>
      <c r="O35" s="50">
        <f t="shared" si="33"/>
        <v>170522.08904761905</v>
      </c>
      <c r="P35" s="50">
        <f t="shared" si="33"/>
        <v>298625.6333333333</v>
      </c>
      <c r="Q35" s="51">
        <f t="shared" si="33"/>
        <v>948873.76666666684</v>
      </c>
      <c r="R35" s="52"/>
      <c r="S35" s="34" t="s">
        <v>298</v>
      </c>
      <c r="T35" s="50">
        <f>SUM(T23:T34)</f>
        <v>903678</v>
      </c>
      <c r="U35" s="50">
        <f t="shared" ref="U35:Z35" si="34">SUM(U23:U34)</f>
        <v>0</v>
      </c>
      <c r="V35" s="50">
        <f t="shared" si="34"/>
        <v>903678</v>
      </c>
      <c r="W35" s="50">
        <f t="shared" si="34"/>
        <v>75306.5</v>
      </c>
      <c r="X35" s="50">
        <f t="shared" si="34"/>
        <v>0</v>
      </c>
      <c r="Y35" s="50">
        <f t="shared" si="34"/>
        <v>75306.5</v>
      </c>
      <c r="Z35" s="51">
        <f t="shared" si="34"/>
        <v>828371.5</v>
      </c>
      <c r="AB35" s="34" t="s">
        <v>298</v>
      </c>
      <c r="AC35" s="50">
        <f ca="1">SUM(AC23:OFFSET(AC35,-1,0))</f>
        <v>3065712.15</v>
      </c>
      <c r="AD35" s="50">
        <f t="shared" ref="AD35:AI35" si="35">SUM(AD23:AD34)</f>
        <v>0</v>
      </c>
      <c r="AE35" s="50">
        <f t="shared" si="35"/>
        <v>3065712.15</v>
      </c>
      <c r="AF35" s="50">
        <f t="shared" si="35"/>
        <v>247151.67628571429</v>
      </c>
      <c r="AG35" s="50">
        <f t="shared" si="35"/>
        <v>882231.25504761899</v>
      </c>
      <c r="AH35" s="50">
        <f t="shared" si="35"/>
        <v>1129382.9313333335</v>
      </c>
      <c r="AI35" s="51">
        <f t="shared" si="35"/>
        <v>1936329.2186666669</v>
      </c>
    </row>
    <row r="36" spans="1:35" x14ac:dyDescent="0.2">
      <c r="A36" s="36"/>
      <c r="B36" s="45">
        <f>B35-'Cont, DB'!L241</f>
        <v>0</v>
      </c>
      <c r="C36" s="45"/>
      <c r="D36" s="45"/>
      <c r="E36" s="45"/>
      <c r="F36" s="45"/>
      <c r="G36" s="45"/>
      <c r="H36" s="46"/>
      <c r="J36" s="36"/>
      <c r="K36" s="45"/>
      <c r="L36" s="45"/>
      <c r="M36" s="45"/>
      <c r="N36" s="45"/>
      <c r="O36" s="45"/>
      <c r="P36" s="45"/>
      <c r="Q36" s="46"/>
      <c r="S36" s="36"/>
      <c r="T36" s="45"/>
      <c r="U36" s="45"/>
      <c r="V36" s="45"/>
      <c r="W36" s="45"/>
      <c r="X36" s="45"/>
      <c r="Y36" s="45"/>
      <c r="Z36" s="46"/>
      <c r="AB36" s="36"/>
      <c r="AC36" s="45"/>
      <c r="AD36" s="45"/>
      <c r="AE36" s="45"/>
      <c r="AF36" s="45"/>
      <c r="AG36" s="45"/>
      <c r="AH36" s="45"/>
      <c r="AI36" s="46"/>
    </row>
    <row r="37" spans="1:35" x14ac:dyDescent="0.2">
      <c r="A37" s="36" t="s">
        <v>299</v>
      </c>
      <c r="B37" s="45">
        <f>'Shop,Serv'!L36</f>
        <v>312923.49</v>
      </c>
      <c r="C37" s="45">
        <f>B37-D37</f>
        <v>0</v>
      </c>
      <c r="D37" s="45">
        <f>'Shop,Serv'!M36</f>
        <v>312923.49</v>
      </c>
      <c r="E37" s="45">
        <f>'Shop,Serv'!P36</f>
        <v>0</v>
      </c>
      <c r="F37" s="45">
        <f>'Shop,Serv'!Q36</f>
        <v>312923.49</v>
      </c>
      <c r="G37" s="45">
        <f>'Shop,Serv'!R36</f>
        <v>312923.49</v>
      </c>
      <c r="H37" s="46">
        <f>'Shop,Serv'!S36</f>
        <v>0</v>
      </c>
      <c r="J37" s="36" t="s">
        <v>299</v>
      </c>
      <c r="K37" s="45">
        <f>IFERROR(VLOOKUP($J37,'Post-Acquistion Dep Summary'!$A$23:$F$36,2,FALSE),0)</f>
        <v>32349.229999999996</v>
      </c>
      <c r="L37" s="45">
        <f>K37-M37</f>
        <v>0</v>
      </c>
      <c r="M37" s="45">
        <f>K37</f>
        <v>32349.229999999996</v>
      </c>
      <c r="N37" s="45">
        <f>IFERROR(VLOOKUP($J37,'Post-Acquistion Dep Summary'!$A$23:$F$36,3,FALSE),0)</f>
        <v>6469.8460000000005</v>
      </c>
      <c r="O37" s="45">
        <f>IFERROR(VLOOKUP($J37,'Post-Acquistion Dep Summary'!$A$23:$F$36,4,FALSE),0)</f>
        <v>6469.8460000000005</v>
      </c>
      <c r="P37" s="45">
        <f>IFERROR(VLOOKUP($J37,'Post-Acquistion Dep Summary'!$A$23:$F$36,5,FALSE),0)</f>
        <v>12939.692000000001</v>
      </c>
      <c r="Q37" s="46">
        <f>IFERROR(VLOOKUP($J37,'Post-Acquistion Dep Summary'!$A$23:$F$36,6,FALSE),0)</f>
        <v>19409.538</v>
      </c>
      <c r="S37" s="36" t="s">
        <v>299</v>
      </c>
      <c r="T37" s="45">
        <f>+SUMIF('Bud Capital Input'!AE:AE,S37,'Bud Capital Input'!AF:AF)</f>
        <v>0</v>
      </c>
      <c r="U37" s="45">
        <f>T37-V37</f>
        <v>0</v>
      </c>
      <c r="V37" s="45">
        <f t="shared" ref="V37:V47" si="36">T37</f>
        <v>0</v>
      </c>
      <c r="W37" s="45">
        <f>+SUMIF('Bud Capital Input'!AE:AE,S37,'Bud Capital Input'!AH:AH)</f>
        <v>0</v>
      </c>
      <c r="X37" s="45">
        <v>0</v>
      </c>
      <c r="Y37" s="45">
        <f>+SUMIF('Bud Capital Input'!AE:AE,S37,'Bud Capital Input'!AH:AH)</f>
        <v>0</v>
      </c>
      <c r="Z37" s="46">
        <f>+SUMIF('Bud Capital Input'!AE:AE,S37,'Bud Capital Input'!AK:AK)</f>
        <v>0</v>
      </c>
      <c r="AB37" s="36" t="s">
        <v>299</v>
      </c>
      <c r="AC37" s="45">
        <f t="shared" ref="AC37:AI37" si="37">B37+K37+T37</f>
        <v>345272.72</v>
      </c>
      <c r="AD37" s="45">
        <f t="shared" si="37"/>
        <v>0</v>
      </c>
      <c r="AE37" s="45">
        <f t="shared" si="37"/>
        <v>345272.72</v>
      </c>
      <c r="AF37" s="45">
        <f t="shared" si="37"/>
        <v>6469.8460000000005</v>
      </c>
      <c r="AG37" s="45">
        <f t="shared" si="37"/>
        <v>319393.33600000001</v>
      </c>
      <c r="AH37" s="45">
        <f t="shared" si="37"/>
        <v>325863.18199999997</v>
      </c>
      <c r="AI37" s="46">
        <f t="shared" si="37"/>
        <v>19409.538</v>
      </c>
    </row>
    <row r="38" spans="1:35" x14ac:dyDescent="0.2">
      <c r="A38" s="36"/>
      <c r="B38" s="45">
        <f>B37-'Shop,Serv'!L36</f>
        <v>0</v>
      </c>
      <c r="C38" s="45"/>
      <c r="D38" s="45"/>
      <c r="E38" s="45"/>
      <c r="F38" s="45"/>
      <c r="G38" s="45"/>
      <c r="H38" s="46"/>
      <c r="J38" s="36"/>
      <c r="K38" s="45">
        <f>IFERROR(VLOOKUP($J38,'Post-Acquistion Dep Summary'!$A$4:$F$15,2,FALSE),0)</f>
        <v>0</v>
      </c>
      <c r="L38" s="45"/>
      <c r="M38" s="45"/>
      <c r="N38" s="45"/>
      <c r="O38" s="45"/>
      <c r="P38" s="45"/>
      <c r="Q38" s="46"/>
      <c r="S38" s="36"/>
      <c r="T38" s="45"/>
      <c r="U38" s="45"/>
      <c r="V38" s="45"/>
      <c r="W38" s="45"/>
      <c r="X38" s="45"/>
      <c r="Y38" s="45"/>
      <c r="Z38" s="46"/>
      <c r="AB38" s="36"/>
      <c r="AC38" s="45"/>
      <c r="AD38" s="45"/>
      <c r="AE38" s="45"/>
      <c r="AF38" s="45"/>
      <c r="AG38" s="45"/>
      <c r="AH38" s="45"/>
      <c r="AI38" s="46"/>
    </row>
    <row r="39" spans="1:35" x14ac:dyDescent="0.2">
      <c r="A39" s="36" t="s">
        <v>300</v>
      </c>
      <c r="B39" s="45">
        <f>'Shop,Serv'!L19</f>
        <v>12803.34</v>
      </c>
      <c r="C39" s="45">
        <f>B39-D39</f>
        <v>0</v>
      </c>
      <c r="D39" s="45">
        <f>'Shop,Serv'!M19</f>
        <v>12803.34</v>
      </c>
      <c r="E39" s="45">
        <f>'Shop,Serv'!P19</f>
        <v>0</v>
      </c>
      <c r="F39" s="45">
        <f>'Shop,Serv'!Q19</f>
        <v>12803.34</v>
      </c>
      <c r="G39" s="45">
        <f>'Shop,Serv'!R19</f>
        <v>12803.34</v>
      </c>
      <c r="H39" s="46">
        <f>'Shop,Serv'!S19</f>
        <v>0</v>
      </c>
      <c r="J39" s="36" t="s">
        <v>300</v>
      </c>
      <c r="K39" s="45">
        <f>IFERROR(VLOOKUP($J39,'Post-Acquistion Dep Summary'!$A$23:$F$36,2,FALSE),0)</f>
        <v>83516.649999999994</v>
      </c>
      <c r="L39" s="45">
        <f>K39-M39</f>
        <v>0</v>
      </c>
      <c r="M39" s="45">
        <f>K39</f>
        <v>83516.649999999994</v>
      </c>
      <c r="N39" s="45">
        <f>IFERROR(VLOOKUP($J39,'Post-Acquistion Dep Summary'!$A$23:$F$36,3,FALSE),0)</f>
        <v>13940.792000000001</v>
      </c>
      <c r="O39" s="45">
        <f>IFERROR(VLOOKUP($J39,'Post-Acquistion Dep Summary'!$A$23:$F$36,4,FALSE),0)</f>
        <v>21802.521999999997</v>
      </c>
      <c r="P39" s="45">
        <f>IFERROR(VLOOKUP($J39,'Post-Acquistion Dep Summary'!$A$23:$F$36,5,FALSE),0)</f>
        <v>35743.313999999998</v>
      </c>
      <c r="Q39" s="46">
        <f>IFERROR(VLOOKUP($J39,'Post-Acquistion Dep Summary'!$A$23:$F$36,6,FALSE),0)</f>
        <v>47773.336000000003</v>
      </c>
      <c r="S39" s="36" t="s">
        <v>300</v>
      </c>
      <c r="T39" s="45">
        <f>+SUMIF('Bud Capital Input'!AE:AE,S39,'Bud Capital Input'!AF:AF)</f>
        <v>0</v>
      </c>
      <c r="U39" s="45">
        <f>T39-V39</f>
        <v>0</v>
      </c>
      <c r="V39" s="45">
        <f t="shared" si="36"/>
        <v>0</v>
      </c>
      <c r="W39" s="45">
        <f>+SUMIF('Bud Capital Input'!AE:AE,S39,'Bud Capital Input'!AH:AH)</f>
        <v>0</v>
      </c>
      <c r="X39" s="45">
        <v>0</v>
      </c>
      <c r="Y39" s="45">
        <f>+SUMIF('Bud Capital Input'!AE:AE,S39,'Bud Capital Input'!AH:AH)</f>
        <v>0</v>
      </c>
      <c r="Z39" s="46">
        <f>+SUMIF('Bud Capital Input'!AE:AE,S39,'Bud Capital Input'!AK:AK)</f>
        <v>0</v>
      </c>
      <c r="AB39" s="36" t="s">
        <v>300</v>
      </c>
      <c r="AC39" s="45">
        <f t="shared" ref="AC39:AI39" si="38">B39+K39+T39</f>
        <v>96319.989999999991</v>
      </c>
      <c r="AD39" s="45">
        <f t="shared" si="38"/>
        <v>0</v>
      </c>
      <c r="AE39" s="45">
        <f t="shared" si="38"/>
        <v>96319.989999999991</v>
      </c>
      <c r="AF39" s="45">
        <f t="shared" si="38"/>
        <v>13940.792000000001</v>
      </c>
      <c r="AG39" s="45">
        <f t="shared" si="38"/>
        <v>34605.861999999994</v>
      </c>
      <c r="AH39" s="45">
        <f t="shared" si="38"/>
        <v>48546.653999999995</v>
      </c>
      <c r="AI39" s="46">
        <f t="shared" si="38"/>
        <v>47773.336000000003</v>
      </c>
    </row>
    <row r="40" spans="1:35" x14ac:dyDescent="0.2">
      <c r="A40" s="36"/>
      <c r="B40" s="45">
        <f>B39-'Shop,Serv'!L19</f>
        <v>0</v>
      </c>
      <c r="C40" s="45"/>
      <c r="D40" s="45"/>
      <c r="E40" s="45"/>
      <c r="F40" s="45"/>
      <c r="G40" s="45"/>
      <c r="H40" s="46"/>
      <c r="J40" s="36"/>
      <c r="K40" s="45"/>
      <c r="L40" s="45"/>
      <c r="M40" s="45"/>
      <c r="N40" s="45"/>
      <c r="O40" s="45"/>
      <c r="P40" s="45"/>
      <c r="Q40" s="46"/>
      <c r="S40" s="36"/>
      <c r="T40" s="45"/>
      <c r="U40" s="45"/>
      <c r="V40" s="45"/>
      <c r="W40" s="45"/>
      <c r="X40" s="45"/>
      <c r="Y40" s="45"/>
      <c r="Z40" s="46"/>
      <c r="AB40" s="36"/>
      <c r="AC40" s="45"/>
      <c r="AD40" s="45"/>
      <c r="AE40" s="45"/>
      <c r="AF40" s="45"/>
      <c r="AG40" s="45"/>
      <c r="AH40" s="45"/>
      <c r="AI40" s="46"/>
    </row>
    <row r="41" spans="1:35" x14ac:dyDescent="0.2">
      <c r="A41" s="36" t="s">
        <v>301</v>
      </c>
      <c r="B41" s="45">
        <f>'Shop,Serv'!L43</f>
        <v>0</v>
      </c>
      <c r="C41" s="45">
        <f>B41-D41</f>
        <v>0</v>
      </c>
      <c r="D41" s="45">
        <f>'Shop,Serv'!M43</f>
        <v>0</v>
      </c>
      <c r="E41" s="45">
        <f>'Shop,Serv'!P43</f>
        <v>0</v>
      </c>
      <c r="F41" s="45">
        <f>'Shop,Serv'!Q43</f>
        <v>0</v>
      </c>
      <c r="G41" s="45">
        <f>'Shop,Serv'!R43</f>
        <v>0</v>
      </c>
      <c r="H41" s="46">
        <f>'Shop,Serv'!S43</f>
        <v>0</v>
      </c>
      <c r="J41" s="36" t="s">
        <v>301</v>
      </c>
      <c r="K41" s="45">
        <f>IFERROR(VLOOKUP($J41,'Post-Acquistion Dep Summary'!$A$23:$F$36,2,FALSE),0)</f>
        <v>0</v>
      </c>
      <c r="L41" s="45">
        <f>K41-M41</f>
        <v>0</v>
      </c>
      <c r="M41" s="45">
        <f>K41</f>
        <v>0</v>
      </c>
      <c r="N41" s="45">
        <f>IFERROR(VLOOKUP($J41,'Post-Acquistion Dep Summary'!$A$23:$F$36,3,FALSE),0)</f>
        <v>0</v>
      </c>
      <c r="O41" s="45">
        <f>IFERROR(VLOOKUP($J41,'Post-Acquistion Dep Summary'!$A$23:$F$36,4,FALSE),0)</f>
        <v>0</v>
      </c>
      <c r="P41" s="45">
        <f>IFERROR(VLOOKUP($J41,'Post-Acquistion Dep Summary'!$A$23:$F$36,5,FALSE),0)</f>
        <v>0</v>
      </c>
      <c r="Q41" s="46">
        <f>IFERROR(VLOOKUP($J41,'Post-Acquistion Dep Summary'!$A$23:$F$36,6,FALSE),0)</f>
        <v>0</v>
      </c>
      <c r="S41" s="36" t="s">
        <v>301</v>
      </c>
      <c r="T41" s="45">
        <f>+SUMIF('Bud Capital Input'!AE:AE,S41,'Bud Capital Input'!AF:AF)</f>
        <v>0</v>
      </c>
      <c r="U41" s="45">
        <f>T41-V41</f>
        <v>0</v>
      </c>
      <c r="V41" s="45">
        <f t="shared" si="36"/>
        <v>0</v>
      </c>
      <c r="W41" s="45">
        <f>+SUMIF('Bud Capital Input'!AE:AE,S41,'Bud Capital Input'!AH:AH)</f>
        <v>0</v>
      </c>
      <c r="X41" s="45">
        <v>0</v>
      </c>
      <c r="Y41" s="45">
        <f>+SUMIF('Bud Capital Input'!AE:AE,S41,'Bud Capital Input'!AH:AH)</f>
        <v>0</v>
      </c>
      <c r="Z41" s="46">
        <f>+SUMIF('Bud Capital Input'!AE:AE,S41,'Bud Capital Input'!AK:AK)</f>
        <v>0</v>
      </c>
      <c r="AB41" s="36" t="s">
        <v>301</v>
      </c>
      <c r="AC41" s="45">
        <f t="shared" ref="AC41:AI41" si="39">B41+K41+T41</f>
        <v>0</v>
      </c>
      <c r="AD41" s="45">
        <f t="shared" si="39"/>
        <v>0</v>
      </c>
      <c r="AE41" s="45">
        <f t="shared" si="39"/>
        <v>0</v>
      </c>
      <c r="AF41" s="45">
        <f t="shared" si="39"/>
        <v>0</v>
      </c>
      <c r="AG41" s="45">
        <f t="shared" si="39"/>
        <v>0</v>
      </c>
      <c r="AH41" s="45">
        <f t="shared" si="39"/>
        <v>0</v>
      </c>
      <c r="AI41" s="46">
        <f t="shared" si="39"/>
        <v>0</v>
      </c>
    </row>
    <row r="42" spans="1:35" x14ac:dyDescent="0.2">
      <c r="A42" s="36"/>
      <c r="B42" s="45"/>
      <c r="C42" s="45"/>
      <c r="D42" s="45"/>
      <c r="E42" s="45"/>
      <c r="F42" s="45"/>
      <c r="G42" s="45"/>
      <c r="H42" s="46"/>
      <c r="J42" s="36"/>
      <c r="K42" s="45"/>
      <c r="L42" s="45"/>
      <c r="M42" s="45"/>
      <c r="N42" s="45"/>
      <c r="O42" s="45"/>
      <c r="P42" s="45"/>
      <c r="Q42" s="46"/>
      <c r="S42" s="36"/>
      <c r="T42" s="45"/>
      <c r="U42" s="45"/>
      <c r="V42" s="45"/>
      <c r="W42" s="45"/>
      <c r="X42" s="45"/>
      <c r="Y42" s="45"/>
      <c r="Z42" s="46"/>
      <c r="AB42" s="36"/>
      <c r="AC42" s="45"/>
      <c r="AD42" s="45"/>
      <c r="AE42" s="45"/>
      <c r="AF42" s="45"/>
      <c r="AG42" s="45"/>
      <c r="AH42" s="45"/>
      <c r="AI42" s="46"/>
    </row>
    <row r="43" spans="1:35" x14ac:dyDescent="0.2">
      <c r="A43" s="36" t="s">
        <v>302</v>
      </c>
      <c r="B43" s="45">
        <f>Other!M24</f>
        <v>19809.75</v>
      </c>
      <c r="C43" s="45">
        <f>B43-D43</f>
        <v>0</v>
      </c>
      <c r="D43" s="45">
        <f>Other!N24</f>
        <v>19809.75</v>
      </c>
      <c r="E43" s="45">
        <f>Other!Q24</f>
        <v>0</v>
      </c>
      <c r="F43" s="45">
        <f>Other!R24</f>
        <v>19809.75</v>
      </c>
      <c r="G43" s="45">
        <f>Other!S24</f>
        <v>19809.75</v>
      </c>
      <c r="H43" s="46">
        <f>Other!T24</f>
        <v>0</v>
      </c>
      <c r="J43" s="36" t="s">
        <v>302</v>
      </c>
      <c r="K43" s="45">
        <f>IFERROR(VLOOKUP($J43,'Post-Acquistion Dep Summary'!$A$23:$F$36,2,FALSE),0)</f>
        <v>2821.83</v>
      </c>
      <c r="L43" s="45">
        <f>K43-M43</f>
        <v>0</v>
      </c>
      <c r="M43" s="45">
        <f>K43</f>
        <v>2821.83</v>
      </c>
      <c r="N43" s="45">
        <f>IFERROR(VLOOKUP($J43,'Post-Acquistion Dep Summary'!$A$23:$F$36,3,FALSE),0)</f>
        <v>940.6099999999999</v>
      </c>
      <c r="O43" s="45">
        <f>IFERROR(VLOOKUP($J43,'Post-Acquistion Dep Summary'!$A$23:$F$36,4,FALSE),0)</f>
        <v>377.99</v>
      </c>
      <c r="P43" s="45">
        <f>IFERROR(VLOOKUP($J43,'Post-Acquistion Dep Summary'!$A$23:$F$36,5,FALSE),0)</f>
        <v>1318.6</v>
      </c>
      <c r="Q43" s="46">
        <f>IFERROR(VLOOKUP($J43,'Post-Acquistion Dep Summary'!$A$23:$F$36,6,FALSE),0)</f>
        <v>1503.23</v>
      </c>
      <c r="S43" s="36" t="s">
        <v>302</v>
      </c>
      <c r="T43" s="45">
        <f>+SUMIF('Bud Capital Input'!AE:AE,S43,'Bud Capital Input'!AF:AF)</f>
        <v>0</v>
      </c>
      <c r="U43" s="45">
        <f>T43-V43</f>
        <v>0</v>
      </c>
      <c r="V43" s="45">
        <f t="shared" si="36"/>
        <v>0</v>
      </c>
      <c r="W43" s="45">
        <f>+SUMIF('Bud Capital Input'!AE:AE,S43,'Bud Capital Input'!AH:AH)</f>
        <v>0</v>
      </c>
      <c r="X43" s="45">
        <v>0</v>
      </c>
      <c r="Y43" s="45">
        <f>+SUMIF('Bud Capital Input'!AE:AE,S43,'Bud Capital Input'!AH:AH)</f>
        <v>0</v>
      </c>
      <c r="Z43" s="46">
        <f>+SUMIF('Bud Capital Input'!AE:AE,S43,'Bud Capital Input'!AK:AK)</f>
        <v>0</v>
      </c>
      <c r="AB43" s="36" t="s">
        <v>302</v>
      </c>
      <c r="AC43" s="45">
        <f t="shared" ref="AC43:AI43" si="40">B43+K43+T43</f>
        <v>22631.58</v>
      </c>
      <c r="AD43" s="45">
        <f t="shared" si="40"/>
        <v>0</v>
      </c>
      <c r="AE43" s="45">
        <f t="shared" si="40"/>
        <v>22631.58</v>
      </c>
      <c r="AF43" s="45">
        <f t="shared" si="40"/>
        <v>940.6099999999999</v>
      </c>
      <c r="AG43" s="45">
        <f t="shared" si="40"/>
        <v>20187.740000000002</v>
      </c>
      <c r="AH43" s="45">
        <f t="shared" si="40"/>
        <v>21128.35</v>
      </c>
      <c r="AI43" s="46">
        <f t="shared" si="40"/>
        <v>1503.23</v>
      </c>
    </row>
    <row r="44" spans="1:35" x14ac:dyDescent="0.2">
      <c r="A44" s="36"/>
      <c r="B44" s="45">
        <f>B43-Other!M24</f>
        <v>0</v>
      </c>
      <c r="C44" s="45"/>
      <c r="D44" s="45"/>
      <c r="E44" s="45"/>
      <c r="F44" s="45"/>
      <c r="G44" s="45"/>
      <c r="H44" s="46"/>
      <c r="J44" s="36"/>
      <c r="K44" s="45"/>
      <c r="L44" s="45"/>
      <c r="M44" s="45"/>
      <c r="N44" s="45"/>
      <c r="O44" s="45"/>
      <c r="P44" s="45"/>
      <c r="Q44" s="46"/>
      <c r="S44" s="36"/>
      <c r="T44" s="45"/>
      <c r="U44" s="45"/>
      <c r="V44" s="45"/>
      <c r="W44" s="45"/>
      <c r="X44" s="45"/>
      <c r="Y44" s="45"/>
      <c r="Z44" s="46"/>
      <c r="AB44" s="36"/>
      <c r="AC44" s="45"/>
      <c r="AD44" s="45"/>
      <c r="AE44" s="45"/>
      <c r="AF44" s="45"/>
      <c r="AG44" s="45"/>
      <c r="AH44" s="45"/>
      <c r="AI44" s="46"/>
    </row>
    <row r="45" spans="1:35" x14ac:dyDescent="0.2">
      <c r="A45" s="36" t="s">
        <v>303</v>
      </c>
      <c r="B45" s="45">
        <f>Other!M59</f>
        <v>792566.69256331748</v>
      </c>
      <c r="C45" s="45">
        <f>B45-D45</f>
        <v>0</v>
      </c>
      <c r="D45" s="45">
        <f>Other!N59</f>
        <v>792566.69256331748</v>
      </c>
      <c r="E45" s="45">
        <f>Other!Q59</f>
        <v>36891.501128165874</v>
      </c>
      <c r="F45" s="45">
        <f>Other!R59</f>
        <v>128519.67225633175</v>
      </c>
      <c r="G45" s="45">
        <f>Other!S59</f>
        <v>165411.17338449764</v>
      </c>
      <c r="H45" s="46">
        <f>Other!T59</f>
        <v>627155.51917881984</v>
      </c>
      <c r="J45" s="36" t="s">
        <v>303</v>
      </c>
      <c r="K45" s="45">
        <f>IFERROR(VLOOKUP($J45,'Post-Acquistion Dep Summary'!$A$23:$F$36,2,FALSE),0)</f>
        <v>0</v>
      </c>
      <c r="L45" s="45">
        <f>K45-M45</f>
        <v>0</v>
      </c>
      <c r="M45" s="45">
        <f>K45</f>
        <v>0</v>
      </c>
      <c r="N45" s="45">
        <f>IFERROR(VLOOKUP($J45,'Post-Acquistion Dep Summary'!$A$23:$F$36,3,FALSE),0)</f>
        <v>0</v>
      </c>
      <c r="O45" s="45">
        <f>IFERROR(VLOOKUP($J45,'Post-Acquistion Dep Summary'!$A$23:$F$36,4,FALSE),0)</f>
        <v>0</v>
      </c>
      <c r="P45" s="45">
        <f>IFERROR(VLOOKUP($J45,'Post-Acquistion Dep Summary'!$A$23:$F$36,5,FALSE),0)</f>
        <v>0</v>
      </c>
      <c r="Q45" s="46">
        <f>IFERROR(VLOOKUP($J45,'Post-Acquistion Dep Summary'!$A$23:$F$36,6,FALSE),0)</f>
        <v>0</v>
      </c>
      <c r="S45" s="36" t="s">
        <v>303</v>
      </c>
      <c r="T45" s="45">
        <f>+SUMIF('Bud Capital Input'!AE:AE,S45,'Bud Capital Input'!AF:AF)</f>
        <v>0</v>
      </c>
      <c r="U45" s="45">
        <f>T45-V45</f>
        <v>0</v>
      </c>
      <c r="V45" s="45">
        <f t="shared" si="36"/>
        <v>0</v>
      </c>
      <c r="W45" s="45">
        <f>+SUMIF('Bud Capital Input'!AE:AE,S45,'Bud Capital Input'!AH:AH)</f>
        <v>0</v>
      </c>
      <c r="X45" s="45">
        <v>0</v>
      </c>
      <c r="Y45" s="45">
        <f>+SUMIF('Bud Capital Input'!AE:AE,S45,'Bud Capital Input'!AH:AH)</f>
        <v>0</v>
      </c>
      <c r="Z45" s="46">
        <f>+SUMIF('Bud Capital Input'!AE:AE,S45,'Bud Capital Input'!AK:AK)</f>
        <v>0</v>
      </c>
      <c r="AB45" s="36" t="s">
        <v>303</v>
      </c>
      <c r="AC45" s="45">
        <f t="shared" ref="AC45:AI45" si="41">B45+K45+T45</f>
        <v>792566.69256331748</v>
      </c>
      <c r="AD45" s="45">
        <f t="shared" si="41"/>
        <v>0</v>
      </c>
      <c r="AE45" s="45">
        <f t="shared" si="41"/>
        <v>792566.69256331748</v>
      </c>
      <c r="AF45" s="45">
        <f t="shared" si="41"/>
        <v>36891.501128165874</v>
      </c>
      <c r="AG45" s="45">
        <f t="shared" si="41"/>
        <v>128519.67225633175</v>
      </c>
      <c r="AH45" s="45">
        <f t="shared" si="41"/>
        <v>165411.17338449764</v>
      </c>
      <c r="AI45" s="46">
        <f t="shared" si="41"/>
        <v>627155.51917881984</v>
      </c>
    </row>
    <row r="46" spans="1:35" x14ac:dyDescent="0.2">
      <c r="A46" s="36"/>
      <c r="B46" s="45"/>
      <c r="C46" s="45"/>
      <c r="D46" s="45"/>
      <c r="E46" s="45"/>
      <c r="F46" s="45"/>
      <c r="G46" s="45"/>
      <c r="H46" s="46"/>
      <c r="J46" s="36"/>
      <c r="K46" s="45"/>
      <c r="L46" s="45"/>
      <c r="M46" s="45"/>
      <c r="N46" s="45"/>
      <c r="O46" s="45"/>
      <c r="P46" s="45"/>
      <c r="Q46" s="46"/>
      <c r="S46" s="36"/>
      <c r="T46" s="45"/>
      <c r="U46" s="45"/>
      <c r="V46" s="45"/>
      <c r="W46" s="45"/>
      <c r="X46" s="45"/>
      <c r="Y46" s="45"/>
      <c r="Z46" s="46"/>
      <c r="AB46" s="36"/>
      <c r="AC46" s="45"/>
      <c r="AD46" s="45"/>
      <c r="AE46" s="45"/>
      <c r="AF46" s="45"/>
      <c r="AG46" s="45"/>
      <c r="AH46" s="45"/>
      <c r="AI46" s="46"/>
    </row>
    <row r="47" spans="1:35" x14ac:dyDescent="0.2">
      <c r="A47" s="36" t="s">
        <v>1336</v>
      </c>
      <c r="B47" s="45">
        <v>0</v>
      </c>
      <c r="C47" s="45"/>
      <c r="D47" s="45">
        <v>0</v>
      </c>
      <c r="E47" s="45">
        <v>0</v>
      </c>
      <c r="F47" s="45">
        <v>0</v>
      </c>
      <c r="G47" s="45">
        <v>0</v>
      </c>
      <c r="H47" s="46">
        <v>0</v>
      </c>
      <c r="J47" s="36" t="s">
        <v>1336</v>
      </c>
      <c r="K47" s="45">
        <f>IFERROR(VLOOKUP($J47,'Post-Acquistion Dep Summary'!$A$23:$F$36,2,FALSE),0)</f>
        <v>69848.904492527843</v>
      </c>
      <c r="L47" s="45">
        <f>K47-M47</f>
        <v>0</v>
      </c>
      <c r="M47" s="45">
        <f>K47</f>
        <v>69848.904492527843</v>
      </c>
      <c r="N47" s="45">
        <f>IFERROR(VLOOKUP($J47,'Post-Acquistion Dep Summary'!$A$23:$F$36,3,FALSE),0)</f>
        <v>6297.3658757591065</v>
      </c>
      <c r="O47" s="45">
        <f>IFERROR(VLOOKUP($J47,'Post-Acquistion Dep Summary'!$A$23:$F$36,4,FALSE),0)</f>
        <v>6875.2457349367705</v>
      </c>
      <c r="P47" s="45">
        <f>IFERROR(VLOOKUP($J47,'Post-Acquistion Dep Summary'!$A$23:$F$36,5,FALSE),0)</f>
        <v>13172.611610695878</v>
      </c>
      <c r="Q47" s="46">
        <f>IFERROR(VLOOKUP($J47,'Post-Acquistion Dep Summary'!$A$23:$F$36,6,FALSE),0)</f>
        <v>56676.292881831971</v>
      </c>
      <c r="S47" s="36" t="s">
        <v>1336</v>
      </c>
      <c r="T47" s="45">
        <f>+'Bud Capital Input'!AF70</f>
        <v>119023.45108944086</v>
      </c>
      <c r="U47" s="45">
        <f>T47-V47</f>
        <v>0</v>
      </c>
      <c r="V47" s="45">
        <f t="shared" si="36"/>
        <v>119023.45108944086</v>
      </c>
      <c r="W47" s="45">
        <f>+'Bud Capital Input'!AH70</f>
        <v>11902.345108944086</v>
      </c>
      <c r="X47" s="45">
        <v>0</v>
      </c>
      <c r="Y47" s="45">
        <f>+'Bud Capital Input'!AI70</f>
        <v>11902.345108944086</v>
      </c>
      <c r="Z47" s="46">
        <f>+'Bud Capital Input'!AK70</f>
        <v>107121.10598049677</v>
      </c>
      <c r="AB47" s="36" t="s">
        <v>1336</v>
      </c>
      <c r="AC47" s="45">
        <f>B47+K47+T47</f>
        <v>188872.3555819687</v>
      </c>
      <c r="AD47" s="45">
        <f t="shared" ref="AD47" si="42">C47+L47+U47</f>
        <v>0</v>
      </c>
      <c r="AE47" s="45">
        <f t="shared" ref="AE47" si="43">D47+M47+V47</f>
        <v>188872.3555819687</v>
      </c>
      <c r="AF47" s="45">
        <f t="shared" ref="AF47" si="44">E47+N47+W47</f>
        <v>18199.710984703193</v>
      </c>
      <c r="AG47" s="45">
        <f t="shared" ref="AG47" si="45">F47+O47+X47</f>
        <v>6875.2457349367705</v>
      </c>
      <c r="AH47" s="45">
        <f t="shared" ref="AH47" si="46">G47+P47+Y47</f>
        <v>25074.956719639966</v>
      </c>
      <c r="AI47" s="46">
        <f t="shared" ref="AI47" si="47">H47+Q47+Z47</f>
        <v>163797.39886232873</v>
      </c>
    </row>
    <row r="48" spans="1:35" x14ac:dyDescent="0.2">
      <c r="A48" s="36"/>
      <c r="B48" s="45">
        <f>Other!M59-'Depr Summary'!B45</f>
        <v>0</v>
      </c>
      <c r="C48" s="45"/>
      <c r="D48" s="45"/>
      <c r="E48" s="45"/>
      <c r="F48" s="45"/>
      <c r="G48" s="45"/>
      <c r="H48" s="46"/>
      <c r="J48" s="36"/>
      <c r="K48" s="45"/>
      <c r="L48" s="45"/>
      <c r="M48" s="45"/>
      <c r="N48" s="45"/>
      <c r="O48" s="45"/>
      <c r="P48" s="45"/>
      <c r="Q48" s="46"/>
      <c r="S48" s="36"/>
      <c r="T48" s="45"/>
      <c r="U48" s="45"/>
      <c r="V48" s="45"/>
      <c r="W48" s="45"/>
      <c r="X48" s="45"/>
      <c r="Y48" s="45"/>
      <c r="Z48" s="46"/>
      <c r="AB48" s="36"/>
      <c r="AC48" s="45"/>
      <c r="AD48" s="45"/>
      <c r="AE48" s="45"/>
      <c r="AF48" s="45"/>
      <c r="AG48" s="45"/>
      <c r="AH48" s="45"/>
      <c r="AI48" s="46"/>
    </row>
    <row r="49" spans="1:35" x14ac:dyDescent="0.2">
      <c r="A49" s="36" t="s">
        <v>637</v>
      </c>
      <c r="B49" s="45">
        <f>Other!M65</f>
        <v>0</v>
      </c>
      <c r="C49" s="45">
        <f>B49-D49</f>
        <v>0</v>
      </c>
      <c r="D49" s="45">
        <f>Other!N65</f>
        <v>0</v>
      </c>
      <c r="E49" s="45">
        <f>Other!Q65</f>
        <v>0</v>
      </c>
      <c r="F49" s="45">
        <f>Other!R65</f>
        <v>0</v>
      </c>
      <c r="G49" s="45">
        <f>Other!S65</f>
        <v>0</v>
      </c>
      <c r="H49" s="46">
        <f>Other!T65</f>
        <v>0</v>
      </c>
      <c r="J49" s="36" t="s">
        <v>637</v>
      </c>
      <c r="K49" s="45">
        <f>IFERROR(VLOOKUP($J49,'Post-Acquistion Dep Summary'!$A$23:$F$36,2,FALSE),0)</f>
        <v>0</v>
      </c>
      <c r="L49" s="45">
        <f>K49-M49</f>
        <v>0</v>
      </c>
      <c r="M49" s="45">
        <f>K49</f>
        <v>0</v>
      </c>
      <c r="N49" s="45">
        <f>IFERROR(VLOOKUP($J49,'Post-Acquistion Dep Summary'!$A$23:$F$36,3,FALSE),0)</f>
        <v>0</v>
      </c>
      <c r="O49" s="45">
        <f>IFERROR(VLOOKUP($J49,'Post-Acquistion Dep Summary'!$A$23:$F$36,4,FALSE),0)</f>
        <v>0</v>
      </c>
      <c r="P49" s="45">
        <f>IFERROR(VLOOKUP($J49,'Post-Acquistion Dep Summary'!$A$23:$F$36,5,FALSE),0)</f>
        <v>0</v>
      </c>
      <c r="Q49" s="46">
        <f>IFERROR(VLOOKUP($J49,'Post-Acquistion Dep Summary'!$A$23:$F$36,6,FALSE),0)</f>
        <v>0</v>
      </c>
      <c r="S49" s="36" t="s">
        <v>637</v>
      </c>
      <c r="T49" s="45">
        <f>+SUMIF('Bud Capital Input'!AE:AE,S49,'Bud Capital Input'!AF:AF)</f>
        <v>0</v>
      </c>
      <c r="U49" s="45">
        <f>T49-V49</f>
        <v>0</v>
      </c>
      <c r="V49" s="45">
        <f>T49</f>
        <v>0</v>
      </c>
      <c r="W49" s="45">
        <f>+SUMIF('Bud Capital Input'!AE:AE,S49,'Bud Capital Input'!AH:AH)</f>
        <v>0</v>
      </c>
      <c r="X49" s="45">
        <v>0</v>
      </c>
      <c r="Y49" s="45">
        <f>+SUMIF('Bud Capital Input'!AE:AE,S49,'Bud Capital Input'!AH:AH)</f>
        <v>0</v>
      </c>
      <c r="Z49" s="46">
        <f>+SUMIF('Bud Capital Input'!AE:AE,S49,'Bud Capital Input'!AK:AK)</f>
        <v>0</v>
      </c>
      <c r="AB49" s="36" t="s">
        <v>637</v>
      </c>
      <c r="AC49" s="45">
        <f t="shared" ref="AC49:AI49" si="48">B49+K49+T49</f>
        <v>0</v>
      </c>
      <c r="AD49" s="45">
        <f t="shared" si="48"/>
        <v>0</v>
      </c>
      <c r="AE49" s="45">
        <f t="shared" si="48"/>
        <v>0</v>
      </c>
      <c r="AF49" s="45">
        <f t="shared" si="48"/>
        <v>0</v>
      </c>
      <c r="AG49" s="45">
        <f t="shared" si="48"/>
        <v>0</v>
      </c>
      <c r="AH49" s="45">
        <f t="shared" si="48"/>
        <v>0</v>
      </c>
      <c r="AI49" s="46">
        <f t="shared" si="48"/>
        <v>0</v>
      </c>
    </row>
    <row r="50" spans="1:35" x14ac:dyDescent="0.2">
      <c r="A50" s="47"/>
      <c r="B50" s="149"/>
      <c r="C50" s="48"/>
      <c r="D50" s="48"/>
      <c r="E50" s="48"/>
      <c r="F50" s="48"/>
      <c r="G50" s="48"/>
      <c r="H50" s="49"/>
      <c r="J50" s="47"/>
      <c r="K50" s="149"/>
      <c r="L50" s="48"/>
      <c r="M50" s="48"/>
      <c r="N50" s="48"/>
      <c r="O50" s="48"/>
      <c r="P50" s="48"/>
      <c r="Q50" s="49"/>
      <c r="S50" s="47"/>
      <c r="T50" s="149"/>
      <c r="U50" s="48"/>
      <c r="V50" s="48"/>
      <c r="W50" s="48"/>
      <c r="X50" s="48"/>
      <c r="Y50" s="48"/>
      <c r="Z50" s="49"/>
      <c r="AB50" s="47"/>
      <c r="AC50" s="149"/>
      <c r="AD50" s="48"/>
      <c r="AE50" s="48"/>
      <c r="AF50" s="48"/>
      <c r="AG50" s="48"/>
      <c r="AH50" s="48"/>
      <c r="AI50" s="49"/>
    </row>
    <row r="51" spans="1:35" x14ac:dyDescent="0.2">
      <c r="A51" s="34" t="s">
        <v>304</v>
      </c>
      <c r="B51" s="50">
        <f ca="1">B20+B35+SUM(B37:OFFSET(B51,-1,0))</f>
        <v>4594898.9025633177</v>
      </c>
      <c r="C51" s="50">
        <f ca="1">C20+C35+SUM(C37:OFFSET(C51,-1,0))</f>
        <v>0</v>
      </c>
      <c r="D51" s="50">
        <f ca="1">D20+D35+SUM(D37:OFFSET(D51,-1,0))</f>
        <v>4594898.9025633177</v>
      </c>
      <c r="E51" s="50">
        <f ca="1">E20+E35+SUM(E37:OFFSET(E51,-1,0))</f>
        <v>259723.6383067373</v>
      </c>
      <c r="F51" s="50">
        <f ca="1">F20+F35+SUM(F37:OFFSET(F51,-1,0))</f>
        <v>3101453.1039706171</v>
      </c>
      <c r="G51" s="50">
        <f ca="1">G20+G35+SUM(G37:OFFSET(G51,-1,0))</f>
        <v>3361176.7422773549</v>
      </c>
      <c r="H51" s="51">
        <f ca="1">H20+H35+SUM(H37:OFFSET(H51,-1,0))</f>
        <v>1233722.1602859627</v>
      </c>
      <c r="J51" s="34" t="s">
        <v>304</v>
      </c>
      <c r="K51" s="50">
        <f ca="1">K20+K35+SUM(K37:OFFSET(K51,-1,0))</f>
        <v>4663298.9344925284</v>
      </c>
      <c r="L51" s="50">
        <f t="shared" ref="L51" si="49">L20+L35+L37+L39+L43+L45+L41</f>
        <v>0</v>
      </c>
      <c r="M51" s="50">
        <f ca="1">M20+M35+SUM(M37:OFFSET(M51,-1,0))</f>
        <v>4663298.9344925284</v>
      </c>
      <c r="N51" s="50">
        <f ca="1">N20+N35+SUM(N37:OFFSET(N51,-1,0))</f>
        <v>450985.04816147347</v>
      </c>
      <c r="O51" s="50">
        <f ca="1">O20+O35+SUM(O37:OFFSET(O51,-1,0))</f>
        <v>920181.4294492224</v>
      </c>
      <c r="P51" s="50">
        <f ca="1">P20+P35+SUM(P37:OFFSET(P51,-1,0))</f>
        <v>1371166.4776106959</v>
      </c>
      <c r="Q51" s="51">
        <f ca="1">Q20+Q35+SUM(Q37:OFFSET(Q51,-1,0))</f>
        <v>3292132.4568818323</v>
      </c>
      <c r="S51" s="34" t="s">
        <v>304</v>
      </c>
      <c r="T51" s="50">
        <f ca="1">T20+T35+SUM(T37:OFFSET(T51,-1,0))</f>
        <v>2084524.4510894408</v>
      </c>
      <c r="U51" s="50">
        <f>U20+U35+U37+U39+U43+U45+U41+U47+U49</f>
        <v>0</v>
      </c>
      <c r="V51" s="50">
        <f ca="1">V20+V35+SUM(V37:OFFSET(V51,-1,0))</f>
        <v>2084524.4510894408</v>
      </c>
      <c r="W51" s="50">
        <f ca="1">W20+W35+SUM(W37:OFFSET(W51,-1,0))</f>
        <v>193391.14510894407</v>
      </c>
      <c r="X51" s="50">
        <f ca="1">X20+X35+SUM(X37:OFFSET(X51,-1,0))</f>
        <v>0</v>
      </c>
      <c r="Y51" s="50">
        <f ca="1">Y20+Y35+SUM(Y37:OFFSET(Y51,-1,0))</f>
        <v>193391.14510894407</v>
      </c>
      <c r="Z51" s="51">
        <f ca="1">Z20+Z35+SUM(Z37:OFFSET(Z51,-1,0))</f>
        <v>1891133.3059804968</v>
      </c>
      <c r="AB51" s="34" t="s">
        <v>304</v>
      </c>
      <c r="AC51" s="50">
        <f ca="1">AC20+AC35+SUM(AC37:OFFSET(AC51,-1,0))</f>
        <v>11342722.288145285</v>
      </c>
      <c r="AD51" s="50">
        <f>AD20+AD35+AD37+AD39+AD43+AD45+AD41+AD47</f>
        <v>0</v>
      </c>
      <c r="AE51" s="50">
        <f ca="1">AE20+AE35+SUM(AE37:OFFSET(AE51,-1,0))</f>
        <v>11342722.288145285</v>
      </c>
      <c r="AF51" s="50">
        <f ca="1">AF20+AF35+SUM(AF37:OFFSET(AF51,-1,0))</f>
        <v>904099.83157715469</v>
      </c>
      <c r="AG51" s="50">
        <f ca="1">AG20+AG35+SUM(AG37:OFFSET(AG51,-1,0))</f>
        <v>4021634.5334198396</v>
      </c>
      <c r="AH51" s="50">
        <f ca="1">AH20+AH35+SUM(AH37:OFFSET(AH51,-1,0))</f>
        <v>4925734.3649969948</v>
      </c>
      <c r="AI51" s="51">
        <f ca="1">AI20+AI35+SUM(AI37:OFFSET(AI51,-1,0))</f>
        <v>6416987.9231482921</v>
      </c>
    </row>
    <row r="52" spans="1:35" x14ac:dyDescent="0.2">
      <c r="A52" s="36"/>
      <c r="B52" s="45"/>
      <c r="C52" s="45"/>
      <c r="D52" s="45"/>
      <c r="E52" s="45"/>
      <c r="F52" s="45"/>
      <c r="G52" s="45"/>
      <c r="H52" s="46"/>
      <c r="J52" s="36"/>
      <c r="K52" s="45"/>
      <c r="L52" s="45"/>
      <c r="M52" s="45"/>
      <c r="N52" s="45"/>
      <c r="O52" s="45"/>
      <c r="P52" s="45"/>
      <c r="Q52" s="46"/>
      <c r="S52" s="36"/>
      <c r="T52" s="45"/>
      <c r="U52" s="45"/>
      <c r="V52" s="45"/>
      <c r="W52" s="45"/>
      <c r="X52" s="45"/>
      <c r="Y52" s="45"/>
      <c r="Z52" s="46"/>
      <c r="AB52" s="36"/>
      <c r="AC52" s="45"/>
      <c r="AD52" s="45"/>
      <c r="AE52" s="45"/>
      <c r="AF52" s="45"/>
      <c r="AG52" s="45"/>
      <c r="AH52" s="45"/>
      <c r="AI52" s="46"/>
    </row>
    <row r="53" spans="1:35" x14ac:dyDescent="0.2">
      <c r="A53" s="34" t="s">
        <v>305</v>
      </c>
      <c r="B53" s="50">
        <f>'Land Alloc'!M25</f>
        <v>2367723.3994185594</v>
      </c>
      <c r="C53" s="50"/>
      <c r="D53" s="50"/>
      <c r="E53" s="50"/>
      <c r="F53" s="50"/>
      <c r="G53" s="50"/>
      <c r="H53" s="51">
        <f>B53</f>
        <v>2367723.3994185594</v>
      </c>
      <c r="J53" s="34" t="s">
        <v>305</v>
      </c>
      <c r="K53" s="45">
        <f>IFERROR(VLOOKUP(J53,'Post-Acquistion Dep Summary'!#REF!,2,FALSE),0)</f>
        <v>0</v>
      </c>
      <c r="L53" s="45">
        <f>K53-M53</f>
        <v>0</v>
      </c>
      <c r="M53" s="45">
        <f>K53</f>
        <v>0</v>
      </c>
      <c r="N53" s="45">
        <f>IFERROR(VLOOKUP($J53,'Post-Acquistion Dep Summary'!#REF!,3,FALSE),0)</f>
        <v>0</v>
      </c>
      <c r="O53" s="45">
        <f>IFERROR(VLOOKUP($J53,'Post-Acquistion Dep Summary'!#REF!,4,FALSE),0)</f>
        <v>0</v>
      </c>
      <c r="P53" s="45">
        <f>IFERROR(VLOOKUP($J53,'Post-Acquistion Dep Summary'!$A$23:$F$39,5,FALSE),0)</f>
        <v>0</v>
      </c>
      <c r="Q53" s="46">
        <f>IFERROR(VLOOKUP($J53,'Post-Acquistion Dep Summary'!#REF!,6,FALSE),0)</f>
        <v>0</v>
      </c>
      <c r="S53" s="34" t="s">
        <v>305</v>
      </c>
      <c r="T53" s="45">
        <f>IFERROR(VLOOKUP(S53,'Post-Acquistion Dep Summary'!#REF!,2,FALSE),0)</f>
        <v>0</v>
      </c>
      <c r="U53" s="45">
        <f>T53-V53</f>
        <v>0</v>
      </c>
      <c r="V53" s="45">
        <f>T53</f>
        <v>0</v>
      </c>
      <c r="W53" s="45">
        <f>IFERROR(VLOOKUP($J53,'Post-Acquistion Dep Summary'!#REF!,3,FALSE),0)</f>
        <v>0</v>
      </c>
      <c r="X53" s="45">
        <f>IFERROR(VLOOKUP($J53,'Post-Acquistion Dep Summary'!#REF!,4,FALSE),0)</f>
        <v>0</v>
      </c>
      <c r="Y53" s="45">
        <f>IFERROR(VLOOKUP($J53,'Post-Acquistion Dep Summary'!$A$23:$F$39,5,FALSE),0)</f>
        <v>0</v>
      </c>
      <c r="Z53" s="46">
        <f>IFERROR(VLOOKUP($J53,'Post-Acquistion Dep Summary'!#REF!,6,FALSE),0)</f>
        <v>0</v>
      </c>
      <c r="AB53" s="34" t="s">
        <v>305</v>
      </c>
      <c r="AC53" s="45">
        <f t="shared" ref="AC53" si="50">B53+K53</f>
        <v>2367723.3994185594</v>
      </c>
      <c r="AD53" s="45">
        <f t="shared" ref="AD53" si="51">C53+L53</f>
        <v>0</v>
      </c>
      <c r="AE53" s="45">
        <f t="shared" ref="AE53" si="52">D53+M53</f>
        <v>0</v>
      </c>
      <c r="AF53" s="45">
        <f t="shared" ref="AF53" si="53">E53+N53</f>
        <v>0</v>
      </c>
      <c r="AG53" s="45">
        <f t="shared" ref="AG53" si="54">F53+O53</f>
        <v>0</v>
      </c>
      <c r="AH53" s="45">
        <f t="shared" ref="AH53" si="55">G53+P53</f>
        <v>0</v>
      </c>
      <c r="AI53" s="46">
        <f t="shared" ref="AI53" si="56">H53+Q53</f>
        <v>2367723.3994185594</v>
      </c>
    </row>
    <row r="54" spans="1:35" x14ac:dyDescent="0.2">
      <c r="A54" s="36"/>
      <c r="B54" s="45"/>
      <c r="C54" s="45"/>
      <c r="D54" s="45"/>
      <c r="E54" s="45"/>
      <c r="F54" s="45"/>
      <c r="G54" s="45"/>
      <c r="H54" s="46"/>
      <c r="J54" s="36"/>
      <c r="K54" s="45"/>
      <c r="L54" s="45"/>
      <c r="M54" s="45"/>
      <c r="N54" s="45"/>
      <c r="O54" s="45"/>
      <c r="P54" s="45"/>
      <c r="Q54" s="46"/>
      <c r="S54" s="36"/>
      <c r="T54" s="45"/>
      <c r="U54" s="45"/>
      <c r="V54" s="45"/>
      <c r="W54" s="45"/>
      <c r="X54" s="45"/>
      <c r="Y54" s="45"/>
      <c r="Z54" s="46"/>
      <c r="AB54" s="36"/>
      <c r="AC54" s="45"/>
      <c r="AD54" s="45"/>
      <c r="AE54" s="45"/>
      <c r="AF54" s="45"/>
      <c r="AG54" s="45"/>
      <c r="AH54" s="45"/>
      <c r="AI54" s="46"/>
    </row>
    <row r="55" spans="1:35" ht="12.75" thickBot="1" x14ac:dyDescent="0.25">
      <c r="A55" s="55" t="s">
        <v>306</v>
      </c>
      <c r="B55" s="56">
        <f t="shared" ref="B55:G55" ca="1" si="57">B51+B53</f>
        <v>6962622.3019818775</v>
      </c>
      <c r="C55" s="56">
        <f t="shared" ca="1" si="57"/>
        <v>0</v>
      </c>
      <c r="D55" s="56">
        <f t="shared" ca="1" si="57"/>
        <v>4594898.9025633177</v>
      </c>
      <c r="E55" s="56">
        <f ca="1">E51+E53</f>
        <v>259723.6383067373</v>
      </c>
      <c r="F55" s="56">
        <f t="shared" ca="1" si="57"/>
        <v>3101453.1039706171</v>
      </c>
      <c r="G55" s="56">
        <f t="shared" ca="1" si="57"/>
        <v>3361176.7422773549</v>
      </c>
      <c r="H55" s="57">
        <f ca="1">H51+H53</f>
        <v>3601445.5597045221</v>
      </c>
      <c r="I55" s="194"/>
      <c r="J55" s="55" t="s">
        <v>306</v>
      </c>
      <c r="K55" s="56">
        <f t="shared" ref="K55:M55" ca="1" si="58">K51+K53</f>
        <v>4663298.9344925284</v>
      </c>
      <c r="L55" s="56">
        <f t="shared" si="58"/>
        <v>0</v>
      </c>
      <c r="M55" s="56">
        <f t="shared" ca="1" si="58"/>
        <v>4663298.9344925284</v>
      </c>
      <c r="N55" s="56">
        <f ca="1">N51+N53</f>
        <v>450985.04816147347</v>
      </c>
      <c r="O55" s="56">
        <f t="shared" ref="O55:Q55" ca="1" si="59">O51+O53</f>
        <v>920181.4294492224</v>
      </c>
      <c r="P55" s="56">
        <f t="shared" ca="1" si="59"/>
        <v>1371166.4776106959</v>
      </c>
      <c r="Q55" s="57">
        <f t="shared" ca="1" si="59"/>
        <v>3292132.4568818323</v>
      </c>
      <c r="R55" s="194"/>
      <c r="S55" s="55" t="s">
        <v>306</v>
      </c>
      <c r="T55" s="56">
        <f t="shared" ref="T55:V55" ca="1" si="60">T51+T53</f>
        <v>2084524.4510894408</v>
      </c>
      <c r="U55" s="56">
        <f t="shared" si="60"/>
        <v>0</v>
      </c>
      <c r="V55" s="56">
        <f t="shared" ca="1" si="60"/>
        <v>2084524.4510894408</v>
      </c>
      <c r="W55" s="56">
        <f ca="1">W51+W53</f>
        <v>193391.14510894407</v>
      </c>
      <c r="X55" s="56">
        <f t="shared" ref="X55:Z55" ca="1" si="61">X51+X53</f>
        <v>0</v>
      </c>
      <c r="Y55" s="56">
        <f t="shared" ca="1" si="61"/>
        <v>193391.14510894407</v>
      </c>
      <c r="Z55" s="57">
        <f t="shared" ca="1" si="61"/>
        <v>1891133.3059804968</v>
      </c>
      <c r="AB55" s="55" t="s">
        <v>306</v>
      </c>
      <c r="AC55" s="56">
        <f ca="1">AC51+AC53</f>
        <v>13710445.687563844</v>
      </c>
      <c r="AD55" s="56">
        <f t="shared" ref="AD55" si="62">AD51+AD53</f>
        <v>0</v>
      </c>
      <c r="AE55" s="56">
        <f ca="1">AE51+AE53</f>
        <v>11342722.288145285</v>
      </c>
      <c r="AF55" s="56">
        <f ca="1">AF51+AF53</f>
        <v>904099.83157715469</v>
      </c>
      <c r="AG55" s="56">
        <f ca="1">AG51+AG53</f>
        <v>4021634.5334198396</v>
      </c>
      <c r="AH55" s="56">
        <f t="shared" ref="AH55:AI55" ca="1" si="63">AH51+AH53</f>
        <v>4925734.3649969948</v>
      </c>
      <c r="AI55" s="57">
        <f t="shared" ca="1" si="63"/>
        <v>8784711.322566852</v>
      </c>
    </row>
    <row r="56" spans="1:35" x14ac:dyDescent="0.2">
      <c r="A56" s="72"/>
      <c r="B56" s="289">
        <f ca="1">B55-Trks!F6:F6-'Land Alloc'!M25</f>
        <v>0</v>
      </c>
      <c r="C56" s="50"/>
      <c r="D56" s="50"/>
      <c r="E56" s="50"/>
      <c r="F56" s="50"/>
      <c r="G56" s="50"/>
      <c r="H56" s="50"/>
      <c r="J56" s="194"/>
      <c r="K56" s="287">
        <f ca="1">K55-'Post-Acquistion Dep Summary'!$B$37</f>
        <v>0</v>
      </c>
      <c r="L56" s="288"/>
      <c r="M56" s="288"/>
      <c r="N56" s="287">
        <f ca="1">N55-'Post-Acquistion Dep Summary'!$C$37</f>
        <v>0</v>
      </c>
      <c r="O56" s="287">
        <f ca="1">O55-'Post-Acquistion Dep Summary'!$D$37</f>
        <v>0</v>
      </c>
      <c r="P56" s="287">
        <f ca="1">P55-'Post-Acquistion Dep Summary'!$E$37</f>
        <v>0</v>
      </c>
      <c r="Q56" s="287">
        <f ca="1">Q55-'Post-Acquistion Dep Summary'!$F$37</f>
        <v>0</v>
      </c>
      <c r="S56" s="194"/>
      <c r="T56" s="287">
        <f ca="1">+T55-'Bud Capital Input'!AF72</f>
        <v>0</v>
      </c>
      <c r="U56" s="288"/>
      <c r="V56" s="288"/>
      <c r="W56" s="287">
        <f ca="1">+W55-'Bud Capital Input'!AH72</f>
        <v>0</v>
      </c>
      <c r="X56" s="287"/>
      <c r="Y56" s="287">
        <f ca="1">+Y55-'Bud Capital Input'!AI72</f>
        <v>0</v>
      </c>
      <c r="Z56" s="287">
        <f ca="1">+Z55-'Bud Capital Input'!AK72</f>
        <v>0</v>
      </c>
      <c r="AC56" s="287">
        <f ca="1">AC55-B55-K55-T55</f>
        <v>-2.7939677238464355E-9</v>
      </c>
      <c r="AD56" s="287">
        <f ca="1">AD55-C55-L55</f>
        <v>0</v>
      </c>
      <c r="AE56" s="287">
        <f ca="1">AE55-D55-M55-V55</f>
        <v>-1.862645149230957E-9</v>
      </c>
      <c r="AF56" s="287">
        <f ca="1">AF55-E55-N55-W55</f>
        <v>0</v>
      </c>
      <c r="AG56" s="502">
        <f ca="1">AG55-F55-O55-X55</f>
        <v>1.1641532182693481E-10</v>
      </c>
      <c r="AH56" s="502">
        <f ca="1">AH55-G55-P55-Y55</f>
        <v>0</v>
      </c>
      <c r="AI56" s="287">
        <f ca="1">AI55-H55-Q55-Z55</f>
        <v>0</v>
      </c>
    </row>
    <row r="57" spans="1:35" x14ac:dyDescent="0.2">
      <c r="A57" s="72"/>
      <c r="B57" s="50"/>
      <c r="C57" s="50"/>
      <c r="D57" s="50"/>
      <c r="E57" s="50"/>
      <c r="F57" s="50"/>
      <c r="G57" s="50"/>
      <c r="H57" s="50"/>
    </row>
    <row r="58" spans="1:35" x14ac:dyDescent="0.2">
      <c r="B58" s="45"/>
      <c r="C58" s="45"/>
      <c r="D58" s="45"/>
      <c r="E58" s="45"/>
      <c r="F58" s="45"/>
      <c r="G58" s="45"/>
      <c r="H58" s="45"/>
      <c r="I58" s="58"/>
      <c r="R58" s="58"/>
    </row>
    <row r="59" spans="1:35" x14ac:dyDescent="0.2">
      <c r="B59" s="45"/>
      <c r="C59" s="45"/>
      <c r="D59" s="45"/>
      <c r="E59" s="45"/>
      <c r="F59" s="45"/>
      <c r="G59" s="45"/>
      <c r="H59" s="45"/>
    </row>
    <row r="60" spans="1:35" x14ac:dyDescent="0.2">
      <c r="B60" s="67"/>
      <c r="G60" s="67"/>
    </row>
    <row r="61" spans="1:35" x14ac:dyDescent="0.2">
      <c r="A61" s="203"/>
      <c r="B61" s="204"/>
      <c r="C61" s="203"/>
      <c r="D61" s="203"/>
      <c r="E61" s="203"/>
      <c r="G61" s="204"/>
    </row>
    <row r="62" spans="1:35" x14ac:dyDescent="0.2">
      <c r="A62" s="90"/>
      <c r="B62" s="90"/>
      <c r="C62" s="90"/>
      <c r="D62" s="90"/>
      <c r="E62" s="90"/>
    </row>
    <row r="63" spans="1:35" x14ac:dyDescent="0.2">
      <c r="A63" s="195"/>
      <c r="B63" s="195"/>
      <c r="C63" s="195"/>
      <c r="D63" s="195"/>
      <c r="E63" s="195"/>
    </row>
    <row r="64" spans="1:35" x14ac:dyDescent="0.2">
      <c r="A64" s="90"/>
      <c r="B64" s="90"/>
      <c r="C64" s="90"/>
      <c r="D64" s="90"/>
      <c r="E64" s="90"/>
    </row>
    <row r="65" spans="1:7" x14ac:dyDescent="0.2">
      <c r="A65" s="196"/>
      <c r="B65" s="90"/>
      <c r="C65" s="197"/>
      <c r="D65" s="197"/>
      <c r="E65" s="198"/>
    </row>
    <row r="66" spans="1:7" x14ac:dyDescent="0.2">
      <c r="A66" s="199"/>
      <c r="B66" s="90"/>
      <c r="C66" s="200"/>
      <c r="D66" s="197"/>
      <c r="E66" s="198"/>
    </row>
    <row r="67" spans="1:7" x14ac:dyDescent="0.2">
      <c r="A67" s="201"/>
      <c r="B67" s="90"/>
      <c r="C67" s="200"/>
      <c r="D67" s="200"/>
      <c r="E67" s="198"/>
    </row>
    <row r="68" spans="1:7" x14ac:dyDescent="0.2">
      <c r="A68" s="90"/>
      <c r="B68" s="90"/>
      <c r="C68" s="90"/>
      <c r="D68" s="90"/>
      <c r="E68" s="202"/>
    </row>
    <row r="69" spans="1:7" x14ac:dyDescent="0.2">
      <c r="A69" s="201"/>
      <c r="B69" s="90"/>
      <c r="C69" s="200"/>
      <c r="D69" s="200"/>
      <c r="E69" s="198"/>
    </row>
    <row r="70" spans="1:7" x14ac:dyDescent="0.2">
      <c r="A70" s="91"/>
      <c r="B70" s="90"/>
      <c r="C70" s="200"/>
      <c r="D70" s="200"/>
      <c r="E70" s="198"/>
    </row>
    <row r="71" spans="1:7" x14ac:dyDescent="0.2">
      <c r="A71" s="90"/>
      <c r="B71" s="90"/>
      <c r="C71" s="200"/>
      <c r="D71" s="200"/>
      <c r="E71" s="198"/>
    </row>
    <row r="72" spans="1:7" x14ac:dyDescent="0.2">
      <c r="A72" s="90"/>
      <c r="B72" s="90"/>
      <c r="C72" s="200"/>
      <c r="D72" s="200"/>
      <c r="E72" s="198"/>
    </row>
    <row r="73" spans="1:7" x14ac:dyDescent="0.2">
      <c r="A73" s="196"/>
      <c r="B73" s="90"/>
      <c r="C73" s="200"/>
      <c r="D73" s="200"/>
      <c r="E73" s="198"/>
    </row>
    <row r="74" spans="1:7" x14ac:dyDescent="0.2">
      <c r="A74" s="90"/>
      <c r="B74" s="90"/>
      <c r="C74" s="200"/>
      <c r="D74" s="200"/>
      <c r="E74" s="202"/>
      <c r="G74" s="53"/>
    </row>
    <row r="75" spans="1:7" x14ac:dyDescent="0.2">
      <c r="A75" s="90"/>
      <c r="B75" s="90"/>
      <c r="C75" s="200"/>
      <c r="D75" s="200"/>
      <c r="E75" s="198"/>
      <c r="G75" s="53"/>
    </row>
    <row r="76" spans="1:7" x14ac:dyDescent="0.2">
      <c r="A76" s="90"/>
      <c r="B76" s="90"/>
      <c r="C76" s="200"/>
      <c r="D76" s="200"/>
      <c r="E76" s="202"/>
      <c r="G76" s="53"/>
    </row>
    <row r="77" spans="1:7" x14ac:dyDescent="0.2">
      <c r="A77" s="196"/>
      <c r="B77" s="90"/>
      <c r="C77" s="200"/>
      <c r="D77" s="200"/>
      <c r="E77" s="198"/>
      <c r="G77" s="53"/>
    </row>
    <row r="78" spans="1:7" x14ac:dyDescent="0.2">
      <c r="A78" s="196"/>
      <c r="B78" s="90"/>
      <c r="C78" s="200"/>
      <c r="D78" s="200"/>
      <c r="E78" s="198"/>
      <c r="G78" s="53"/>
    </row>
    <row r="79" spans="1:7" x14ac:dyDescent="0.2">
      <c r="A79" s="196"/>
      <c r="B79" s="90"/>
      <c r="C79" s="200"/>
      <c r="D79" s="200"/>
      <c r="E79" s="198"/>
    </row>
    <row r="80" spans="1:7" x14ac:dyDescent="0.2">
      <c r="A80" s="196"/>
      <c r="B80" s="90"/>
      <c r="C80" s="200"/>
      <c r="D80" s="200"/>
      <c r="E80" s="198"/>
    </row>
    <row r="81" spans="1:7" x14ac:dyDescent="0.2">
      <c r="A81" s="196"/>
      <c r="B81" s="90"/>
      <c r="C81" s="200"/>
      <c r="D81" s="200"/>
      <c r="E81" s="198"/>
      <c r="G81" s="54"/>
    </row>
    <row r="82" spans="1:7" x14ac:dyDescent="0.2">
      <c r="A82" s="196"/>
      <c r="B82" s="90"/>
      <c r="C82" s="200"/>
      <c r="D82" s="200"/>
      <c r="E82" s="198"/>
      <c r="G82" s="54"/>
    </row>
    <row r="83" spans="1:7" x14ac:dyDescent="0.2">
      <c r="A83" s="196"/>
      <c r="B83" s="90"/>
      <c r="C83" s="200"/>
      <c r="D83" s="200"/>
      <c r="E83" s="198"/>
      <c r="G83" s="54"/>
    </row>
    <row r="84" spans="1:7" x14ac:dyDescent="0.2">
      <c r="A84" s="196"/>
      <c r="B84" s="90"/>
      <c r="C84" s="200"/>
      <c r="D84" s="200"/>
      <c r="E84" s="198"/>
      <c r="G84" s="54"/>
    </row>
    <row r="85" spans="1:7" x14ac:dyDescent="0.2">
      <c r="A85" s="196"/>
      <c r="B85" s="90"/>
      <c r="C85" s="200"/>
      <c r="D85" s="200"/>
      <c r="E85" s="198"/>
      <c r="G85" s="54"/>
    </row>
    <row r="86" spans="1:7" x14ac:dyDescent="0.2">
      <c r="A86" s="196"/>
      <c r="B86" s="90"/>
      <c r="C86" s="200"/>
      <c r="D86" s="200"/>
      <c r="E86" s="198"/>
      <c r="G86" s="54"/>
    </row>
    <row r="87" spans="1:7" x14ac:dyDescent="0.2">
      <c r="A87" s="196"/>
      <c r="B87" s="90"/>
      <c r="C87" s="200"/>
      <c r="D87" s="200"/>
      <c r="E87" s="198"/>
      <c r="G87" s="54"/>
    </row>
    <row r="88" spans="1:7" x14ac:dyDescent="0.2">
      <c r="A88" s="90"/>
      <c r="B88" s="90"/>
      <c r="C88" s="200"/>
      <c r="D88" s="200"/>
      <c r="E88" s="202"/>
      <c r="G88" s="54"/>
    </row>
    <row r="89" spans="1:7" x14ac:dyDescent="0.2">
      <c r="G89" s="54"/>
    </row>
    <row r="90" spans="1:7" x14ac:dyDescent="0.2">
      <c r="G90" s="54"/>
    </row>
    <row r="91" spans="1:7" x14ac:dyDescent="0.2">
      <c r="G91" s="54"/>
    </row>
    <row r="93" spans="1:7" x14ac:dyDescent="0.2">
      <c r="G93" s="54"/>
    </row>
  </sheetData>
  <mergeCells count="3">
    <mergeCell ref="A1:H1"/>
    <mergeCell ref="J1:Q1"/>
    <mergeCell ref="S1:Z1"/>
  </mergeCells>
  <pageMargins left="0.75" right="0.75" top="1" bottom="1" header="0.5" footer="0.5"/>
  <pageSetup scale="71" orientation="portrait" horizontalDpi="300" verticalDpi="300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348"/>
  <sheetViews>
    <sheetView view="pageBreakPreview" zoomScale="60" zoomScaleNormal="100" workbookViewId="0">
      <pane xSplit="6" ySplit="3" topLeftCell="G298" activePane="bottomRight" state="frozen"/>
      <selection activeCell="M65" sqref="M65"/>
      <selection pane="topRight" activeCell="M65" sqref="M65"/>
      <selection pane="bottomLeft" activeCell="M65" sqref="M65"/>
      <selection pane="bottomRight" activeCell="AJ341" sqref="AJ341"/>
    </sheetView>
  </sheetViews>
  <sheetFormatPr defaultRowHeight="12.75" x14ac:dyDescent="0.2"/>
  <cols>
    <col min="1" max="1" width="3.33203125" customWidth="1"/>
    <col min="2" max="2" width="8.5" customWidth="1"/>
    <col min="3" max="3" width="53.83203125" bestFit="1" customWidth="1"/>
    <col min="4" max="4" width="5.83203125" customWidth="1"/>
    <col min="5" max="5" width="9.33203125" customWidth="1"/>
    <col min="6" max="6" width="10.5" bestFit="1" customWidth="1"/>
    <col min="7" max="7" width="10.1640625" bestFit="1" customWidth="1"/>
    <col min="8" max="8" width="12.6640625" customWidth="1"/>
    <col min="9" max="9" width="4" customWidth="1"/>
    <col min="10" max="10" width="3.33203125" customWidth="1"/>
    <col min="11" max="11" width="8" customWidth="1"/>
    <col min="12" max="12" width="6.83203125" customWidth="1"/>
    <col min="13" max="13" width="11.5" customWidth="1"/>
    <col min="14" max="14" width="8.33203125" customWidth="1"/>
    <col min="15" max="15" width="11.5" customWidth="1"/>
    <col min="16" max="16" width="1.1640625" customWidth="1"/>
    <col min="17" max="17" width="10.5" customWidth="1"/>
    <col min="18" max="18" width="2.1640625" customWidth="1"/>
    <col min="19" max="19" width="10.5" customWidth="1"/>
    <col min="20" max="20" width="1.1640625" customWidth="1"/>
    <col min="21" max="21" width="11.5" customWidth="1"/>
    <col min="22" max="22" width="3.33203125" customWidth="1"/>
    <col min="23" max="23" width="11.5" customWidth="1"/>
    <col min="24" max="24" width="12.6640625" style="207" customWidth="1"/>
    <col min="25" max="25" width="8" style="207" customWidth="1"/>
    <col min="26" max="31" width="9.33203125" style="207"/>
  </cols>
  <sheetData>
    <row r="1" spans="1:31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06"/>
      <c r="Y1" s="206"/>
    </row>
    <row r="2" spans="1:31" ht="11.25" customHeight="1" x14ac:dyDescent="0.2">
      <c r="A2" s="2"/>
      <c r="B2" s="20"/>
      <c r="C2" s="20"/>
      <c r="D2" s="20"/>
      <c r="E2" s="20"/>
      <c r="F2" s="20"/>
      <c r="G2" s="3" t="s">
        <v>0</v>
      </c>
      <c r="H2" s="21" t="s">
        <v>1</v>
      </c>
      <c r="I2" s="21"/>
      <c r="J2" s="2"/>
      <c r="K2" s="4" t="s">
        <v>1</v>
      </c>
      <c r="L2" s="4" t="s">
        <v>1</v>
      </c>
      <c r="M2" s="21" t="s">
        <v>2</v>
      </c>
      <c r="N2" s="21"/>
      <c r="O2" s="21" t="s">
        <v>3</v>
      </c>
      <c r="P2" s="21"/>
      <c r="Q2" s="21" t="s">
        <v>4</v>
      </c>
      <c r="R2" s="21"/>
      <c r="S2" s="21" t="s">
        <v>1</v>
      </c>
      <c r="T2" s="21"/>
      <c r="U2" s="3" t="s">
        <v>5</v>
      </c>
      <c r="V2" s="3" t="s">
        <v>6</v>
      </c>
      <c r="W2" s="3" t="s">
        <v>7</v>
      </c>
      <c r="X2" s="208"/>
      <c r="Y2" s="208"/>
    </row>
    <row r="3" spans="1:31" ht="12" customHeight="1" x14ac:dyDescent="0.2">
      <c r="A3" s="2"/>
      <c r="B3" s="22" t="s">
        <v>8</v>
      </c>
      <c r="C3" s="22"/>
      <c r="D3" s="22"/>
      <c r="E3" s="22"/>
      <c r="F3" s="22"/>
      <c r="G3" s="3" t="s">
        <v>9</v>
      </c>
      <c r="H3" s="22" t="s">
        <v>10</v>
      </c>
      <c r="I3" s="22"/>
      <c r="J3" s="3" t="s">
        <v>11</v>
      </c>
      <c r="K3" s="4" t="s">
        <v>12</v>
      </c>
      <c r="L3" s="5" t="s">
        <v>13</v>
      </c>
      <c r="M3" s="22" t="s">
        <v>14</v>
      </c>
      <c r="N3" s="22"/>
      <c r="O3" s="21" t="s">
        <v>15</v>
      </c>
      <c r="P3" s="21"/>
      <c r="Q3" s="21" t="s">
        <v>15</v>
      </c>
      <c r="R3" s="21"/>
      <c r="S3" s="22" t="s">
        <v>16</v>
      </c>
      <c r="T3" s="22"/>
      <c r="U3" s="6" t="s">
        <v>17</v>
      </c>
      <c r="V3" s="6" t="s">
        <v>18</v>
      </c>
      <c r="W3" s="6" t="s">
        <v>19</v>
      </c>
      <c r="X3" s="208" t="s">
        <v>321</v>
      </c>
      <c r="Y3" s="208" t="s">
        <v>374</v>
      </c>
    </row>
    <row r="4" spans="1:31" ht="12.95" customHeight="1" x14ac:dyDescent="0.2">
      <c r="A4" s="2"/>
      <c r="B4" s="23" t="s">
        <v>20</v>
      </c>
      <c r="C4" s="23"/>
      <c r="D4" s="23"/>
      <c r="E4" s="23"/>
      <c r="F4" s="23"/>
      <c r="G4" s="2"/>
      <c r="H4" s="20"/>
      <c r="I4" s="20"/>
      <c r="J4" s="2"/>
      <c r="K4" s="2"/>
      <c r="L4" s="2"/>
      <c r="M4" s="20"/>
      <c r="N4" s="20"/>
      <c r="O4" s="20"/>
      <c r="P4" s="20"/>
      <c r="Q4" s="20"/>
      <c r="R4" s="20"/>
      <c r="S4" s="20"/>
      <c r="T4" s="20"/>
      <c r="U4" s="2"/>
      <c r="V4" s="2"/>
      <c r="W4" s="2"/>
      <c r="X4" s="208"/>
      <c r="Y4" s="208"/>
    </row>
    <row r="5" spans="1:31" s="260" customFormat="1" ht="15.95" customHeight="1" x14ac:dyDescent="0.2">
      <c r="A5" s="270"/>
      <c r="B5" s="271">
        <v>74</v>
      </c>
      <c r="C5" s="272" t="s">
        <v>21</v>
      </c>
      <c r="D5" s="272"/>
      <c r="E5" s="272"/>
      <c r="F5" s="272"/>
      <c r="G5" s="273">
        <v>38533</v>
      </c>
      <c r="H5" s="274">
        <v>10893.01</v>
      </c>
      <c r="I5" s="274"/>
      <c r="J5" s="272" t="s">
        <v>22</v>
      </c>
      <c r="K5" s="272"/>
      <c r="L5" s="275">
        <v>8</v>
      </c>
      <c r="M5" s="276">
        <v>0</v>
      </c>
      <c r="N5" s="276"/>
      <c r="O5" s="274">
        <v>10893.01</v>
      </c>
      <c r="P5" s="274"/>
      <c r="Q5" s="276">
        <v>0</v>
      </c>
      <c r="R5" s="276"/>
      <c r="S5" s="274">
        <v>10893.01</v>
      </c>
      <c r="T5" s="274"/>
      <c r="U5" s="276">
        <v>0</v>
      </c>
      <c r="V5" s="276"/>
      <c r="W5" s="276"/>
      <c r="X5" s="277">
        <f>YEAR(G5)</f>
        <v>2005</v>
      </c>
      <c r="Y5" s="277">
        <f>MONTH(G5)</f>
        <v>6</v>
      </c>
      <c r="Z5" s="278"/>
      <c r="AA5" s="278"/>
      <c r="AB5" s="278"/>
      <c r="AC5" s="278"/>
      <c r="AD5" s="278"/>
      <c r="AE5" s="278"/>
    </row>
    <row r="6" spans="1:31" s="260" customFormat="1" ht="11.25" customHeight="1" x14ac:dyDescent="0.2">
      <c r="A6" s="270"/>
      <c r="B6" s="271">
        <v>86</v>
      </c>
      <c r="C6" s="272" t="s">
        <v>23</v>
      </c>
      <c r="D6" s="272"/>
      <c r="E6" s="272"/>
      <c r="F6" s="272"/>
      <c r="G6" s="273">
        <v>38533</v>
      </c>
      <c r="H6" s="274">
        <v>4106.99</v>
      </c>
      <c r="I6" s="274"/>
      <c r="J6" s="272" t="s">
        <v>22</v>
      </c>
      <c r="K6" s="272"/>
      <c r="L6" s="275">
        <v>8</v>
      </c>
      <c r="M6" s="276">
        <v>0</v>
      </c>
      <c r="N6" s="276"/>
      <c r="O6" s="274">
        <v>4106.99</v>
      </c>
      <c r="P6" s="274"/>
      <c r="Q6" s="276">
        <v>0</v>
      </c>
      <c r="R6" s="276"/>
      <c r="S6" s="274">
        <v>4106.99</v>
      </c>
      <c r="T6" s="274"/>
      <c r="U6" s="276">
        <v>0</v>
      </c>
      <c r="V6" s="276"/>
      <c r="W6" s="276"/>
      <c r="X6" s="277">
        <f t="shared" ref="X6:X39" si="0">YEAR(G6)</f>
        <v>2005</v>
      </c>
      <c r="Y6" s="277">
        <f t="shared" ref="Y6:Y39" si="1">MONTH(G6)</f>
        <v>6</v>
      </c>
      <c r="Z6" s="278"/>
      <c r="AA6" s="278"/>
      <c r="AB6" s="278"/>
      <c r="AC6" s="278"/>
      <c r="AD6" s="278"/>
      <c r="AE6" s="278"/>
    </row>
    <row r="7" spans="1:31" s="260" customFormat="1" ht="11.25" customHeight="1" x14ac:dyDescent="0.2">
      <c r="A7" s="270"/>
      <c r="B7" s="271">
        <v>114</v>
      </c>
      <c r="C7" s="272" t="s">
        <v>24</v>
      </c>
      <c r="D7" s="272"/>
      <c r="E7" s="272"/>
      <c r="F7" s="272"/>
      <c r="G7" s="273">
        <v>39294</v>
      </c>
      <c r="H7" s="274">
        <v>20778.919999999998</v>
      </c>
      <c r="I7" s="274"/>
      <c r="J7" s="272" t="s">
        <v>22</v>
      </c>
      <c r="K7" s="272"/>
      <c r="L7" s="275">
        <v>8</v>
      </c>
      <c r="M7" s="276">
        <v>0</v>
      </c>
      <c r="N7" s="276"/>
      <c r="O7" s="274">
        <v>20778.919999999998</v>
      </c>
      <c r="P7" s="274"/>
      <c r="Q7" s="276">
        <v>0</v>
      </c>
      <c r="R7" s="276"/>
      <c r="S7" s="274">
        <v>20778.919999999998</v>
      </c>
      <c r="T7" s="274"/>
      <c r="U7" s="276">
        <v>0</v>
      </c>
      <c r="V7" s="276"/>
      <c r="W7" s="276"/>
      <c r="X7" s="277">
        <f t="shared" si="0"/>
        <v>2007</v>
      </c>
      <c r="Y7" s="277">
        <f t="shared" si="1"/>
        <v>7</v>
      </c>
      <c r="Z7" s="278"/>
      <c r="AA7" s="278"/>
      <c r="AB7" s="278"/>
      <c r="AC7" s="278"/>
      <c r="AD7" s="278"/>
      <c r="AE7" s="278"/>
    </row>
    <row r="8" spans="1:31" s="260" customFormat="1" ht="11.25" customHeight="1" x14ac:dyDescent="0.2">
      <c r="A8" s="270"/>
      <c r="B8" s="271">
        <v>145</v>
      </c>
      <c r="C8" s="272" t="s">
        <v>25</v>
      </c>
      <c r="D8" s="272"/>
      <c r="E8" s="272"/>
      <c r="F8" s="272"/>
      <c r="G8" s="273">
        <v>39933</v>
      </c>
      <c r="H8" s="276">
        <v>539.5</v>
      </c>
      <c r="I8" s="276"/>
      <c r="J8" s="272" t="s">
        <v>22</v>
      </c>
      <c r="K8" s="272"/>
      <c r="L8" s="275">
        <v>8</v>
      </c>
      <c r="M8" s="276">
        <v>0</v>
      </c>
      <c r="N8" s="276"/>
      <c r="O8" s="276">
        <v>539.5</v>
      </c>
      <c r="P8" s="276"/>
      <c r="Q8" s="276">
        <v>0</v>
      </c>
      <c r="R8" s="276"/>
      <c r="S8" s="276">
        <v>539.5</v>
      </c>
      <c r="T8" s="276"/>
      <c r="U8" s="276">
        <v>0</v>
      </c>
      <c r="V8" s="276"/>
      <c r="W8" s="276"/>
      <c r="X8" s="277">
        <f t="shared" si="0"/>
        <v>2009</v>
      </c>
      <c r="Y8" s="277">
        <f t="shared" si="1"/>
        <v>4</v>
      </c>
      <c r="Z8" s="278"/>
      <c r="AA8" s="278"/>
      <c r="AB8" s="278"/>
      <c r="AC8" s="278"/>
      <c r="AD8" s="278"/>
      <c r="AE8" s="278"/>
    </row>
    <row r="9" spans="1:31" s="260" customFormat="1" ht="11.25" customHeight="1" x14ac:dyDescent="0.2">
      <c r="A9" s="270"/>
      <c r="B9" s="271">
        <v>146</v>
      </c>
      <c r="C9" s="272" t="s">
        <v>26</v>
      </c>
      <c r="D9" s="272"/>
      <c r="E9" s="272"/>
      <c r="F9" s="272"/>
      <c r="G9" s="273">
        <v>39933</v>
      </c>
      <c r="H9" s="276">
        <v>695.96</v>
      </c>
      <c r="I9" s="276"/>
      <c r="J9" s="272" t="s">
        <v>22</v>
      </c>
      <c r="K9" s="272"/>
      <c r="L9" s="275">
        <v>8</v>
      </c>
      <c r="M9" s="276">
        <v>0</v>
      </c>
      <c r="N9" s="276"/>
      <c r="O9" s="276">
        <v>695.96</v>
      </c>
      <c r="P9" s="276"/>
      <c r="Q9" s="276">
        <v>0</v>
      </c>
      <c r="R9" s="276"/>
      <c r="S9" s="276">
        <v>695.96</v>
      </c>
      <c r="T9" s="276"/>
      <c r="U9" s="276">
        <v>0</v>
      </c>
      <c r="V9" s="276"/>
      <c r="W9" s="276"/>
      <c r="X9" s="277">
        <f t="shared" si="0"/>
        <v>2009</v>
      </c>
      <c r="Y9" s="277">
        <f t="shared" si="1"/>
        <v>4</v>
      </c>
      <c r="Z9" s="278"/>
      <c r="AA9" s="278"/>
      <c r="AB9" s="278"/>
      <c r="AC9" s="278"/>
      <c r="AD9" s="278"/>
      <c r="AE9" s="278"/>
    </row>
    <row r="10" spans="1:31" s="260" customFormat="1" ht="11.25" customHeight="1" x14ac:dyDescent="0.2">
      <c r="A10" s="279"/>
      <c r="B10" s="271">
        <v>147</v>
      </c>
      <c r="C10" s="272" t="s">
        <v>27</v>
      </c>
      <c r="D10" s="272"/>
      <c r="E10" s="272"/>
      <c r="F10" s="272"/>
      <c r="G10" s="273">
        <v>39933</v>
      </c>
      <c r="H10" s="276">
        <v>900.97</v>
      </c>
      <c r="I10" s="276"/>
      <c r="J10" s="272" t="s">
        <v>22</v>
      </c>
      <c r="K10" s="272"/>
      <c r="L10" s="275">
        <v>8</v>
      </c>
      <c r="M10" s="276">
        <v>0</v>
      </c>
      <c r="N10" s="276"/>
      <c r="O10" s="276">
        <v>900.97</v>
      </c>
      <c r="P10" s="276"/>
      <c r="Q10" s="276">
        <v>0</v>
      </c>
      <c r="R10" s="276"/>
      <c r="S10" s="276">
        <v>900.97</v>
      </c>
      <c r="T10" s="276"/>
      <c r="U10" s="276">
        <v>0</v>
      </c>
      <c r="V10" s="276"/>
      <c r="W10" s="276"/>
      <c r="X10" s="277">
        <f t="shared" si="0"/>
        <v>2009</v>
      </c>
      <c r="Y10" s="277">
        <f t="shared" si="1"/>
        <v>4</v>
      </c>
      <c r="Z10" s="278"/>
      <c r="AA10" s="278"/>
      <c r="AB10" s="278"/>
      <c r="AC10" s="278"/>
      <c r="AD10" s="278"/>
      <c r="AE10" s="278"/>
    </row>
    <row r="11" spans="1:31" s="260" customFormat="1" ht="11.25" customHeight="1" x14ac:dyDescent="0.2">
      <c r="A11" s="270"/>
      <c r="B11" s="271">
        <v>148</v>
      </c>
      <c r="C11" s="272" t="s">
        <v>28</v>
      </c>
      <c r="D11" s="272"/>
      <c r="E11" s="272"/>
      <c r="F11" s="272"/>
      <c r="G11" s="273">
        <v>39933</v>
      </c>
      <c r="H11" s="274">
        <v>1640.08</v>
      </c>
      <c r="I11" s="274"/>
      <c r="J11" s="272" t="s">
        <v>22</v>
      </c>
      <c r="K11" s="272"/>
      <c r="L11" s="275">
        <v>8</v>
      </c>
      <c r="M11" s="276">
        <v>0</v>
      </c>
      <c r="N11" s="276"/>
      <c r="O11" s="274">
        <v>1640.08</v>
      </c>
      <c r="P11" s="274"/>
      <c r="Q11" s="276">
        <v>0</v>
      </c>
      <c r="R11" s="276"/>
      <c r="S11" s="274">
        <v>1640.08</v>
      </c>
      <c r="T11" s="274"/>
      <c r="U11" s="276">
        <v>0</v>
      </c>
      <c r="V11" s="276"/>
      <c r="W11" s="276"/>
      <c r="X11" s="277">
        <f t="shared" si="0"/>
        <v>2009</v>
      </c>
      <c r="Y11" s="277">
        <f t="shared" si="1"/>
        <v>4</v>
      </c>
      <c r="Z11" s="278"/>
      <c r="AA11" s="278"/>
      <c r="AB11" s="278"/>
      <c r="AC11" s="278"/>
      <c r="AD11" s="278"/>
      <c r="AE11" s="278"/>
    </row>
    <row r="12" spans="1:31" s="260" customFormat="1" ht="11.25" customHeight="1" x14ac:dyDescent="0.2">
      <c r="A12" s="270"/>
      <c r="B12" s="271">
        <v>165</v>
      </c>
      <c r="C12" s="272" t="s">
        <v>29</v>
      </c>
      <c r="D12" s="272"/>
      <c r="E12" s="272"/>
      <c r="F12" s="272"/>
      <c r="G12" s="273">
        <v>40330</v>
      </c>
      <c r="H12" s="274">
        <v>3223.45</v>
      </c>
      <c r="I12" s="274"/>
      <c r="J12" s="272" t="s">
        <v>22</v>
      </c>
      <c r="K12" s="272"/>
      <c r="L12" s="275">
        <v>8</v>
      </c>
      <c r="M12" s="276">
        <v>0</v>
      </c>
      <c r="N12" s="276"/>
      <c r="O12" s="274">
        <v>3223.45</v>
      </c>
      <c r="P12" s="274"/>
      <c r="Q12" s="276">
        <v>0</v>
      </c>
      <c r="R12" s="276"/>
      <c r="S12" s="274">
        <v>3223.45</v>
      </c>
      <c r="T12" s="274"/>
      <c r="U12" s="276">
        <v>0</v>
      </c>
      <c r="V12" s="276"/>
      <c r="W12" s="276"/>
      <c r="X12" s="277">
        <f t="shared" si="0"/>
        <v>2010</v>
      </c>
      <c r="Y12" s="277">
        <f t="shared" si="1"/>
        <v>6</v>
      </c>
      <c r="Z12" s="278"/>
      <c r="AA12" s="278"/>
      <c r="AB12" s="278"/>
      <c r="AC12" s="278"/>
      <c r="AD12" s="278"/>
      <c r="AE12" s="278"/>
    </row>
    <row r="13" spans="1:31" s="260" customFormat="1" ht="11.25" customHeight="1" x14ac:dyDescent="0.2">
      <c r="A13" s="270"/>
      <c r="B13" s="271">
        <v>168</v>
      </c>
      <c r="C13" s="272" t="s">
        <v>30</v>
      </c>
      <c r="D13" s="272"/>
      <c r="E13" s="272"/>
      <c r="F13" s="272"/>
      <c r="G13" s="273">
        <v>40387</v>
      </c>
      <c r="H13" s="274">
        <v>2381.4299999999998</v>
      </c>
      <c r="I13" s="274"/>
      <c r="J13" s="272" t="s">
        <v>22</v>
      </c>
      <c r="K13" s="272"/>
      <c r="L13" s="275">
        <v>8</v>
      </c>
      <c r="M13" s="276">
        <v>0</v>
      </c>
      <c r="N13" s="276"/>
      <c r="O13" s="274">
        <v>2381.4299999999998</v>
      </c>
      <c r="P13" s="274"/>
      <c r="Q13" s="276">
        <v>0</v>
      </c>
      <c r="R13" s="276"/>
      <c r="S13" s="274">
        <v>2381.4299999999998</v>
      </c>
      <c r="T13" s="274"/>
      <c r="U13" s="276">
        <v>0</v>
      </c>
      <c r="V13" s="276"/>
      <c r="W13" s="276"/>
      <c r="X13" s="277">
        <f t="shared" si="0"/>
        <v>2010</v>
      </c>
      <c r="Y13" s="277">
        <f t="shared" si="1"/>
        <v>7</v>
      </c>
      <c r="Z13" s="278"/>
      <c r="AA13" s="278"/>
      <c r="AB13" s="278"/>
      <c r="AC13" s="278"/>
      <c r="AD13" s="278"/>
      <c r="AE13" s="278"/>
    </row>
    <row r="14" spans="1:31" s="260" customFormat="1" ht="11.25" customHeight="1" x14ac:dyDescent="0.2">
      <c r="A14" s="270"/>
      <c r="B14" s="271">
        <v>169</v>
      </c>
      <c r="C14" s="272" t="s">
        <v>31</v>
      </c>
      <c r="D14" s="272"/>
      <c r="E14" s="272"/>
      <c r="F14" s="272"/>
      <c r="G14" s="273">
        <v>40415</v>
      </c>
      <c r="H14" s="274">
        <v>6832.23</v>
      </c>
      <c r="I14" s="274"/>
      <c r="J14" s="272" t="s">
        <v>22</v>
      </c>
      <c r="K14" s="272"/>
      <c r="L14" s="275">
        <v>8</v>
      </c>
      <c r="M14" s="276">
        <v>0</v>
      </c>
      <c r="N14" s="276"/>
      <c r="O14" s="274">
        <v>6832.23</v>
      </c>
      <c r="P14" s="274"/>
      <c r="Q14" s="276">
        <v>0</v>
      </c>
      <c r="R14" s="276"/>
      <c r="S14" s="274">
        <v>6832.23</v>
      </c>
      <c r="T14" s="274"/>
      <c r="U14" s="276">
        <v>0</v>
      </c>
      <c r="V14" s="276"/>
      <c r="W14" s="276"/>
      <c r="X14" s="277">
        <f t="shared" si="0"/>
        <v>2010</v>
      </c>
      <c r="Y14" s="277">
        <f t="shared" si="1"/>
        <v>8</v>
      </c>
      <c r="Z14" s="278"/>
      <c r="AA14" s="278"/>
      <c r="AB14" s="278"/>
      <c r="AC14" s="278"/>
      <c r="AD14" s="278"/>
      <c r="AE14" s="278"/>
    </row>
    <row r="15" spans="1:31" s="260" customFormat="1" ht="11.25" customHeight="1" x14ac:dyDescent="0.2">
      <c r="A15" s="270"/>
      <c r="B15" s="271">
        <v>198</v>
      </c>
      <c r="C15" s="272" t="s">
        <v>32</v>
      </c>
      <c r="D15" s="272"/>
      <c r="E15" s="272"/>
      <c r="F15" s="272"/>
      <c r="G15" s="273">
        <v>41455</v>
      </c>
      <c r="H15" s="274">
        <v>8639.61</v>
      </c>
      <c r="I15" s="274"/>
      <c r="J15" s="272" t="s">
        <v>22</v>
      </c>
      <c r="K15" s="272"/>
      <c r="L15" s="275">
        <v>8</v>
      </c>
      <c r="M15" s="276">
        <v>0</v>
      </c>
      <c r="N15" s="276"/>
      <c r="O15" s="274">
        <v>7109.67</v>
      </c>
      <c r="P15" s="274"/>
      <c r="Q15" s="274">
        <v>1079.95</v>
      </c>
      <c r="R15" s="274"/>
      <c r="S15" s="274">
        <v>8189.62</v>
      </c>
      <c r="T15" s="274"/>
      <c r="U15" s="276">
        <v>449.99</v>
      </c>
      <c r="V15" s="276"/>
      <c r="W15" s="276"/>
      <c r="X15" s="277">
        <f t="shared" si="0"/>
        <v>2013</v>
      </c>
      <c r="Y15" s="277">
        <f t="shared" si="1"/>
        <v>6</v>
      </c>
      <c r="Z15" s="278"/>
      <c r="AA15" s="278"/>
      <c r="AB15" s="278"/>
      <c r="AC15" s="278"/>
      <c r="AD15" s="278"/>
      <c r="AE15" s="278"/>
    </row>
    <row r="16" spans="1:31" s="260" customFormat="1" ht="11.25" customHeight="1" x14ac:dyDescent="0.2">
      <c r="A16" s="270"/>
      <c r="B16" s="271">
        <v>201</v>
      </c>
      <c r="C16" s="272" t="s">
        <v>32</v>
      </c>
      <c r="D16" s="272"/>
      <c r="E16" s="272"/>
      <c r="F16" s="272"/>
      <c r="G16" s="273">
        <v>41485</v>
      </c>
      <c r="H16" s="274">
        <v>8639.61</v>
      </c>
      <c r="I16" s="274"/>
      <c r="J16" s="272" t="s">
        <v>22</v>
      </c>
      <c r="K16" s="272"/>
      <c r="L16" s="275">
        <v>8</v>
      </c>
      <c r="M16" s="276">
        <v>0</v>
      </c>
      <c r="N16" s="276"/>
      <c r="O16" s="274">
        <v>7019.68</v>
      </c>
      <c r="P16" s="274"/>
      <c r="Q16" s="274">
        <v>1079.95</v>
      </c>
      <c r="R16" s="274"/>
      <c r="S16" s="274">
        <v>8099.63</v>
      </c>
      <c r="T16" s="274"/>
      <c r="U16" s="276">
        <v>539.98</v>
      </c>
      <c r="V16" s="276"/>
      <c r="W16" s="276"/>
      <c r="X16" s="277">
        <f t="shared" si="0"/>
        <v>2013</v>
      </c>
      <c r="Y16" s="277">
        <f t="shared" si="1"/>
        <v>7</v>
      </c>
      <c r="Z16" s="278"/>
      <c r="AA16" s="278"/>
      <c r="AB16" s="278"/>
      <c r="AC16" s="278"/>
      <c r="AD16" s="278"/>
      <c r="AE16" s="278"/>
    </row>
    <row r="17" spans="1:31" s="260" customFormat="1" ht="11.25" customHeight="1" x14ac:dyDescent="0.2">
      <c r="A17" s="270"/>
      <c r="B17" s="271">
        <v>207</v>
      </c>
      <c r="C17" s="272" t="s">
        <v>32</v>
      </c>
      <c r="D17" s="272"/>
      <c r="E17" s="272"/>
      <c r="F17" s="272"/>
      <c r="G17" s="273">
        <v>41548</v>
      </c>
      <c r="H17" s="274">
        <v>8501.76</v>
      </c>
      <c r="I17" s="274"/>
      <c r="J17" s="272" t="s">
        <v>22</v>
      </c>
      <c r="K17" s="272"/>
      <c r="L17" s="275">
        <v>8</v>
      </c>
      <c r="M17" s="276">
        <v>0</v>
      </c>
      <c r="N17" s="276"/>
      <c r="O17" s="274">
        <v>6642</v>
      </c>
      <c r="P17" s="274"/>
      <c r="Q17" s="274">
        <v>1062.72</v>
      </c>
      <c r="R17" s="274"/>
      <c r="S17" s="274">
        <v>7704.72</v>
      </c>
      <c r="T17" s="274"/>
      <c r="U17" s="276">
        <v>797.04</v>
      </c>
      <c r="V17" s="276"/>
      <c r="W17" s="276"/>
      <c r="X17" s="277">
        <f t="shared" si="0"/>
        <v>2013</v>
      </c>
      <c r="Y17" s="277">
        <f t="shared" si="1"/>
        <v>10</v>
      </c>
      <c r="Z17" s="278"/>
      <c r="AA17" s="278"/>
      <c r="AB17" s="278"/>
      <c r="AC17" s="278"/>
      <c r="AD17" s="278"/>
      <c r="AE17" s="278"/>
    </row>
    <row r="18" spans="1:31" s="260" customFormat="1" ht="11.25" customHeight="1" x14ac:dyDescent="0.2">
      <c r="A18" s="270"/>
      <c r="B18" s="271">
        <v>208</v>
      </c>
      <c r="C18" s="272" t="s">
        <v>32</v>
      </c>
      <c r="D18" s="272"/>
      <c r="E18" s="272"/>
      <c r="F18" s="272"/>
      <c r="G18" s="273">
        <v>41675</v>
      </c>
      <c r="H18" s="274">
        <v>8617.7099999999991</v>
      </c>
      <c r="I18" s="274"/>
      <c r="J18" s="272" t="s">
        <v>22</v>
      </c>
      <c r="K18" s="272"/>
      <c r="L18" s="275">
        <v>10</v>
      </c>
      <c r="M18" s="276">
        <v>0</v>
      </c>
      <c r="N18" s="276"/>
      <c r="O18" s="274">
        <v>5098.8100000000004</v>
      </c>
      <c r="P18" s="274"/>
      <c r="Q18" s="276">
        <v>861.77</v>
      </c>
      <c r="R18" s="276"/>
      <c r="S18" s="274">
        <v>5960.58</v>
      </c>
      <c r="T18" s="274"/>
      <c r="U18" s="276">
        <v>2657.13</v>
      </c>
      <c r="V18" s="276"/>
      <c r="W18" s="276"/>
      <c r="X18" s="277">
        <f t="shared" si="0"/>
        <v>2014</v>
      </c>
      <c r="Y18" s="277">
        <f t="shared" si="1"/>
        <v>2</v>
      </c>
      <c r="Z18" s="278"/>
      <c r="AA18" s="278"/>
      <c r="AB18" s="278"/>
      <c r="AC18" s="278"/>
      <c r="AD18" s="278"/>
      <c r="AE18" s="278"/>
    </row>
    <row r="19" spans="1:31" s="260" customFormat="1" ht="11.25" customHeight="1" x14ac:dyDescent="0.2">
      <c r="A19" s="270"/>
      <c r="B19" s="271">
        <v>217</v>
      </c>
      <c r="C19" s="272" t="s">
        <v>33</v>
      </c>
      <c r="D19" s="272"/>
      <c r="E19" s="272"/>
      <c r="F19" s="272"/>
      <c r="G19" s="273">
        <v>41851</v>
      </c>
      <c r="H19" s="274">
        <v>7329.78</v>
      </c>
      <c r="I19" s="274"/>
      <c r="J19" s="272" t="s">
        <v>22</v>
      </c>
      <c r="K19" s="272"/>
      <c r="L19" s="275">
        <v>10</v>
      </c>
      <c r="M19" s="276">
        <v>0</v>
      </c>
      <c r="N19" s="276"/>
      <c r="O19" s="274">
        <v>4031.39</v>
      </c>
      <c r="P19" s="274"/>
      <c r="Q19" s="276">
        <v>732.98</v>
      </c>
      <c r="R19" s="276"/>
      <c r="S19" s="274">
        <v>4764.37</v>
      </c>
      <c r="T19" s="274"/>
      <c r="U19" s="276">
        <v>2565.41</v>
      </c>
      <c r="V19" s="276"/>
      <c r="W19" s="276"/>
      <c r="X19" s="277">
        <f t="shared" si="0"/>
        <v>2014</v>
      </c>
      <c r="Y19" s="277">
        <f t="shared" si="1"/>
        <v>7</v>
      </c>
      <c r="Z19" s="278"/>
      <c r="AA19" s="278"/>
      <c r="AB19" s="278"/>
      <c r="AC19" s="278"/>
      <c r="AD19" s="278"/>
      <c r="AE19" s="278"/>
    </row>
    <row r="20" spans="1:31" s="260" customFormat="1" ht="11.25" customHeight="1" x14ac:dyDescent="0.2">
      <c r="A20" s="270"/>
      <c r="B20" s="271">
        <v>272</v>
      </c>
      <c r="C20" s="272" t="s">
        <v>33</v>
      </c>
      <c r="D20" s="272"/>
      <c r="E20" s="272"/>
      <c r="F20" s="272"/>
      <c r="G20" s="273">
        <v>42866</v>
      </c>
      <c r="H20" s="274">
        <v>6613.56</v>
      </c>
      <c r="I20" s="274"/>
      <c r="J20" s="272" t="s">
        <v>22</v>
      </c>
      <c r="K20" s="272"/>
      <c r="L20" s="275">
        <v>10</v>
      </c>
      <c r="M20" s="276">
        <v>0</v>
      </c>
      <c r="N20" s="276"/>
      <c r="O20" s="274">
        <v>1763.62</v>
      </c>
      <c r="P20" s="274"/>
      <c r="Q20" s="276">
        <v>661.36</v>
      </c>
      <c r="R20" s="276"/>
      <c r="S20" s="274">
        <v>2424.98</v>
      </c>
      <c r="T20" s="274"/>
      <c r="U20" s="276">
        <v>4188.58</v>
      </c>
      <c r="V20" s="276"/>
      <c r="W20" s="276"/>
      <c r="X20" s="277">
        <f t="shared" si="0"/>
        <v>2017</v>
      </c>
      <c r="Y20" s="277">
        <f t="shared" si="1"/>
        <v>5</v>
      </c>
      <c r="Z20" s="278"/>
      <c r="AA20" s="278"/>
      <c r="AB20" s="278"/>
      <c r="AC20" s="278"/>
      <c r="AD20" s="278"/>
      <c r="AE20" s="278"/>
    </row>
    <row r="21" spans="1:31" s="260" customFormat="1" ht="11.25" customHeight="1" x14ac:dyDescent="0.2">
      <c r="A21" s="270"/>
      <c r="B21" s="271">
        <v>273</v>
      </c>
      <c r="C21" s="272" t="s">
        <v>32</v>
      </c>
      <c r="D21" s="272"/>
      <c r="E21" s="272"/>
      <c r="F21" s="272"/>
      <c r="G21" s="273">
        <v>42878</v>
      </c>
      <c r="H21" s="274">
        <v>8211.2800000000007</v>
      </c>
      <c r="I21" s="274"/>
      <c r="J21" s="272" t="s">
        <v>22</v>
      </c>
      <c r="K21" s="272"/>
      <c r="L21" s="275">
        <v>10</v>
      </c>
      <c r="M21" s="276">
        <v>0</v>
      </c>
      <c r="N21" s="276"/>
      <c r="O21" s="274">
        <v>2189.6799999999998</v>
      </c>
      <c r="P21" s="274"/>
      <c r="Q21" s="276">
        <v>821.13</v>
      </c>
      <c r="R21" s="276"/>
      <c r="S21" s="274">
        <v>3010.81</v>
      </c>
      <c r="T21" s="274"/>
      <c r="U21" s="276">
        <v>5200.47</v>
      </c>
      <c r="V21" s="276"/>
      <c r="W21" s="276"/>
      <c r="X21" s="277">
        <f t="shared" si="0"/>
        <v>2017</v>
      </c>
      <c r="Y21" s="277">
        <f t="shared" si="1"/>
        <v>5</v>
      </c>
      <c r="Z21" s="278"/>
      <c r="AA21" s="278"/>
      <c r="AB21" s="278"/>
      <c r="AC21" s="278"/>
      <c r="AD21" s="278"/>
      <c r="AE21" s="278"/>
    </row>
    <row r="22" spans="1:31" s="260" customFormat="1" ht="11.25" customHeight="1" x14ac:dyDescent="0.2">
      <c r="A22" s="270"/>
      <c r="B22" s="271">
        <v>285</v>
      </c>
      <c r="C22" s="272" t="s">
        <v>34</v>
      </c>
      <c r="D22" s="272"/>
      <c r="E22" s="272"/>
      <c r="F22" s="272"/>
      <c r="G22" s="273">
        <v>43062</v>
      </c>
      <c r="H22" s="274">
        <v>7920.48</v>
      </c>
      <c r="I22" s="274"/>
      <c r="J22" s="272" t="s">
        <v>22</v>
      </c>
      <c r="K22" s="272"/>
      <c r="L22" s="275">
        <v>10</v>
      </c>
      <c r="M22" s="276">
        <v>0</v>
      </c>
      <c r="N22" s="276"/>
      <c r="O22" s="274">
        <v>1716.11</v>
      </c>
      <c r="P22" s="274"/>
      <c r="Q22" s="276">
        <v>792.05</v>
      </c>
      <c r="R22" s="276"/>
      <c r="S22" s="274">
        <v>2508.16</v>
      </c>
      <c r="T22" s="274"/>
      <c r="U22" s="276">
        <v>5412.32</v>
      </c>
      <c r="V22" s="276"/>
      <c r="W22" s="276"/>
      <c r="X22" s="277">
        <f t="shared" si="0"/>
        <v>2017</v>
      </c>
      <c r="Y22" s="277">
        <f t="shared" si="1"/>
        <v>11</v>
      </c>
      <c r="Z22" s="278"/>
      <c r="AA22" s="278"/>
      <c r="AB22" s="278"/>
      <c r="AC22" s="278"/>
      <c r="AD22" s="278"/>
      <c r="AE22" s="278"/>
    </row>
    <row r="23" spans="1:31" s="260" customFormat="1" ht="11.25" customHeight="1" x14ac:dyDescent="0.2">
      <c r="A23" s="270"/>
      <c r="B23" s="271">
        <v>286</v>
      </c>
      <c r="C23" s="272" t="s">
        <v>35</v>
      </c>
      <c r="D23" s="272"/>
      <c r="E23" s="272"/>
      <c r="F23" s="272"/>
      <c r="G23" s="273">
        <v>43084</v>
      </c>
      <c r="H23" s="274">
        <v>2928.03</v>
      </c>
      <c r="I23" s="274"/>
      <c r="J23" s="272" t="s">
        <v>22</v>
      </c>
      <c r="K23" s="272"/>
      <c r="L23" s="275">
        <v>10</v>
      </c>
      <c r="M23" s="276">
        <v>0</v>
      </c>
      <c r="N23" s="276"/>
      <c r="O23" s="276">
        <v>610</v>
      </c>
      <c r="P23" s="276"/>
      <c r="Q23" s="276">
        <v>292.8</v>
      </c>
      <c r="R23" s="276"/>
      <c r="S23" s="276">
        <v>902.8</v>
      </c>
      <c r="T23" s="276"/>
      <c r="U23" s="276">
        <v>2025.23</v>
      </c>
      <c r="V23" s="276"/>
      <c r="W23" s="276"/>
      <c r="X23" s="277">
        <f t="shared" si="0"/>
        <v>2017</v>
      </c>
      <c r="Y23" s="277">
        <f t="shared" si="1"/>
        <v>12</v>
      </c>
      <c r="Z23" s="278"/>
      <c r="AA23" s="278"/>
      <c r="AB23" s="278"/>
      <c r="AC23" s="278"/>
      <c r="AD23" s="278"/>
      <c r="AE23" s="278"/>
    </row>
    <row r="24" spans="1:31" s="260" customFormat="1" ht="11.25" customHeight="1" x14ac:dyDescent="0.2">
      <c r="A24" s="270"/>
      <c r="B24" s="271">
        <v>293</v>
      </c>
      <c r="C24" s="272" t="s">
        <v>34</v>
      </c>
      <c r="D24" s="272"/>
      <c r="E24" s="272"/>
      <c r="F24" s="272"/>
      <c r="G24" s="273">
        <v>43115</v>
      </c>
      <c r="H24" s="274">
        <v>7920.48</v>
      </c>
      <c r="I24" s="274"/>
      <c r="J24" s="272" t="s">
        <v>22</v>
      </c>
      <c r="K24" s="272"/>
      <c r="L24" s="275">
        <v>10</v>
      </c>
      <c r="M24" s="276">
        <v>0</v>
      </c>
      <c r="N24" s="276"/>
      <c r="O24" s="274">
        <v>1584.1</v>
      </c>
      <c r="P24" s="274"/>
      <c r="Q24" s="276">
        <v>792.05</v>
      </c>
      <c r="R24" s="276"/>
      <c r="S24" s="274">
        <v>2376.15</v>
      </c>
      <c r="T24" s="274"/>
      <c r="U24" s="276">
        <v>5544.33</v>
      </c>
      <c r="V24" s="276"/>
      <c r="W24" s="276"/>
      <c r="X24" s="277">
        <f t="shared" si="0"/>
        <v>2018</v>
      </c>
      <c r="Y24" s="277">
        <f t="shared" si="1"/>
        <v>1</v>
      </c>
      <c r="Z24" s="278"/>
      <c r="AA24" s="278"/>
      <c r="AB24" s="278"/>
      <c r="AC24" s="278"/>
      <c r="AD24" s="278"/>
      <c r="AE24" s="278"/>
    </row>
    <row r="25" spans="1:31" s="260" customFormat="1" ht="11.25" customHeight="1" x14ac:dyDescent="0.2">
      <c r="A25" s="270"/>
      <c r="B25" s="271">
        <v>294</v>
      </c>
      <c r="C25" s="272" t="s">
        <v>36</v>
      </c>
      <c r="D25" s="272"/>
      <c r="E25" s="272"/>
      <c r="F25" s="272"/>
      <c r="G25" s="273">
        <v>43148</v>
      </c>
      <c r="H25" s="274">
        <v>6727.06</v>
      </c>
      <c r="I25" s="274"/>
      <c r="J25" s="272" t="s">
        <v>22</v>
      </c>
      <c r="K25" s="272"/>
      <c r="L25" s="275">
        <v>10</v>
      </c>
      <c r="M25" s="276">
        <v>0</v>
      </c>
      <c r="N25" s="276"/>
      <c r="O25" s="274">
        <v>1233.3</v>
      </c>
      <c r="P25" s="274"/>
      <c r="Q25" s="276">
        <v>672.71</v>
      </c>
      <c r="R25" s="276"/>
      <c r="S25" s="274">
        <v>1906.01</v>
      </c>
      <c r="T25" s="274"/>
      <c r="U25" s="276">
        <v>4821.05</v>
      </c>
      <c r="V25" s="276"/>
      <c r="W25" s="276"/>
      <c r="X25" s="277">
        <f t="shared" si="0"/>
        <v>2018</v>
      </c>
      <c r="Y25" s="277">
        <f t="shared" si="1"/>
        <v>2</v>
      </c>
      <c r="Z25" s="278"/>
      <c r="AA25" s="278"/>
      <c r="AB25" s="278"/>
      <c r="AC25" s="278"/>
      <c r="AD25" s="278"/>
      <c r="AE25" s="278"/>
    </row>
    <row r="26" spans="1:31" s="260" customFormat="1" ht="11.25" customHeight="1" x14ac:dyDescent="0.2">
      <c r="A26" s="270"/>
      <c r="B26" s="271">
        <v>296</v>
      </c>
      <c r="C26" s="272" t="s">
        <v>21</v>
      </c>
      <c r="D26" s="272"/>
      <c r="E26" s="272"/>
      <c r="F26" s="272"/>
      <c r="G26" s="273">
        <v>43186</v>
      </c>
      <c r="H26" s="274">
        <v>15840.98</v>
      </c>
      <c r="I26" s="274"/>
      <c r="J26" s="272" t="s">
        <v>22</v>
      </c>
      <c r="K26" s="272"/>
      <c r="L26" s="275">
        <v>10</v>
      </c>
      <c r="M26" s="276">
        <v>0</v>
      </c>
      <c r="N26" s="276"/>
      <c r="O26" s="274">
        <v>2772.17</v>
      </c>
      <c r="P26" s="274"/>
      <c r="Q26" s="274">
        <v>1584.1</v>
      </c>
      <c r="R26" s="274"/>
      <c r="S26" s="274">
        <v>4356.2700000000004</v>
      </c>
      <c r="T26" s="274"/>
      <c r="U26" s="276">
        <v>11484.71</v>
      </c>
      <c r="V26" s="276"/>
      <c r="W26" s="276"/>
      <c r="X26" s="277">
        <f t="shared" si="0"/>
        <v>2018</v>
      </c>
      <c r="Y26" s="277">
        <f t="shared" si="1"/>
        <v>3</v>
      </c>
      <c r="Z26" s="278"/>
      <c r="AA26" s="278"/>
      <c r="AB26" s="278"/>
      <c r="AC26" s="278"/>
      <c r="AD26" s="278"/>
      <c r="AE26" s="278"/>
    </row>
    <row r="27" spans="1:31" s="260" customFormat="1" ht="11.25" customHeight="1" x14ac:dyDescent="0.2">
      <c r="A27" s="270"/>
      <c r="B27" s="271">
        <v>297</v>
      </c>
      <c r="C27" s="272" t="s">
        <v>21</v>
      </c>
      <c r="D27" s="272"/>
      <c r="E27" s="272"/>
      <c r="F27" s="272"/>
      <c r="G27" s="273">
        <v>43218</v>
      </c>
      <c r="H27" s="274">
        <v>17209.52</v>
      </c>
      <c r="I27" s="274"/>
      <c r="J27" s="272" t="s">
        <v>22</v>
      </c>
      <c r="K27" s="272"/>
      <c r="L27" s="275">
        <v>10</v>
      </c>
      <c r="M27" s="276">
        <v>0</v>
      </c>
      <c r="N27" s="276"/>
      <c r="O27" s="274">
        <v>2868.25</v>
      </c>
      <c r="P27" s="274"/>
      <c r="Q27" s="274">
        <v>1720.95</v>
      </c>
      <c r="R27" s="274"/>
      <c r="S27" s="274">
        <v>4589.2</v>
      </c>
      <c r="T27" s="274"/>
      <c r="U27" s="276">
        <v>12620.32</v>
      </c>
      <c r="V27" s="276"/>
      <c r="W27" s="276"/>
      <c r="X27" s="277">
        <f t="shared" si="0"/>
        <v>2018</v>
      </c>
      <c r="Y27" s="277">
        <f t="shared" si="1"/>
        <v>4</v>
      </c>
      <c r="Z27" s="278"/>
      <c r="AA27" s="278"/>
      <c r="AB27" s="278"/>
      <c r="AC27" s="278"/>
      <c r="AD27" s="278"/>
      <c r="AE27" s="278"/>
    </row>
    <row r="28" spans="1:31" s="260" customFormat="1" ht="11.25" customHeight="1" x14ac:dyDescent="0.2">
      <c r="A28" s="270"/>
      <c r="B28" s="271">
        <v>300</v>
      </c>
      <c r="C28" s="272" t="s">
        <v>34</v>
      </c>
      <c r="D28" s="272"/>
      <c r="E28" s="272"/>
      <c r="F28" s="272"/>
      <c r="G28" s="273">
        <v>43250</v>
      </c>
      <c r="H28" s="274">
        <v>8158.3</v>
      </c>
      <c r="I28" s="274"/>
      <c r="J28" s="272" t="s">
        <v>22</v>
      </c>
      <c r="K28" s="272"/>
      <c r="L28" s="275">
        <v>10</v>
      </c>
      <c r="M28" s="276">
        <v>0</v>
      </c>
      <c r="N28" s="276"/>
      <c r="O28" s="274">
        <v>1291.73</v>
      </c>
      <c r="P28" s="274"/>
      <c r="Q28" s="276">
        <v>815.83</v>
      </c>
      <c r="R28" s="276"/>
      <c r="S28" s="274">
        <v>2107.56</v>
      </c>
      <c r="T28" s="274"/>
      <c r="U28" s="276">
        <v>6050.74</v>
      </c>
      <c r="V28" s="276"/>
      <c r="W28" s="276"/>
      <c r="X28" s="277">
        <f t="shared" si="0"/>
        <v>2018</v>
      </c>
      <c r="Y28" s="277">
        <f t="shared" si="1"/>
        <v>5</v>
      </c>
      <c r="Z28" s="278"/>
      <c r="AA28" s="278"/>
      <c r="AB28" s="278"/>
      <c r="AC28" s="278"/>
      <c r="AD28" s="278"/>
      <c r="AE28" s="278"/>
    </row>
    <row r="29" spans="1:31" s="260" customFormat="1" ht="11.25" customHeight="1" x14ac:dyDescent="0.2">
      <c r="A29" s="270"/>
      <c r="B29" s="271">
        <v>301</v>
      </c>
      <c r="C29" s="272" t="s">
        <v>33</v>
      </c>
      <c r="D29" s="272"/>
      <c r="E29" s="272"/>
      <c r="F29" s="272"/>
      <c r="G29" s="273">
        <v>43260</v>
      </c>
      <c r="H29" s="274">
        <v>8158.3</v>
      </c>
      <c r="I29" s="274"/>
      <c r="J29" s="272" t="s">
        <v>22</v>
      </c>
      <c r="K29" s="272"/>
      <c r="L29" s="275">
        <v>10</v>
      </c>
      <c r="M29" s="276">
        <v>0</v>
      </c>
      <c r="N29" s="276"/>
      <c r="O29" s="274">
        <v>1291.73</v>
      </c>
      <c r="P29" s="274"/>
      <c r="Q29" s="276">
        <v>815.83</v>
      </c>
      <c r="R29" s="276"/>
      <c r="S29" s="274">
        <v>2107.56</v>
      </c>
      <c r="T29" s="274"/>
      <c r="U29" s="276">
        <v>6050.74</v>
      </c>
      <c r="V29" s="276"/>
      <c r="W29" s="276"/>
      <c r="X29" s="277">
        <f t="shared" si="0"/>
        <v>2018</v>
      </c>
      <c r="Y29" s="277">
        <f t="shared" si="1"/>
        <v>6</v>
      </c>
      <c r="Z29" s="278"/>
      <c r="AA29" s="278"/>
      <c r="AB29" s="278"/>
      <c r="AC29" s="278"/>
      <c r="AD29" s="278"/>
      <c r="AE29" s="278"/>
    </row>
    <row r="30" spans="1:31" s="260" customFormat="1" ht="11.25" customHeight="1" x14ac:dyDescent="0.2">
      <c r="A30" s="270"/>
      <c r="B30" s="271">
        <v>302</v>
      </c>
      <c r="C30" s="272" t="s">
        <v>37</v>
      </c>
      <c r="D30" s="272"/>
      <c r="E30" s="272"/>
      <c r="F30" s="272"/>
      <c r="G30" s="273">
        <v>43280</v>
      </c>
      <c r="H30" s="274">
        <v>8862.0300000000007</v>
      </c>
      <c r="I30" s="274"/>
      <c r="J30" s="272" t="s">
        <v>22</v>
      </c>
      <c r="K30" s="272"/>
      <c r="L30" s="275">
        <v>10</v>
      </c>
      <c r="M30" s="276">
        <v>0</v>
      </c>
      <c r="N30" s="276"/>
      <c r="O30" s="274">
        <v>1329.3</v>
      </c>
      <c r="P30" s="274"/>
      <c r="Q30" s="276">
        <v>886.2</v>
      </c>
      <c r="R30" s="276"/>
      <c r="S30" s="274">
        <v>2215.5</v>
      </c>
      <c r="T30" s="274"/>
      <c r="U30" s="276">
        <v>6646.53</v>
      </c>
      <c r="V30" s="276"/>
      <c r="W30" s="276"/>
      <c r="X30" s="277">
        <f t="shared" si="0"/>
        <v>2018</v>
      </c>
      <c r="Y30" s="277">
        <f t="shared" si="1"/>
        <v>6</v>
      </c>
      <c r="Z30" s="278"/>
      <c r="AA30" s="278"/>
      <c r="AB30" s="278"/>
      <c r="AC30" s="278"/>
      <c r="AD30" s="278"/>
      <c r="AE30" s="278"/>
    </row>
    <row r="31" spans="1:31" s="260" customFormat="1" ht="11.25" customHeight="1" x14ac:dyDescent="0.2">
      <c r="A31" s="270"/>
      <c r="B31" s="271">
        <v>303</v>
      </c>
      <c r="C31" s="272" t="s">
        <v>23</v>
      </c>
      <c r="D31" s="272"/>
      <c r="E31" s="272"/>
      <c r="F31" s="272"/>
      <c r="G31" s="273">
        <v>43280</v>
      </c>
      <c r="H31" s="274">
        <v>6928.13</v>
      </c>
      <c r="I31" s="274"/>
      <c r="J31" s="272" t="s">
        <v>22</v>
      </c>
      <c r="K31" s="272"/>
      <c r="L31" s="275">
        <v>10</v>
      </c>
      <c r="M31" s="276">
        <v>0</v>
      </c>
      <c r="N31" s="276"/>
      <c r="O31" s="274">
        <v>1039.22</v>
      </c>
      <c r="P31" s="274"/>
      <c r="Q31" s="276">
        <v>692.81</v>
      </c>
      <c r="R31" s="276"/>
      <c r="S31" s="274">
        <v>1732.03</v>
      </c>
      <c r="T31" s="274"/>
      <c r="U31" s="276">
        <v>5196.1000000000004</v>
      </c>
      <c r="V31" s="276"/>
      <c r="W31" s="276"/>
      <c r="X31" s="277">
        <f t="shared" si="0"/>
        <v>2018</v>
      </c>
      <c r="Y31" s="277">
        <f t="shared" si="1"/>
        <v>6</v>
      </c>
      <c r="Z31" s="278"/>
      <c r="AA31" s="278"/>
      <c r="AB31" s="278"/>
      <c r="AC31" s="278"/>
      <c r="AD31" s="278"/>
      <c r="AE31" s="278"/>
    </row>
    <row r="32" spans="1:31" s="260" customFormat="1" ht="11.25" customHeight="1" x14ac:dyDescent="0.2">
      <c r="A32" s="270"/>
      <c r="B32" s="271">
        <v>311</v>
      </c>
      <c r="C32" s="272" t="s">
        <v>38</v>
      </c>
      <c r="D32" s="272"/>
      <c r="E32" s="272"/>
      <c r="F32" s="272"/>
      <c r="G32" s="273">
        <v>43343</v>
      </c>
      <c r="H32" s="274">
        <v>16792.25</v>
      </c>
      <c r="I32" s="274"/>
      <c r="J32" s="272" t="s">
        <v>22</v>
      </c>
      <c r="K32" s="272"/>
      <c r="L32" s="275">
        <v>10</v>
      </c>
      <c r="M32" s="276">
        <v>0</v>
      </c>
      <c r="N32" s="276"/>
      <c r="O32" s="274">
        <v>2238.9699999999998</v>
      </c>
      <c r="P32" s="274"/>
      <c r="Q32" s="274">
        <v>1679.23</v>
      </c>
      <c r="R32" s="274"/>
      <c r="S32" s="274">
        <v>3918.2</v>
      </c>
      <c r="T32" s="274"/>
      <c r="U32" s="276">
        <v>12874.05</v>
      </c>
      <c r="V32" s="276"/>
      <c r="W32" s="276"/>
      <c r="X32" s="277">
        <f t="shared" si="0"/>
        <v>2018</v>
      </c>
      <c r="Y32" s="277">
        <f t="shared" si="1"/>
        <v>8</v>
      </c>
      <c r="Z32" s="278"/>
      <c r="AA32" s="278"/>
      <c r="AB32" s="278"/>
      <c r="AC32" s="278"/>
      <c r="AD32" s="278"/>
      <c r="AE32" s="278"/>
    </row>
    <row r="33" spans="1:31" s="260" customFormat="1" ht="11.25" customHeight="1" x14ac:dyDescent="0.2">
      <c r="A33" s="270"/>
      <c r="B33" s="271">
        <v>312</v>
      </c>
      <c r="C33" s="272" t="s">
        <v>39</v>
      </c>
      <c r="D33" s="272"/>
      <c r="E33" s="272"/>
      <c r="F33" s="272"/>
      <c r="G33" s="273">
        <v>43399</v>
      </c>
      <c r="H33" s="274">
        <v>14550.26</v>
      </c>
      <c r="I33" s="274"/>
      <c r="J33" s="272" t="s">
        <v>22</v>
      </c>
      <c r="K33" s="272"/>
      <c r="L33" s="275">
        <v>10</v>
      </c>
      <c r="M33" s="276">
        <v>0</v>
      </c>
      <c r="N33" s="276"/>
      <c r="O33" s="274">
        <v>1697.53</v>
      </c>
      <c r="P33" s="274"/>
      <c r="Q33" s="274">
        <v>1455.03</v>
      </c>
      <c r="R33" s="274"/>
      <c r="S33" s="274">
        <v>3152.56</v>
      </c>
      <c r="T33" s="274"/>
      <c r="U33" s="276">
        <v>11397.7</v>
      </c>
      <c r="V33" s="276"/>
      <c r="W33" s="276"/>
      <c r="X33" s="277">
        <f t="shared" si="0"/>
        <v>2018</v>
      </c>
      <c r="Y33" s="277">
        <f t="shared" si="1"/>
        <v>10</v>
      </c>
      <c r="Z33" s="278"/>
      <c r="AA33" s="278"/>
      <c r="AB33" s="278"/>
      <c r="AC33" s="278"/>
      <c r="AD33" s="278"/>
      <c r="AE33" s="278"/>
    </row>
    <row r="34" spans="1:31" s="260" customFormat="1" ht="11.25" customHeight="1" x14ac:dyDescent="0.2">
      <c r="A34" s="270"/>
      <c r="B34" s="271">
        <v>315</v>
      </c>
      <c r="C34" s="272" t="s">
        <v>40</v>
      </c>
      <c r="D34" s="272"/>
      <c r="E34" s="272"/>
      <c r="F34" s="272"/>
      <c r="G34" s="273">
        <v>43306</v>
      </c>
      <c r="H34" s="274">
        <v>14258.39</v>
      </c>
      <c r="I34" s="274"/>
      <c r="J34" s="272" t="s">
        <v>22</v>
      </c>
      <c r="K34" s="272"/>
      <c r="L34" s="275">
        <v>10</v>
      </c>
      <c r="M34" s="276">
        <v>0</v>
      </c>
      <c r="N34" s="276"/>
      <c r="O34" s="274">
        <v>2019.94</v>
      </c>
      <c r="P34" s="274"/>
      <c r="Q34" s="274">
        <v>1425.84</v>
      </c>
      <c r="R34" s="274"/>
      <c r="S34" s="274">
        <v>3445.78</v>
      </c>
      <c r="T34" s="274"/>
      <c r="U34" s="276">
        <v>10812.61</v>
      </c>
      <c r="V34" s="276"/>
      <c r="W34" s="276"/>
      <c r="X34" s="277">
        <f t="shared" si="0"/>
        <v>2018</v>
      </c>
      <c r="Y34" s="277">
        <f t="shared" si="1"/>
        <v>7</v>
      </c>
      <c r="Z34" s="278"/>
      <c r="AA34" s="278"/>
      <c r="AB34" s="278"/>
      <c r="AC34" s="278"/>
      <c r="AD34" s="278"/>
      <c r="AE34" s="278"/>
    </row>
    <row r="35" spans="1:31" s="260" customFormat="1" ht="11.25" customHeight="1" x14ac:dyDescent="0.2">
      <c r="A35" s="270"/>
      <c r="B35" s="271">
        <v>330</v>
      </c>
      <c r="C35" s="272" t="s">
        <v>36</v>
      </c>
      <c r="D35" s="272"/>
      <c r="E35" s="272"/>
      <c r="F35" s="272"/>
      <c r="G35" s="273">
        <v>43670</v>
      </c>
      <c r="H35" s="274">
        <v>7275.13</v>
      </c>
      <c r="I35" s="274"/>
      <c r="J35" s="272" t="s">
        <v>22</v>
      </c>
      <c r="K35" s="272"/>
      <c r="L35" s="275">
        <v>10</v>
      </c>
      <c r="M35" s="276">
        <v>0</v>
      </c>
      <c r="N35" s="276"/>
      <c r="O35" s="276">
        <v>303.13</v>
      </c>
      <c r="P35" s="276"/>
      <c r="Q35" s="276">
        <v>727.51</v>
      </c>
      <c r="R35" s="276"/>
      <c r="S35" s="274">
        <v>1030.6400000000001</v>
      </c>
      <c r="T35" s="274"/>
      <c r="U35" s="276">
        <v>6244.49</v>
      </c>
      <c r="V35" s="276"/>
      <c r="W35" s="276"/>
      <c r="X35" s="277">
        <f t="shared" si="0"/>
        <v>2019</v>
      </c>
      <c r="Y35" s="277">
        <f t="shared" si="1"/>
        <v>7</v>
      </c>
      <c r="Z35" s="278"/>
      <c r="AA35" s="278"/>
      <c r="AB35" s="278"/>
      <c r="AC35" s="278"/>
      <c r="AD35" s="278"/>
      <c r="AE35" s="278"/>
    </row>
    <row r="36" spans="1:31" s="260" customFormat="1" ht="11.25" customHeight="1" x14ac:dyDescent="0.2">
      <c r="A36" s="270"/>
      <c r="B36" s="271">
        <v>331</v>
      </c>
      <c r="C36" s="272" t="s">
        <v>33</v>
      </c>
      <c r="D36" s="272"/>
      <c r="E36" s="272"/>
      <c r="F36" s="272"/>
      <c r="G36" s="273">
        <v>43680</v>
      </c>
      <c r="H36" s="274">
        <v>8396.1200000000008</v>
      </c>
      <c r="I36" s="274"/>
      <c r="J36" s="272" t="s">
        <v>22</v>
      </c>
      <c r="K36" s="272"/>
      <c r="L36" s="275">
        <v>10</v>
      </c>
      <c r="M36" s="276">
        <v>0</v>
      </c>
      <c r="N36" s="276"/>
      <c r="O36" s="276">
        <v>349.84</v>
      </c>
      <c r="P36" s="276"/>
      <c r="Q36" s="276">
        <v>839.61</v>
      </c>
      <c r="R36" s="276"/>
      <c r="S36" s="274">
        <v>1189.45</v>
      </c>
      <c r="T36" s="274"/>
      <c r="U36" s="276">
        <v>7206.67</v>
      </c>
      <c r="V36" s="276"/>
      <c r="W36" s="276"/>
      <c r="X36" s="277">
        <f t="shared" si="0"/>
        <v>2019</v>
      </c>
      <c r="Y36" s="277">
        <f t="shared" si="1"/>
        <v>8</v>
      </c>
      <c r="Z36" s="278"/>
      <c r="AA36" s="278"/>
      <c r="AB36" s="278"/>
      <c r="AC36" s="278"/>
      <c r="AD36" s="278"/>
      <c r="AE36" s="278"/>
    </row>
    <row r="37" spans="1:31" s="260" customFormat="1" ht="11.25" customHeight="1" x14ac:dyDescent="0.2">
      <c r="A37" s="270"/>
      <c r="B37" s="271">
        <v>332</v>
      </c>
      <c r="C37" s="272" t="s">
        <v>37</v>
      </c>
      <c r="D37" s="272"/>
      <c r="E37" s="272"/>
      <c r="F37" s="272"/>
      <c r="G37" s="273">
        <v>43709</v>
      </c>
      <c r="H37" s="274">
        <v>9119.32</v>
      </c>
      <c r="I37" s="274"/>
      <c r="J37" s="272" t="s">
        <v>22</v>
      </c>
      <c r="K37" s="272"/>
      <c r="L37" s="275">
        <v>10</v>
      </c>
      <c r="M37" s="276">
        <v>0</v>
      </c>
      <c r="N37" s="276"/>
      <c r="O37" s="276">
        <v>303.98</v>
      </c>
      <c r="P37" s="276"/>
      <c r="Q37" s="276">
        <v>911.93</v>
      </c>
      <c r="R37" s="276"/>
      <c r="S37" s="274">
        <v>1215.9100000000001</v>
      </c>
      <c r="T37" s="274"/>
      <c r="U37" s="276">
        <v>7903.41</v>
      </c>
      <c r="V37" s="276"/>
      <c r="W37" s="276"/>
      <c r="X37" s="277">
        <f t="shared" si="0"/>
        <v>2019</v>
      </c>
      <c r="Y37" s="277">
        <f t="shared" si="1"/>
        <v>9</v>
      </c>
      <c r="Z37" s="278"/>
      <c r="AA37" s="278"/>
      <c r="AB37" s="278"/>
      <c r="AC37" s="278"/>
      <c r="AD37" s="278"/>
      <c r="AE37" s="278"/>
    </row>
    <row r="38" spans="1:31" s="260" customFormat="1" ht="11.25" customHeight="1" x14ac:dyDescent="0.2">
      <c r="A38" s="270"/>
      <c r="B38" s="271">
        <v>336</v>
      </c>
      <c r="C38" s="272" t="s">
        <v>32</v>
      </c>
      <c r="D38" s="272"/>
      <c r="E38" s="272"/>
      <c r="F38" s="272"/>
      <c r="G38" s="273">
        <v>43824</v>
      </c>
      <c r="H38" s="274">
        <v>10212.209999999999</v>
      </c>
      <c r="I38" s="274"/>
      <c r="J38" s="272" t="s">
        <v>22</v>
      </c>
      <c r="K38" s="272"/>
      <c r="L38" s="275">
        <v>10</v>
      </c>
      <c r="M38" s="276">
        <v>0</v>
      </c>
      <c r="N38" s="276"/>
      <c r="O38" s="276">
        <v>0</v>
      </c>
      <c r="P38" s="276"/>
      <c r="Q38" s="274">
        <v>1021.22</v>
      </c>
      <c r="R38" s="274"/>
      <c r="S38" s="274">
        <v>1021.22</v>
      </c>
      <c r="T38" s="274"/>
      <c r="U38" s="276">
        <v>9190.99</v>
      </c>
      <c r="V38" s="276"/>
      <c r="W38" s="276"/>
      <c r="X38" s="277">
        <f t="shared" si="0"/>
        <v>2019</v>
      </c>
      <c r="Y38" s="277">
        <f t="shared" si="1"/>
        <v>12</v>
      </c>
      <c r="Z38" s="278"/>
      <c r="AA38" s="278"/>
      <c r="AB38" s="278"/>
      <c r="AC38" s="278"/>
      <c r="AD38" s="278"/>
      <c r="AE38" s="278"/>
    </row>
    <row r="39" spans="1:31" s="260" customFormat="1" ht="11.25" customHeight="1" x14ac:dyDescent="0.2">
      <c r="A39" s="270"/>
      <c r="B39" s="271">
        <v>344</v>
      </c>
      <c r="C39" s="272" t="s">
        <v>33</v>
      </c>
      <c r="D39" s="272"/>
      <c r="E39" s="272"/>
      <c r="F39" s="272"/>
      <c r="G39" s="273">
        <v>43738</v>
      </c>
      <c r="H39" s="274">
        <v>10212.200000000001</v>
      </c>
      <c r="I39" s="274"/>
      <c r="J39" s="272" t="s">
        <v>22</v>
      </c>
      <c r="K39" s="272"/>
      <c r="L39" s="275">
        <v>10</v>
      </c>
      <c r="M39" s="276">
        <v>0</v>
      </c>
      <c r="N39" s="276"/>
      <c r="O39" s="276">
        <v>255.31</v>
      </c>
      <c r="P39" s="276"/>
      <c r="Q39" s="274">
        <v>1021.22</v>
      </c>
      <c r="R39" s="274"/>
      <c r="S39" s="274">
        <v>1276.53</v>
      </c>
      <c r="T39" s="274"/>
      <c r="U39" s="274">
        <v>8935.67</v>
      </c>
      <c r="V39" s="274"/>
      <c r="W39" s="274"/>
      <c r="X39" s="277">
        <f t="shared" si="0"/>
        <v>2019</v>
      </c>
      <c r="Y39" s="277">
        <f t="shared" si="1"/>
        <v>9</v>
      </c>
      <c r="Z39" s="278"/>
      <c r="AA39" s="278"/>
      <c r="AB39" s="278"/>
      <c r="AC39" s="278"/>
      <c r="AD39" s="278"/>
      <c r="AE39" s="278"/>
    </row>
    <row r="40" spans="1:31" x14ac:dyDescent="0.2">
      <c r="A40" s="8"/>
      <c r="B40" s="27" t="s">
        <v>41</v>
      </c>
      <c r="C40" s="23"/>
      <c r="D40" s="23"/>
      <c r="E40" s="23"/>
      <c r="F40" s="23"/>
      <c r="G40" s="23"/>
      <c r="H40" s="19">
        <f>SUM(H5:I39)</f>
        <v>290015.03999999998</v>
      </c>
      <c r="I40" s="19"/>
      <c r="J40" s="7" t="s">
        <v>42</v>
      </c>
      <c r="K40" s="25">
        <v>0</v>
      </c>
      <c r="L40" s="25"/>
      <c r="M40" s="25"/>
      <c r="N40" s="25"/>
      <c r="O40" s="19">
        <f>SUM(O5:P39)</f>
        <v>108751.99999999997</v>
      </c>
      <c r="P40" s="19"/>
      <c r="Q40" s="19">
        <f>SUM(Q5:R39)</f>
        <v>24446.780000000002</v>
      </c>
      <c r="R40" s="19"/>
      <c r="S40" s="19">
        <f>SUM(S5:T39)</f>
        <v>133198.77999999997</v>
      </c>
      <c r="T40" s="19"/>
      <c r="U40" s="19">
        <f>SUM(U5:V39)</f>
        <v>156816.26</v>
      </c>
      <c r="V40" s="19"/>
      <c r="W40" s="19"/>
      <c r="X40" s="209"/>
      <c r="Y40" s="209"/>
    </row>
    <row r="41" spans="1:31" ht="15.6" customHeight="1" x14ac:dyDescent="0.2">
      <c r="A41" s="10" t="s">
        <v>43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205"/>
      <c r="Y41" s="205"/>
    </row>
    <row r="42" spans="1:31" s="260" customFormat="1" ht="11.25" customHeight="1" x14ac:dyDescent="0.2">
      <c r="A42" s="270"/>
      <c r="B42" s="271">
        <v>75</v>
      </c>
      <c r="C42" s="272" t="s">
        <v>44</v>
      </c>
      <c r="D42" s="272"/>
      <c r="E42" s="272"/>
      <c r="F42" s="272"/>
      <c r="G42" s="273">
        <v>38589</v>
      </c>
      <c r="H42" s="276">
        <v>722.56</v>
      </c>
      <c r="I42" s="276"/>
      <c r="J42" s="276"/>
      <c r="K42" s="280" t="s">
        <v>22</v>
      </c>
      <c r="L42" s="275">
        <v>8</v>
      </c>
      <c r="M42" s="276">
        <v>0</v>
      </c>
      <c r="N42" s="276"/>
      <c r="O42" s="276">
        <v>722.56</v>
      </c>
      <c r="P42" s="276"/>
      <c r="Q42" s="276">
        <v>0</v>
      </c>
      <c r="R42" s="276"/>
      <c r="S42" s="276">
        <v>722.56</v>
      </c>
      <c r="T42" s="276"/>
      <c r="U42" s="276">
        <v>0</v>
      </c>
      <c r="V42" s="276"/>
      <c r="W42" s="276"/>
      <c r="X42" s="277">
        <f t="shared" ref="X42" si="2">YEAR(G42)</f>
        <v>2005</v>
      </c>
      <c r="Y42" s="277">
        <f t="shared" ref="Y42" si="3">MONTH(G42)</f>
        <v>8</v>
      </c>
      <c r="Z42" s="278"/>
      <c r="AA42" s="278"/>
      <c r="AB42" s="278"/>
      <c r="AC42" s="278"/>
      <c r="AD42" s="278"/>
      <c r="AE42" s="278"/>
    </row>
    <row r="43" spans="1:31" s="260" customFormat="1" ht="11.25" customHeight="1" x14ac:dyDescent="0.2">
      <c r="A43" s="270"/>
      <c r="B43" s="271">
        <v>76</v>
      </c>
      <c r="C43" s="272" t="s">
        <v>44</v>
      </c>
      <c r="D43" s="272"/>
      <c r="E43" s="272"/>
      <c r="F43" s="272"/>
      <c r="G43" s="273">
        <v>38622</v>
      </c>
      <c r="H43" s="276">
        <v>722.56</v>
      </c>
      <c r="I43" s="276"/>
      <c r="J43" s="276"/>
      <c r="K43" s="280" t="s">
        <v>22</v>
      </c>
      <c r="L43" s="275">
        <v>8</v>
      </c>
      <c r="M43" s="276">
        <v>0</v>
      </c>
      <c r="N43" s="276"/>
      <c r="O43" s="276">
        <v>722.56</v>
      </c>
      <c r="P43" s="276"/>
      <c r="Q43" s="276">
        <v>0</v>
      </c>
      <c r="R43" s="276"/>
      <c r="S43" s="276">
        <v>722.56</v>
      </c>
      <c r="T43" s="276"/>
      <c r="U43" s="276">
        <v>0</v>
      </c>
      <c r="V43" s="276"/>
      <c r="W43" s="276"/>
      <c r="X43" s="277">
        <f t="shared" ref="X43:X94" si="4">YEAR(G43)</f>
        <v>2005</v>
      </c>
      <c r="Y43" s="277">
        <f t="shared" ref="Y43:Y94" si="5">MONTH(G43)</f>
        <v>9</v>
      </c>
      <c r="Z43" s="278"/>
      <c r="AA43" s="278"/>
      <c r="AB43" s="278"/>
      <c r="AC43" s="278"/>
      <c r="AD43" s="278"/>
      <c r="AE43" s="278"/>
    </row>
    <row r="44" spans="1:31" s="260" customFormat="1" ht="11.25" customHeight="1" x14ac:dyDescent="0.2">
      <c r="A44" s="270"/>
      <c r="B44" s="271">
        <v>77</v>
      </c>
      <c r="C44" s="272" t="s">
        <v>44</v>
      </c>
      <c r="D44" s="272"/>
      <c r="E44" s="272"/>
      <c r="F44" s="272"/>
      <c r="G44" s="273">
        <v>38650</v>
      </c>
      <c r="H44" s="276">
        <v>707.78</v>
      </c>
      <c r="I44" s="276"/>
      <c r="J44" s="276"/>
      <c r="K44" s="280" t="s">
        <v>22</v>
      </c>
      <c r="L44" s="275">
        <v>8</v>
      </c>
      <c r="M44" s="276">
        <v>0</v>
      </c>
      <c r="N44" s="276"/>
      <c r="O44" s="276">
        <v>707.78</v>
      </c>
      <c r="P44" s="276"/>
      <c r="Q44" s="276">
        <v>0</v>
      </c>
      <c r="R44" s="276"/>
      <c r="S44" s="276">
        <v>707.78</v>
      </c>
      <c r="T44" s="276"/>
      <c r="U44" s="276">
        <v>0</v>
      </c>
      <c r="V44" s="276"/>
      <c r="W44" s="276"/>
      <c r="X44" s="277">
        <f t="shared" si="4"/>
        <v>2005</v>
      </c>
      <c r="Y44" s="277">
        <f t="shared" si="5"/>
        <v>10</v>
      </c>
      <c r="Z44" s="278"/>
      <c r="AA44" s="278"/>
      <c r="AB44" s="278"/>
      <c r="AC44" s="278"/>
      <c r="AD44" s="278"/>
      <c r="AE44" s="278"/>
    </row>
    <row r="45" spans="1:31" s="260" customFormat="1" ht="11.25" customHeight="1" x14ac:dyDescent="0.2">
      <c r="A45" s="270"/>
      <c r="B45" s="271">
        <v>87</v>
      </c>
      <c r="C45" s="272" t="s">
        <v>45</v>
      </c>
      <c r="D45" s="272"/>
      <c r="E45" s="272"/>
      <c r="F45" s="272"/>
      <c r="G45" s="273">
        <v>38805</v>
      </c>
      <c r="H45" s="276">
        <v>546.58000000000004</v>
      </c>
      <c r="I45" s="276"/>
      <c r="J45" s="276"/>
      <c r="K45" s="280" t="s">
        <v>22</v>
      </c>
      <c r="L45" s="275">
        <v>8</v>
      </c>
      <c r="M45" s="276">
        <v>0</v>
      </c>
      <c r="N45" s="276"/>
      <c r="O45" s="276">
        <v>546.58000000000004</v>
      </c>
      <c r="P45" s="276"/>
      <c r="Q45" s="276">
        <v>0</v>
      </c>
      <c r="R45" s="276"/>
      <c r="S45" s="276">
        <v>546.58000000000004</v>
      </c>
      <c r="T45" s="276"/>
      <c r="U45" s="276">
        <v>0</v>
      </c>
      <c r="V45" s="276"/>
      <c r="W45" s="276"/>
      <c r="X45" s="277">
        <f t="shared" si="4"/>
        <v>2006</v>
      </c>
      <c r="Y45" s="277">
        <f t="shared" si="5"/>
        <v>3</v>
      </c>
      <c r="Z45" s="278"/>
      <c r="AA45" s="278"/>
      <c r="AB45" s="278"/>
      <c r="AC45" s="278"/>
      <c r="AD45" s="278"/>
      <c r="AE45" s="278"/>
    </row>
    <row r="46" spans="1:31" s="260" customFormat="1" ht="11.25" customHeight="1" x14ac:dyDescent="0.2">
      <c r="A46" s="270"/>
      <c r="B46" s="271">
        <v>88</v>
      </c>
      <c r="C46" s="272" t="s">
        <v>44</v>
      </c>
      <c r="D46" s="272"/>
      <c r="E46" s="272"/>
      <c r="F46" s="272"/>
      <c r="G46" s="273">
        <v>38894</v>
      </c>
      <c r="H46" s="276">
        <v>702.74</v>
      </c>
      <c r="I46" s="276"/>
      <c r="J46" s="276"/>
      <c r="K46" s="280" t="s">
        <v>22</v>
      </c>
      <c r="L46" s="275">
        <v>8</v>
      </c>
      <c r="M46" s="276">
        <v>0</v>
      </c>
      <c r="N46" s="276"/>
      <c r="O46" s="276">
        <v>702.74</v>
      </c>
      <c r="P46" s="276"/>
      <c r="Q46" s="276">
        <v>0</v>
      </c>
      <c r="R46" s="276"/>
      <c r="S46" s="276">
        <v>702.74</v>
      </c>
      <c r="T46" s="276"/>
      <c r="U46" s="276">
        <v>0</v>
      </c>
      <c r="V46" s="276"/>
      <c r="W46" s="276"/>
      <c r="X46" s="277">
        <f t="shared" si="4"/>
        <v>2006</v>
      </c>
      <c r="Y46" s="277">
        <f t="shared" si="5"/>
        <v>6</v>
      </c>
      <c r="Z46" s="278"/>
      <c r="AA46" s="278"/>
      <c r="AB46" s="278"/>
      <c r="AC46" s="278"/>
      <c r="AD46" s="278"/>
      <c r="AE46" s="278"/>
    </row>
    <row r="47" spans="1:31" s="260" customFormat="1" ht="11.25" customHeight="1" x14ac:dyDescent="0.2">
      <c r="A47" s="270"/>
      <c r="B47" s="271">
        <v>89</v>
      </c>
      <c r="C47" s="272" t="s">
        <v>46</v>
      </c>
      <c r="D47" s="272"/>
      <c r="E47" s="272"/>
      <c r="F47" s="272"/>
      <c r="G47" s="273">
        <v>38894</v>
      </c>
      <c r="H47" s="276">
        <v>606.89</v>
      </c>
      <c r="I47" s="276"/>
      <c r="J47" s="276"/>
      <c r="K47" s="280" t="s">
        <v>22</v>
      </c>
      <c r="L47" s="275">
        <v>8</v>
      </c>
      <c r="M47" s="276">
        <v>0</v>
      </c>
      <c r="N47" s="276"/>
      <c r="O47" s="276">
        <v>606.89</v>
      </c>
      <c r="P47" s="276"/>
      <c r="Q47" s="276">
        <v>0</v>
      </c>
      <c r="R47" s="276"/>
      <c r="S47" s="276">
        <v>606.89</v>
      </c>
      <c r="T47" s="276"/>
      <c r="U47" s="276">
        <v>0</v>
      </c>
      <c r="V47" s="276"/>
      <c r="W47" s="276"/>
      <c r="X47" s="277">
        <f t="shared" si="4"/>
        <v>2006</v>
      </c>
      <c r="Y47" s="277">
        <f t="shared" si="5"/>
        <v>6</v>
      </c>
      <c r="Z47" s="278"/>
      <c r="AA47" s="278"/>
      <c r="AB47" s="278"/>
      <c r="AC47" s="278"/>
      <c r="AD47" s="278"/>
      <c r="AE47" s="278"/>
    </row>
    <row r="48" spans="1:31" s="260" customFormat="1" ht="11.25" customHeight="1" x14ac:dyDescent="0.2">
      <c r="A48" s="270"/>
      <c r="B48" s="271">
        <v>90</v>
      </c>
      <c r="C48" s="272" t="s">
        <v>47</v>
      </c>
      <c r="D48" s="272"/>
      <c r="E48" s="272"/>
      <c r="F48" s="272"/>
      <c r="G48" s="273">
        <v>38894</v>
      </c>
      <c r="H48" s="276">
        <v>919.22</v>
      </c>
      <c r="I48" s="276"/>
      <c r="J48" s="276"/>
      <c r="K48" s="280" t="s">
        <v>22</v>
      </c>
      <c r="L48" s="275">
        <v>8</v>
      </c>
      <c r="M48" s="276">
        <v>0</v>
      </c>
      <c r="N48" s="276"/>
      <c r="O48" s="276">
        <v>919.22</v>
      </c>
      <c r="P48" s="276"/>
      <c r="Q48" s="276">
        <v>0</v>
      </c>
      <c r="R48" s="276"/>
      <c r="S48" s="276">
        <v>919.22</v>
      </c>
      <c r="T48" s="276"/>
      <c r="U48" s="276">
        <v>0</v>
      </c>
      <c r="V48" s="276"/>
      <c r="W48" s="276"/>
      <c r="X48" s="277">
        <f t="shared" si="4"/>
        <v>2006</v>
      </c>
      <c r="Y48" s="277">
        <f t="shared" si="5"/>
        <v>6</v>
      </c>
      <c r="Z48" s="278"/>
      <c r="AA48" s="278"/>
      <c r="AB48" s="278"/>
      <c r="AC48" s="278"/>
      <c r="AD48" s="278"/>
      <c r="AE48" s="278"/>
    </row>
    <row r="49" spans="1:31" s="260" customFormat="1" ht="11.25" customHeight="1" x14ac:dyDescent="0.2">
      <c r="A49" s="270"/>
      <c r="B49" s="271">
        <v>91</v>
      </c>
      <c r="C49" s="272" t="s">
        <v>44</v>
      </c>
      <c r="D49" s="272"/>
      <c r="E49" s="272"/>
      <c r="F49" s="272"/>
      <c r="G49" s="273">
        <v>38894</v>
      </c>
      <c r="H49" s="276">
        <v>663.97</v>
      </c>
      <c r="I49" s="276"/>
      <c r="J49" s="276"/>
      <c r="K49" s="280" t="s">
        <v>22</v>
      </c>
      <c r="L49" s="275">
        <v>8</v>
      </c>
      <c r="M49" s="276">
        <v>0</v>
      </c>
      <c r="N49" s="276"/>
      <c r="O49" s="276">
        <v>663.97</v>
      </c>
      <c r="P49" s="276"/>
      <c r="Q49" s="276">
        <v>0</v>
      </c>
      <c r="R49" s="276"/>
      <c r="S49" s="276">
        <v>663.97</v>
      </c>
      <c r="T49" s="276"/>
      <c r="U49" s="276">
        <v>0</v>
      </c>
      <c r="V49" s="276"/>
      <c r="W49" s="276"/>
      <c r="X49" s="277">
        <f t="shared" si="4"/>
        <v>2006</v>
      </c>
      <c r="Y49" s="277">
        <f t="shared" si="5"/>
        <v>6</v>
      </c>
      <c r="Z49" s="278"/>
      <c r="AA49" s="278"/>
      <c r="AB49" s="278"/>
      <c r="AC49" s="278"/>
      <c r="AD49" s="278"/>
      <c r="AE49" s="278"/>
    </row>
    <row r="50" spans="1:31" s="260" customFormat="1" ht="11.25" customHeight="1" x14ac:dyDescent="0.2">
      <c r="A50" s="270"/>
      <c r="B50" s="271">
        <v>92</v>
      </c>
      <c r="C50" s="272" t="s">
        <v>47</v>
      </c>
      <c r="D50" s="272"/>
      <c r="E50" s="272"/>
      <c r="F50" s="272"/>
      <c r="G50" s="273">
        <v>38894</v>
      </c>
      <c r="H50" s="276">
        <v>919.22</v>
      </c>
      <c r="I50" s="276"/>
      <c r="J50" s="276"/>
      <c r="K50" s="280" t="s">
        <v>22</v>
      </c>
      <c r="L50" s="275">
        <v>8</v>
      </c>
      <c r="M50" s="276">
        <v>0</v>
      </c>
      <c r="N50" s="276"/>
      <c r="O50" s="276">
        <v>919.22</v>
      </c>
      <c r="P50" s="276"/>
      <c r="Q50" s="276">
        <v>0</v>
      </c>
      <c r="R50" s="276"/>
      <c r="S50" s="276">
        <v>919.22</v>
      </c>
      <c r="T50" s="276"/>
      <c r="U50" s="276">
        <v>0</v>
      </c>
      <c r="V50" s="276"/>
      <c r="W50" s="276"/>
      <c r="X50" s="277">
        <f t="shared" si="4"/>
        <v>2006</v>
      </c>
      <c r="Y50" s="277">
        <f t="shared" si="5"/>
        <v>6</v>
      </c>
      <c r="Z50" s="278"/>
      <c r="AA50" s="278"/>
      <c r="AB50" s="278"/>
      <c r="AC50" s="278"/>
      <c r="AD50" s="278"/>
      <c r="AE50" s="278"/>
    </row>
    <row r="51" spans="1:31" s="260" customFormat="1" ht="11.25" customHeight="1" x14ac:dyDescent="0.2">
      <c r="A51" s="270"/>
      <c r="B51" s="271">
        <v>93</v>
      </c>
      <c r="C51" s="272" t="s">
        <v>48</v>
      </c>
      <c r="D51" s="272"/>
      <c r="E51" s="272"/>
      <c r="F51" s="272"/>
      <c r="G51" s="273">
        <v>38923</v>
      </c>
      <c r="H51" s="274">
        <v>2757.66</v>
      </c>
      <c r="I51" s="274"/>
      <c r="J51" s="274"/>
      <c r="K51" s="280" t="s">
        <v>22</v>
      </c>
      <c r="L51" s="275">
        <v>8</v>
      </c>
      <c r="M51" s="276">
        <v>0</v>
      </c>
      <c r="N51" s="276"/>
      <c r="O51" s="274">
        <v>2757.66</v>
      </c>
      <c r="P51" s="274"/>
      <c r="Q51" s="276">
        <v>0</v>
      </c>
      <c r="R51" s="276"/>
      <c r="S51" s="274">
        <v>2757.66</v>
      </c>
      <c r="T51" s="274"/>
      <c r="U51" s="276">
        <v>0</v>
      </c>
      <c r="V51" s="276"/>
      <c r="W51" s="276"/>
      <c r="X51" s="277">
        <f t="shared" si="4"/>
        <v>2006</v>
      </c>
      <c r="Y51" s="277">
        <f t="shared" si="5"/>
        <v>7</v>
      </c>
      <c r="Z51" s="278"/>
      <c r="AA51" s="278"/>
      <c r="AB51" s="278"/>
      <c r="AC51" s="278"/>
      <c r="AD51" s="278"/>
      <c r="AE51" s="278"/>
    </row>
    <row r="52" spans="1:31" s="260" customFormat="1" ht="11.25" customHeight="1" x14ac:dyDescent="0.2">
      <c r="A52" s="270"/>
      <c r="B52" s="271">
        <v>94</v>
      </c>
      <c r="C52" s="272" t="s">
        <v>49</v>
      </c>
      <c r="D52" s="272"/>
      <c r="E52" s="272"/>
      <c r="F52" s="272"/>
      <c r="G52" s="273">
        <v>39047</v>
      </c>
      <c r="H52" s="274">
        <v>2739.89</v>
      </c>
      <c r="I52" s="274"/>
      <c r="J52" s="274"/>
      <c r="K52" s="280" t="s">
        <v>22</v>
      </c>
      <c r="L52" s="275">
        <v>8</v>
      </c>
      <c r="M52" s="276">
        <v>0</v>
      </c>
      <c r="N52" s="276"/>
      <c r="O52" s="274">
        <v>2739.89</v>
      </c>
      <c r="P52" s="274"/>
      <c r="Q52" s="276">
        <v>0</v>
      </c>
      <c r="R52" s="276"/>
      <c r="S52" s="274">
        <v>2739.89</v>
      </c>
      <c r="T52" s="274"/>
      <c r="U52" s="276">
        <v>0</v>
      </c>
      <c r="V52" s="276"/>
      <c r="W52" s="276"/>
      <c r="X52" s="277">
        <f t="shared" si="4"/>
        <v>2006</v>
      </c>
      <c r="Y52" s="277">
        <f t="shared" si="5"/>
        <v>11</v>
      </c>
      <c r="Z52" s="278"/>
      <c r="AA52" s="278"/>
      <c r="AB52" s="278"/>
      <c r="AC52" s="278"/>
      <c r="AD52" s="278"/>
      <c r="AE52" s="278"/>
    </row>
    <row r="53" spans="1:31" s="260" customFormat="1" ht="11.25" customHeight="1" x14ac:dyDescent="0.2">
      <c r="A53" s="270"/>
      <c r="B53" s="271">
        <v>105</v>
      </c>
      <c r="C53" s="272" t="s">
        <v>50</v>
      </c>
      <c r="D53" s="272"/>
      <c r="E53" s="272"/>
      <c r="F53" s="272"/>
      <c r="G53" s="273">
        <v>39140</v>
      </c>
      <c r="H53" s="276">
        <v>835.75</v>
      </c>
      <c r="I53" s="276"/>
      <c r="J53" s="276"/>
      <c r="K53" s="280" t="s">
        <v>22</v>
      </c>
      <c r="L53" s="275">
        <v>8</v>
      </c>
      <c r="M53" s="276">
        <v>0</v>
      </c>
      <c r="N53" s="276"/>
      <c r="O53" s="276">
        <v>835.75</v>
      </c>
      <c r="P53" s="276"/>
      <c r="Q53" s="276">
        <v>0</v>
      </c>
      <c r="R53" s="276"/>
      <c r="S53" s="276">
        <v>835.75</v>
      </c>
      <c r="T53" s="276"/>
      <c r="U53" s="276">
        <v>0</v>
      </c>
      <c r="V53" s="276"/>
      <c r="W53" s="276"/>
      <c r="X53" s="277">
        <f t="shared" si="4"/>
        <v>2007</v>
      </c>
      <c r="Y53" s="277">
        <f t="shared" si="5"/>
        <v>2</v>
      </c>
      <c r="Z53" s="278"/>
      <c r="AA53" s="278"/>
      <c r="AB53" s="278"/>
      <c r="AC53" s="278"/>
      <c r="AD53" s="278"/>
      <c r="AE53" s="278"/>
    </row>
    <row r="54" spans="1:31" s="260" customFormat="1" ht="11.25" customHeight="1" x14ac:dyDescent="0.2">
      <c r="A54" s="270"/>
      <c r="B54" s="271">
        <v>106</v>
      </c>
      <c r="C54" s="272" t="s">
        <v>51</v>
      </c>
      <c r="D54" s="272"/>
      <c r="E54" s="272"/>
      <c r="F54" s="272"/>
      <c r="G54" s="273">
        <v>39140</v>
      </c>
      <c r="H54" s="274">
        <v>1009.15</v>
      </c>
      <c r="I54" s="274"/>
      <c r="J54" s="274"/>
      <c r="K54" s="280" t="s">
        <v>22</v>
      </c>
      <c r="L54" s="275">
        <v>8</v>
      </c>
      <c r="M54" s="276">
        <v>0</v>
      </c>
      <c r="N54" s="276"/>
      <c r="O54" s="274">
        <v>1009.15</v>
      </c>
      <c r="P54" s="274"/>
      <c r="Q54" s="276">
        <v>0</v>
      </c>
      <c r="R54" s="276"/>
      <c r="S54" s="274">
        <v>1009.15</v>
      </c>
      <c r="T54" s="274"/>
      <c r="U54" s="276">
        <v>0</v>
      </c>
      <c r="V54" s="276"/>
      <c r="W54" s="276"/>
      <c r="X54" s="277">
        <f t="shared" si="4"/>
        <v>2007</v>
      </c>
      <c r="Y54" s="277">
        <f t="shared" si="5"/>
        <v>2</v>
      </c>
      <c r="Z54" s="278"/>
      <c r="AA54" s="278"/>
      <c r="AB54" s="278"/>
      <c r="AC54" s="278"/>
      <c r="AD54" s="278"/>
      <c r="AE54" s="278"/>
    </row>
    <row r="55" spans="1:31" s="260" customFormat="1" ht="11.25" customHeight="1" x14ac:dyDescent="0.2">
      <c r="A55" s="270"/>
      <c r="B55" s="271">
        <v>107</v>
      </c>
      <c r="C55" s="272" t="s">
        <v>52</v>
      </c>
      <c r="D55" s="272"/>
      <c r="E55" s="272"/>
      <c r="F55" s="272"/>
      <c r="G55" s="273">
        <v>39227</v>
      </c>
      <c r="H55" s="276">
        <v>606.89</v>
      </c>
      <c r="I55" s="276"/>
      <c r="J55" s="276"/>
      <c r="K55" s="280" t="s">
        <v>22</v>
      </c>
      <c r="L55" s="275">
        <v>8</v>
      </c>
      <c r="M55" s="276">
        <v>0</v>
      </c>
      <c r="N55" s="276"/>
      <c r="O55" s="276">
        <v>606.89</v>
      </c>
      <c r="P55" s="276"/>
      <c r="Q55" s="276">
        <v>0</v>
      </c>
      <c r="R55" s="276"/>
      <c r="S55" s="276">
        <v>606.89</v>
      </c>
      <c r="T55" s="276"/>
      <c r="U55" s="276">
        <v>0</v>
      </c>
      <c r="V55" s="276"/>
      <c r="W55" s="276"/>
      <c r="X55" s="277">
        <f t="shared" si="4"/>
        <v>2007</v>
      </c>
      <c r="Y55" s="277">
        <f t="shared" si="5"/>
        <v>5</v>
      </c>
      <c r="Z55" s="278"/>
      <c r="AA55" s="278"/>
      <c r="AB55" s="278"/>
      <c r="AC55" s="278"/>
      <c r="AD55" s="278"/>
      <c r="AE55" s="278"/>
    </row>
    <row r="56" spans="1:31" s="260" customFormat="1" ht="11.25" customHeight="1" x14ac:dyDescent="0.2">
      <c r="A56" s="270"/>
      <c r="B56" s="271">
        <v>108</v>
      </c>
      <c r="C56" s="272" t="s">
        <v>53</v>
      </c>
      <c r="D56" s="272"/>
      <c r="E56" s="272"/>
      <c r="F56" s="272"/>
      <c r="G56" s="273">
        <v>39227</v>
      </c>
      <c r="H56" s="276">
        <v>702.74</v>
      </c>
      <c r="I56" s="276"/>
      <c r="J56" s="276"/>
      <c r="K56" s="280" t="s">
        <v>22</v>
      </c>
      <c r="L56" s="275">
        <v>8</v>
      </c>
      <c r="M56" s="276">
        <v>0</v>
      </c>
      <c r="N56" s="276"/>
      <c r="O56" s="276">
        <v>702.74</v>
      </c>
      <c r="P56" s="276"/>
      <c r="Q56" s="276">
        <v>0</v>
      </c>
      <c r="R56" s="276"/>
      <c r="S56" s="276">
        <v>702.74</v>
      </c>
      <c r="T56" s="276"/>
      <c r="U56" s="276">
        <v>0</v>
      </c>
      <c r="V56" s="276"/>
      <c r="W56" s="276"/>
      <c r="X56" s="277">
        <f t="shared" si="4"/>
        <v>2007</v>
      </c>
      <c r="Y56" s="277">
        <f t="shared" si="5"/>
        <v>5</v>
      </c>
      <c r="Z56" s="278"/>
      <c r="AA56" s="278"/>
      <c r="AB56" s="278"/>
      <c r="AC56" s="278"/>
      <c r="AD56" s="278"/>
      <c r="AE56" s="278"/>
    </row>
    <row r="57" spans="1:31" s="260" customFormat="1" ht="15" customHeight="1" x14ac:dyDescent="0.2">
      <c r="A57" s="270"/>
      <c r="B57" s="271">
        <v>112</v>
      </c>
      <c r="C57" s="272" t="s">
        <v>54</v>
      </c>
      <c r="D57" s="272"/>
      <c r="E57" s="281"/>
      <c r="F57" s="281"/>
      <c r="G57" s="281">
        <v>39294</v>
      </c>
      <c r="H57" s="274">
        <v>1010.23</v>
      </c>
      <c r="I57" s="274"/>
      <c r="J57" s="274"/>
      <c r="K57" s="280" t="s">
        <v>22</v>
      </c>
      <c r="L57" s="275">
        <v>8</v>
      </c>
      <c r="M57" s="276">
        <v>0</v>
      </c>
      <c r="N57" s="276"/>
      <c r="O57" s="274">
        <v>1010.23</v>
      </c>
      <c r="P57" s="274"/>
      <c r="Q57" s="276">
        <v>0</v>
      </c>
      <c r="R57" s="276"/>
      <c r="S57" s="274">
        <v>1010.23</v>
      </c>
      <c r="T57" s="274"/>
      <c r="U57" s="276">
        <v>0</v>
      </c>
      <c r="V57" s="276"/>
      <c r="W57" s="276"/>
      <c r="X57" s="277">
        <f t="shared" si="4"/>
        <v>2007</v>
      </c>
      <c r="Y57" s="277">
        <f t="shared" si="5"/>
        <v>7</v>
      </c>
      <c r="Z57" s="278"/>
      <c r="AA57" s="278"/>
      <c r="AB57" s="278"/>
      <c r="AC57" s="278"/>
      <c r="AD57" s="278"/>
      <c r="AE57" s="278"/>
    </row>
    <row r="58" spans="1:31" s="260" customFormat="1" ht="11.25" customHeight="1" x14ac:dyDescent="0.2">
      <c r="A58" s="270"/>
      <c r="B58" s="271">
        <v>113</v>
      </c>
      <c r="C58" s="272" t="s">
        <v>55</v>
      </c>
      <c r="D58" s="272"/>
      <c r="E58" s="281"/>
      <c r="F58" s="281"/>
      <c r="G58" s="281">
        <v>39294</v>
      </c>
      <c r="H58" s="274">
        <v>1213.78</v>
      </c>
      <c r="I58" s="274"/>
      <c r="J58" s="274"/>
      <c r="K58" s="280" t="s">
        <v>22</v>
      </c>
      <c r="L58" s="275">
        <v>8</v>
      </c>
      <c r="M58" s="276">
        <v>0</v>
      </c>
      <c r="N58" s="276"/>
      <c r="O58" s="274">
        <v>1213.78</v>
      </c>
      <c r="P58" s="274"/>
      <c r="Q58" s="276">
        <v>0</v>
      </c>
      <c r="R58" s="276"/>
      <c r="S58" s="274">
        <v>1213.78</v>
      </c>
      <c r="T58" s="274"/>
      <c r="U58" s="276">
        <v>0</v>
      </c>
      <c r="V58" s="276"/>
      <c r="W58" s="276"/>
      <c r="X58" s="277">
        <f t="shared" si="4"/>
        <v>2007</v>
      </c>
      <c r="Y58" s="277">
        <f t="shared" si="5"/>
        <v>7</v>
      </c>
      <c r="Z58" s="278"/>
      <c r="AA58" s="278"/>
      <c r="AB58" s="278"/>
      <c r="AC58" s="278"/>
      <c r="AD58" s="278"/>
      <c r="AE58" s="278"/>
    </row>
    <row r="59" spans="1:31" s="260" customFormat="1" ht="11.25" customHeight="1" x14ac:dyDescent="0.2">
      <c r="A59" s="270"/>
      <c r="B59" s="271">
        <v>115</v>
      </c>
      <c r="C59" s="272" t="s">
        <v>56</v>
      </c>
      <c r="D59" s="272"/>
      <c r="E59" s="281"/>
      <c r="F59" s="281"/>
      <c r="G59" s="281">
        <v>39294</v>
      </c>
      <c r="H59" s="276">
        <v>606.89</v>
      </c>
      <c r="I59" s="276"/>
      <c r="J59" s="276"/>
      <c r="K59" s="280" t="s">
        <v>22</v>
      </c>
      <c r="L59" s="275">
        <v>8</v>
      </c>
      <c r="M59" s="276">
        <v>0</v>
      </c>
      <c r="N59" s="276"/>
      <c r="O59" s="276">
        <v>606.89</v>
      </c>
      <c r="P59" s="276"/>
      <c r="Q59" s="276">
        <v>0</v>
      </c>
      <c r="R59" s="276"/>
      <c r="S59" s="276">
        <v>606.89</v>
      </c>
      <c r="T59" s="276"/>
      <c r="U59" s="276">
        <v>0</v>
      </c>
      <c r="V59" s="276"/>
      <c r="W59" s="276"/>
      <c r="X59" s="277">
        <f t="shared" si="4"/>
        <v>2007</v>
      </c>
      <c r="Y59" s="277">
        <f t="shared" si="5"/>
        <v>7</v>
      </c>
      <c r="Z59" s="278"/>
      <c r="AA59" s="278"/>
      <c r="AB59" s="278"/>
      <c r="AC59" s="278"/>
      <c r="AD59" s="278"/>
      <c r="AE59" s="278"/>
    </row>
    <row r="60" spans="1:31" s="260" customFormat="1" ht="11.25" customHeight="1" x14ac:dyDescent="0.2">
      <c r="A60" s="270"/>
      <c r="B60" s="271">
        <v>116</v>
      </c>
      <c r="C60" s="272" t="s">
        <v>57</v>
      </c>
      <c r="D60" s="272"/>
      <c r="E60" s="281"/>
      <c r="F60" s="281"/>
      <c r="G60" s="281">
        <v>39294</v>
      </c>
      <c r="H60" s="276">
        <v>702.74</v>
      </c>
      <c r="I60" s="276"/>
      <c r="J60" s="276"/>
      <c r="K60" s="280" t="s">
        <v>22</v>
      </c>
      <c r="L60" s="275">
        <v>8</v>
      </c>
      <c r="M60" s="276">
        <v>0</v>
      </c>
      <c r="N60" s="276"/>
      <c r="O60" s="276">
        <v>702.74</v>
      </c>
      <c r="P60" s="276"/>
      <c r="Q60" s="276">
        <v>0</v>
      </c>
      <c r="R60" s="276"/>
      <c r="S60" s="276">
        <v>702.74</v>
      </c>
      <c r="T60" s="276"/>
      <c r="U60" s="276">
        <v>0</v>
      </c>
      <c r="V60" s="276"/>
      <c r="W60" s="276"/>
      <c r="X60" s="277">
        <f t="shared" si="4"/>
        <v>2007</v>
      </c>
      <c r="Y60" s="277">
        <f t="shared" si="5"/>
        <v>7</v>
      </c>
      <c r="Z60" s="278"/>
      <c r="AA60" s="278"/>
      <c r="AB60" s="278"/>
      <c r="AC60" s="278"/>
      <c r="AD60" s="278"/>
      <c r="AE60" s="278"/>
    </row>
    <row r="61" spans="1:31" s="260" customFormat="1" ht="11.25" customHeight="1" x14ac:dyDescent="0.2">
      <c r="A61" s="270"/>
      <c r="B61" s="271">
        <v>117</v>
      </c>
      <c r="C61" s="272" t="s">
        <v>26</v>
      </c>
      <c r="D61" s="272"/>
      <c r="E61" s="281"/>
      <c r="F61" s="281"/>
      <c r="G61" s="281">
        <v>39336</v>
      </c>
      <c r="H61" s="276">
        <v>835.32</v>
      </c>
      <c r="I61" s="276"/>
      <c r="J61" s="276"/>
      <c r="K61" s="280" t="s">
        <v>22</v>
      </c>
      <c r="L61" s="275">
        <v>8</v>
      </c>
      <c r="M61" s="276">
        <v>0</v>
      </c>
      <c r="N61" s="276"/>
      <c r="O61" s="276">
        <v>835.32</v>
      </c>
      <c r="P61" s="276"/>
      <c r="Q61" s="276">
        <v>0</v>
      </c>
      <c r="R61" s="276"/>
      <c r="S61" s="276">
        <v>835.32</v>
      </c>
      <c r="T61" s="276"/>
      <c r="U61" s="276">
        <v>0</v>
      </c>
      <c r="V61" s="276"/>
      <c r="W61" s="276"/>
      <c r="X61" s="277">
        <f t="shared" si="4"/>
        <v>2007</v>
      </c>
      <c r="Y61" s="277">
        <f t="shared" si="5"/>
        <v>9</v>
      </c>
      <c r="Z61" s="278"/>
      <c r="AA61" s="278"/>
      <c r="AB61" s="278"/>
      <c r="AC61" s="278"/>
      <c r="AD61" s="278"/>
      <c r="AE61" s="278"/>
    </row>
    <row r="62" spans="1:31" s="260" customFormat="1" ht="11.25" customHeight="1" x14ac:dyDescent="0.2">
      <c r="A62" s="270"/>
      <c r="B62" s="271">
        <v>118</v>
      </c>
      <c r="C62" s="272" t="s">
        <v>26</v>
      </c>
      <c r="D62" s="272"/>
      <c r="E62" s="281"/>
      <c r="F62" s="281"/>
      <c r="G62" s="281">
        <v>39336</v>
      </c>
      <c r="H62" s="276">
        <v>835.32</v>
      </c>
      <c r="I62" s="276"/>
      <c r="J62" s="276"/>
      <c r="K62" s="280" t="s">
        <v>22</v>
      </c>
      <c r="L62" s="275">
        <v>8</v>
      </c>
      <c r="M62" s="276">
        <v>0</v>
      </c>
      <c r="N62" s="276"/>
      <c r="O62" s="276">
        <v>835.32</v>
      </c>
      <c r="P62" s="276"/>
      <c r="Q62" s="276">
        <v>0</v>
      </c>
      <c r="R62" s="276"/>
      <c r="S62" s="276">
        <v>835.32</v>
      </c>
      <c r="T62" s="276"/>
      <c r="U62" s="276">
        <v>0</v>
      </c>
      <c r="V62" s="276"/>
      <c r="W62" s="276"/>
      <c r="X62" s="277">
        <f t="shared" si="4"/>
        <v>2007</v>
      </c>
      <c r="Y62" s="277">
        <f t="shared" si="5"/>
        <v>9</v>
      </c>
      <c r="Z62" s="278"/>
      <c r="AA62" s="278"/>
      <c r="AB62" s="278"/>
      <c r="AC62" s="278"/>
      <c r="AD62" s="278"/>
      <c r="AE62" s="278"/>
    </row>
    <row r="63" spans="1:31" s="260" customFormat="1" ht="11.25" customHeight="1" x14ac:dyDescent="0.2">
      <c r="A63" s="270"/>
      <c r="B63" s="271">
        <v>119</v>
      </c>
      <c r="C63" s="272" t="s">
        <v>48</v>
      </c>
      <c r="D63" s="272"/>
      <c r="E63" s="281"/>
      <c r="F63" s="281"/>
      <c r="G63" s="281">
        <v>39336</v>
      </c>
      <c r="H63" s="274">
        <v>2757.66</v>
      </c>
      <c r="I63" s="274"/>
      <c r="J63" s="274"/>
      <c r="K63" s="280" t="s">
        <v>22</v>
      </c>
      <c r="L63" s="275">
        <v>8</v>
      </c>
      <c r="M63" s="276">
        <v>0</v>
      </c>
      <c r="N63" s="276"/>
      <c r="O63" s="274">
        <v>2757.66</v>
      </c>
      <c r="P63" s="274"/>
      <c r="Q63" s="276">
        <v>0</v>
      </c>
      <c r="R63" s="276"/>
      <c r="S63" s="274">
        <v>2757.66</v>
      </c>
      <c r="T63" s="274"/>
      <c r="U63" s="276">
        <v>0</v>
      </c>
      <c r="V63" s="276"/>
      <c r="W63" s="276"/>
      <c r="X63" s="277">
        <f t="shared" si="4"/>
        <v>2007</v>
      </c>
      <c r="Y63" s="277">
        <f t="shared" si="5"/>
        <v>9</v>
      </c>
      <c r="Z63" s="278"/>
      <c r="AA63" s="278"/>
      <c r="AB63" s="278"/>
      <c r="AC63" s="278"/>
      <c r="AD63" s="278"/>
      <c r="AE63" s="278"/>
    </row>
    <row r="64" spans="1:31" s="260" customFormat="1" ht="11.25" customHeight="1" x14ac:dyDescent="0.2">
      <c r="A64" s="270"/>
      <c r="B64" s="271">
        <v>120</v>
      </c>
      <c r="C64" s="272" t="s">
        <v>56</v>
      </c>
      <c r="D64" s="272"/>
      <c r="E64" s="281"/>
      <c r="F64" s="281"/>
      <c r="G64" s="281">
        <v>39336</v>
      </c>
      <c r="H64" s="276">
        <v>606.89</v>
      </c>
      <c r="I64" s="276"/>
      <c r="J64" s="276"/>
      <c r="K64" s="280" t="s">
        <v>22</v>
      </c>
      <c r="L64" s="275">
        <v>8</v>
      </c>
      <c r="M64" s="276">
        <v>0</v>
      </c>
      <c r="N64" s="276"/>
      <c r="O64" s="276">
        <v>606.89</v>
      </c>
      <c r="P64" s="276"/>
      <c r="Q64" s="276">
        <v>0</v>
      </c>
      <c r="R64" s="276"/>
      <c r="S64" s="276">
        <v>606.89</v>
      </c>
      <c r="T64" s="276"/>
      <c r="U64" s="276">
        <v>0</v>
      </c>
      <c r="V64" s="276"/>
      <c r="W64" s="276"/>
      <c r="X64" s="277">
        <f t="shared" si="4"/>
        <v>2007</v>
      </c>
      <c r="Y64" s="277">
        <f t="shared" si="5"/>
        <v>9</v>
      </c>
      <c r="Z64" s="278"/>
      <c r="AA64" s="278"/>
      <c r="AB64" s="278"/>
      <c r="AC64" s="278"/>
      <c r="AD64" s="278"/>
      <c r="AE64" s="278"/>
    </row>
    <row r="65" spans="1:31" s="260" customFormat="1" ht="11.25" customHeight="1" x14ac:dyDescent="0.2">
      <c r="A65" s="270"/>
      <c r="B65" s="271">
        <v>121</v>
      </c>
      <c r="C65" s="272" t="s">
        <v>58</v>
      </c>
      <c r="D65" s="272"/>
      <c r="E65" s="281"/>
      <c r="F65" s="281"/>
      <c r="G65" s="281">
        <v>39395</v>
      </c>
      <c r="H65" s="276">
        <v>546.58000000000004</v>
      </c>
      <c r="I65" s="276"/>
      <c r="J65" s="276"/>
      <c r="K65" s="280" t="s">
        <v>22</v>
      </c>
      <c r="L65" s="275">
        <v>8</v>
      </c>
      <c r="M65" s="276">
        <v>0</v>
      </c>
      <c r="N65" s="276"/>
      <c r="O65" s="276">
        <v>546.58000000000004</v>
      </c>
      <c r="P65" s="276"/>
      <c r="Q65" s="276">
        <v>0</v>
      </c>
      <c r="R65" s="276"/>
      <c r="S65" s="276">
        <v>546.58000000000004</v>
      </c>
      <c r="T65" s="276"/>
      <c r="U65" s="276">
        <v>0</v>
      </c>
      <c r="V65" s="276"/>
      <c r="W65" s="276"/>
      <c r="X65" s="277">
        <f t="shared" si="4"/>
        <v>2007</v>
      </c>
      <c r="Y65" s="277">
        <f t="shared" si="5"/>
        <v>11</v>
      </c>
      <c r="Z65" s="278"/>
      <c r="AA65" s="278"/>
      <c r="AB65" s="278"/>
      <c r="AC65" s="278"/>
      <c r="AD65" s="278"/>
      <c r="AE65" s="278"/>
    </row>
    <row r="66" spans="1:31" s="260" customFormat="1" ht="11.25" customHeight="1" x14ac:dyDescent="0.2">
      <c r="A66" s="270"/>
      <c r="B66" s="271">
        <v>122</v>
      </c>
      <c r="C66" s="272" t="s">
        <v>59</v>
      </c>
      <c r="D66" s="272"/>
      <c r="E66" s="281"/>
      <c r="F66" s="281"/>
      <c r="G66" s="281">
        <v>39395</v>
      </c>
      <c r="H66" s="274">
        <v>1670.64</v>
      </c>
      <c r="I66" s="274"/>
      <c r="J66" s="274"/>
      <c r="K66" s="280" t="s">
        <v>22</v>
      </c>
      <c r="L66" s="275">
        <v>8</v>
      </c>
      <c r="M66" s="276">
        <v>0</v>
      </c>
      <c r="N66" s="276"/>
      <c r="O66" s="274">
        <v>1670.64</v>
      </c>
      <c r="P66" s="274"/>
      <c r="Q66" s="276">
        <v>0</v>
      </c>
      <c r="R66" s="276"/>
      <c r="S66" s="274">
        <v>1670.64</v>
      </c>
      <c r="T66" s="274"/>
      <c r="U66" s="276">
        <v>0</v>
      </c>
      <c r="V66" s="276"/>
      <c r="W66" s="276"/>
      <c r="X66" s="277">
        <f t="shared" si="4"/>
        <v>2007</v>
      </c>
      <c r="Y66" s="277">
        <f t="shared" si="5"/>
        <v>11</v>
      </c>
      <c r="Z66" s="278"/>
      <c r="AA66" s="278"/>
      <c r="AB66" s="278"/>
      <c r="AC66" s="278"/>
      <c r="AD66" s="278"/>
      <c r="AE66" s="278"/>
    </row>
    <row r="67" spans="1:31" s="260" customFormat="1" ht="11.25" customHeight="1" x14ac:dyDescent="0.2">
      <c r="A67" s="270"/>
      <c r="B67" s="271">
        <v>130</v>
      </c>
      <c r="C67" s="272" t="s">
        <v>60</v>
      </c>
      <c r="D67" s="272"/>
      <c r="E67" s="281"/>
      <c r="F67" s="281"/>
      <c r="G67" s="281">
        <v>39458</v>
      </c>
      <c r="H67" s="276">
        <v>702.74</v>
      </c>
      <c r="I67" s="276"/>
      <c r="J67" s="276"/>
      <c r="K67" s="280" t="s">
        <v>22</v>
      </c>
      <c r="L67" s="275">
        <v>8</v>
      </c>
      <c r="M67" s="276">
        <v>0</v>
      </c>
      <c r="N67" s="276"/>
      <c r="O67" s="276">
        <v>702.74</v>
      </c>
      <c r="P67" s="276"/>
      <c r="Q67" s="276">
        <v>0</v>
      </c>
      <c r="R67" s="276"/>
      <c r="S67" s="276">
        <v>702.74</v>
      </c>
      <c r="T67" s="276"/>
      <c r="U67" s="276">
        <v>0</v>
      </c>
      <c r="V67" s="276"/>
      <c r="W67" s="276"/>
      <c r="X67" s="277">
        <f t="shared" si="4"/>
        <v>2008</v>
      </c>
      <c r="Y67" s="277">
        <f t="shared" si="5"/>
        <v>1</v>
      </c>
      <c r="Z67" s="278"/>
      <c r="AA67" s="278"/>
      <c r="AB67" s="278"/>
      <c r="AC67" s="278"/>
      <c r="AD67" s="278"/>
      <c r="AE67" s="278"/>
    </row>
    <row r="68" spans="1:31" s="260" customFormat="1" ht="11.25" customHeight="1" x14ac:dyDescent="0.2">
      <c r="A68" s="270"/>
      <c r="B68" s="271">
        <v>131</v>
      </c>
      <c r="C68" s="272" t="s">
        <v>61</v>
      </c>
      <c r="D68" s="272"/>
      <c r="E68" s="281"/>
      <c r="F68" s="281"/>
      <c r="G68" s="281">
        <v>39458</v>
      </c>
      <c r="H68" s="276">
        <v>835.32</v>
      </c>
      <c r="I68" s="276"/>
      <c r="J68" s="276"/>
      <c r="K68" s="280" t="s">
        <v>22</v>
      </c>
      <c r="L68" s="275">
        <v>8</v>
      </c>
      <c r="M68" s="276">
        <v>0</v>
      </c>
      <c r="N68" s="276"/>
      <c r="O68" s="276">
        <v>835.32</v>
      </c>
      <c r="P68" s="276"/>
      <c r="Q68" s="276">
        <v>0</v>
      </c>
      <c r="R68" s="276"/>
      <c r="S68" s="276">
        <v>835.32</v>
      </c>
      <c r="T68" s="276"/>
      <c r="U68" s="276">
        <v>0</v>
      </c>
      <c r="V68" s="276"/>
      <c r="W68" s="276"/>
      <c r="X68" s="277">
        <f t="shared" si="4"/>
        <v>2008</v>
      </c>
      <c r="Y68" s="277">
        <f t="shared" si="5"/>
        <v>1</v>
      </c>
      <c r="Z68" s="278"/>
      <c r="AA68" s="278"/>
      <c r="AB68" s="278"/>
      <c r="AC68" s="278"/>
      <c r="AD68" s="278"/>
      <c r="AE68" s="278"/>
    </row>
    <row r="69" spans="1:31" s="260" customFormat="1" ht="11.25" customHeight="1" x14ac:dyDescent="0.2">
      <c r="A69" s="270"/>
      <c r="B69" s="271">
        <v>132</v>
      </c>
      <c r="C69" s="272" t="s">
        <v>62</v>
      </c>
      <c r="D69" s="272"/>
      <c r="E69" s="281"/>
      <c r="F69" s="281"/>
      <c r="G69" s="281">
        <v>39458</v>
      </c>
      <c r="H69" s="276">
        <v>919.22</v>
      </c>
      <c r="I69" s="276"/>
      <c r="J69" s="276"/>
      <c r="K69" s="280" t="s">
        <v>22</v>
      </c>
      <c r="L69" s="275">
        <v>8</v>
      </c>
      <c r="M69" s="276">
        <v>0</v>
      </c>
      <c r="N69" s="276"/>
      <c r="O69" s="276">
        <v>919.22</v>
      </c>
      <c r="P69" s="276"/>
      <c r="Q69" s="276">
        <v>0</v>
      </c>
      <c r="R69" s="276"/>
      <c r="S69" s="276">
        <v>919.22</v>
      </c>
      <c r="T69" s="276"/>
      <c r="U69" s="276">
        <v>0</v>
      </c>
      <c r="V69" s="276"/>
      <c r="W69" s="276"/>
      <c r="X69" s="277">
        <f t="shared" si="4"/>
        <v>2008</v>
      </c>
      <c r="Y69" s="277">
        <f t="shared" si="5"/>
        <v>1</v>
      </c>
      <c r="Z69" s="278"/>
      <c r="AA69" s="278"/>
      <c r="AB69" s="278"/>
      <c r="AC69" s="278"/>
      <c r="AD69" s="278"/>
      <c r="AE69" s="278"/>
    </row>
    <row r="70" spans="1:31" s="260" customFormat="1" ht="11.25" customHeight="1" x14ac:dyDescent="0.2">
      <c r="A70" s="270"/>
      <c r="B70" s="271">
        <v>133</v>
      </c>
      <c r="C70" s="272" t="s">
        <v>63</v>
      </c>
      <c r="D70" s="272"/>
      <c r="E70" s="281"/>
      <c r="F70" s="281"/>
      <c r="G70" s="281">
        <v>39528</v>
      </c>
      <c r="H70" s="276">
        <v>606.89</v>
      </c>
      <c r="I70" s="276"/>
      <c r="J70" s="276"/>
      <c r="K70" s="280" t="s">
        <v>22</v>
      </c>
      <c r="L70" s="275">
        <v>8</v>
      </c>
      <c r="M70" s="276">
        <v>0</v>
      </c>
      <c r="N70" s="276"/>
      <c r="O70" s="276">
        <v>606.89</v>
      </c>
      <c r="P70" s="276"/>
      <c r="Q70" s="276">
        <v>0</v>
      </c>
      <c r="R70" s="276"/>
      <c r="S70" s="276">
        <v>606.89</v>
      </c>
      <c r="T70" s="276"/>
      <c r="U70" s="276">
        <v>0</v>
      </c>
      <c r="V70" s="276"/>
      <c r="W70" s="276"/>
      <c r="X70" s="277">
        <f t="shared" si="4"/>
        <v>2008</v>
      </c>
      <c r="Y70" s="277">
        <f t="shared" si="5"/>
        <v>3</v>
      </c>
      <c r="Z70" s="278"/>
      <c r="AA70" s="278"/>
      <c r="AB70" s="278"/>
      <c r="AC70" s="278"/>
      <c r="AD70" s="278"/>
      <c r="AE70" s="278"/>
    </row>
    <row r="71" spans="1:31" s="260" customFormat="1" ht="11.25" customHeight="1" x14ac:dyDescent="0.2">
      <c r="A71" s="270"/>
      <c r="B71" s="271">
        <v>134</v>
      </c>
      <c r="C71" s="272" t="s">
        <v>60</v>
      </c>
      <c r="D71" s="272"/>
      <c r="E71" s="281"/>
      <c r="F71" s="281"/>
      <c r="G71" s="281">
        <v>39528</v>
      </c>
      <c r="H71" s="276">
        <v>702.2</v>
      </c>
      <c r="I71" s="276"/>
      <c r="J71" s="276"/>
      <c r="K71" s="280" t="s">
        <v>22</v>
      </c>
      <c r="L71" s="275">
        <v>8</v>
      </c>
      <c r="M71" s="276">
        <v>0</v>
      </c>
      <c r="N71" s="276"/>
      <c r="O71" s="276">
        <v>702.2</v>
      </c>
      <c r="P71" s="276"/>
      <c r="Q71" s="276">
        <v>0</v>
      </c>
      <c r="R71" s="276"/>
      <c r="S71" s="276">
        <v>702.2</v>
      </c>
      <c r="T71" s="276"/>
      <c r="U71" s="276">
        <v>0</v>
      </c>
      <c r="V71" s="276"/>
      <c r="W71" s="276"/>
      <c r="X71" s="277">
        <f t="shared" si="4"/>
        <v>2008</v>
      </c>
      <c r="Y71" s="277">
        <f t="shared" si="5"/>
        <v>3</v>
      </c>
      <c r="Z71" s="278"/>
      <c r="AA71" s="278"/>
      <c r="AB71" s="278"/>
      <c r="AC71" s="278"/>
      <c r="AD71" s="278"/>
      <c r="AE71" s="278"/>
    </row>
    <row r="72" spans="1:31" s="260" customFormat="1" ht="11.25" customHeight="1" x14ac:dyDescent="0.2">
      <c r="A72" s="270"/>
      <c r="B72" s="271">
        <v>135</v>
      </c>
      <c r="C72" s="272" t="s">
        <v>61</v>
      </c>
      <c r="D72" s="272"/>
      <c r="E72" s="281"/>
      <c r="F72" s="281"/>
      <c r="G72" s="281">
        <v>39528</v>
      </c>
      <c r="H72" s="276">
        <v>835.32</v>
      </c>
      <c r="I72" s="276"/>
      <c r="J72" s="276"/>
      <c r="K72" s="280" t="s">
        <v>22</v>
      </c>
      <c r="L72" s="275">
        <v>8</v>
      </c>
      <c r="M72" s="276">
        <v>0</v>
      </c>
      <c r="N72" s="276"/>
      <c r="O72" s="276">
        <v>835.32</v>
      </c>
      <c r="P72" s="276"/>
      <c r="Q72" s="276">
        <v>0</v>
      </c>
      <c r="R72" s="276"/>
      <c r="S72" s="276">
        <v>835.32</v>
      </c>
      <c r="T72" s="276"/>
      <c r="U72" s="276">
        <v>0</v>
      </c>
      <c r="V72" s="276"/>
      <c r="W72" s="276"/>
      <c r="X72" s="277">
        <f t="shared" si="4"/>
        <v>2008</v>
      </c>
      <c r="Y72" s="277">
        <f t="shared" si="5"/>
        <v>3</v>
      </c>
      <c r="Z72" s="278"/>
      <c r="AA72" s="278"/>
      <c r="AB72" s="278"/>
      <c r="AC72" s="278"/>
      <c r="AD72" s="278"/>
      <c r="AE72" s="278"/>
    </row>
    <row r="73" spans="1:31" s="260" customFormat="1" ht="11.25" customHeight="1" x14ac:dyDescent="0.2">
      <c r="A73" s="270"/>
      <c r="B73" s="271">
        <v>136</v>
      </c>
      <c r="C73" s="272" t="s">
        <v>60</v>
      </c>
      <c r="D73" s="272"/>
      <c r="E73" s="281"/>
      <c r="F73" s="281"/>
      <c r="G73" s="281">
        <v>39591</v>
      </c>
      <c r="H73" s="276">
        <v>776.52</v>
      </c>
      <c r="I73" s="276"/>
      <c r="J73" s="276"/>
      <c r="K73" s="280" t="s">
        <v>22</v>
      </c>
      <c r="L73" s="275">
        <v>8</v>
      </c>
      <c r="M73" s="276">
        <v>0</v>
      </c>
      <c r="N73" s="276"/>
      <c r="O73" s="276">
        <v>776.52</v>
      </c>
      <c r="P73" s="276"/>
      <c r="Q73" s="276">
        <v>0</v>
      </c>
      <c r="R73" s="276"/>
      <c r="S73" s="276">
        <v>776.52</v>
      </c>
      <c r="T73" s="276"/>
      <c r="U73" s="276">
        <v>0</v>
      </c>
      <c r="V73" s="276"/>
      <c r="W73" s="276"/>
      <c r="X73" s="277">
        <f t="shared" si="4"/>
        <v>2008</v>
      </c>
      <c r="Y73" s="277">
        <f t="shared" si="5"/>
        <v>5</v>
      </c>
      <c r="Z73" s="278"/>
      <c r="AA73" s="278"/>
      <c r="AB73" s="278"/>
      <c r="AC73" s="278"/>
      <c r="AD73" s="278"/>
      <c r="AE73" s="278"/>
    </row>
    <row r="74" spans="1:31" s="260" customFormat="1" ht="11.25" customHeight="1" x14ac:dyDescent="0.2">
      <c r="A74" s="270"/>
      <c r="B74" s="271">
        <v>137</v>
      </c>
      <c r="C74" s="272" t="s">
        <v>64</v>
      </c>
      <c r="D74" s="272"/>
      <c r="E74" s="281"/>
      <c r="F74" s="281"/>
      <c r="G74" s="281">
        <v>39591</v>
      </c>
      <c r="H74" s="274">
        <v>1121.7</v>
      </c>
      <c r="I74" s="274"/>
      <c r="J74" s="274"/>
      <c r="K74" s="280" t="s">
        <v>22</v>
      </c>
      <c r="L74" s="275">
        <v>8</v>
      </c>
      <c r="M74" s="276">
        <v>0</v>
      </c>
      <c r="N74" s="276"/>
      <c r="O74" s="274">
        <v>1121.7</v>
      </c>
      <c r="P74" s="274"/>
      <c r="Q74" s="276">
        <v>0</v>
      </c>
      <c r="R74" s="276"/>
      <c r="S74" s="274">
        <v>1121.7</v>
      </c>
      <c r="T74" s="274"/>
      <c r="U74" s="276">
        <v>0</v>
      </c>
      <c r="V74" s="276"/>
      <c r="W74" s="276"/>
      <c r="X74" s="277">
        <f t="shared" si="4"/>
        <v>2008</v>
      </c>
      <c r="Y74" s="277">
        <f t="shared" si="5"/>
        <v>5</v>
      </c>
      <c r="Z74" s="278"/>
      <c r="AA74" s="278"/>
      <c r="AB74" s="278"/>
      <c r="AC74" s="278"/>
      <c r="AD74" s="278"/>
      <c r="AE74" s="278"/>
    </row>
    <row r="75" spans="1:31" s="260" customFormat="1" ht="11.25" customHeight="1" x14ac:dyDescent="0.2">
      <c r="A75" s="270"/>
      <c r="B75" s="271">
        <v>141</v>
      </c>
      <c r="C75" s="272" t="s">
        <v>65</v>
      </c>
      <c r="D75" s="272"/>
      <c r="E75" s="281"/>
      <c r="F75" s="281"/>
      <c r="G75" s="281">
        <v>39682</v>
      </c>
      <c r="H75" s="274">
        <v>1121.7</v>
      </c>
      <c r="I75" s="274"/>
      <c r="J75" s="274"/>
      <c r="K75" s="280" t="s">
        <v>22</v>
      </c>
      <c r="L75" s="275">
        <v>8</v>
      </c>
      <c r="M75" s="276">
        <v>0</v>
      </c>
      <c r="N75" s="276"/>
      <c r="O75" s="274">
        <v>1121.7</v>
      </c>
      <c r="P75" s="274"/>
      <c r="Q75" s="276">
        <v>0</v>
      </c>
      <c r="R75" s="276"/>
      <c r="S75" s="274">
        <v>1121.7</v>
      </c>
      <c r="T75" s="274"/>
      <c r="U75" s="276">
        <v>0</v>
      </c>
      <c r="V75" s="276"/>
      <c r="W75" s="276"/>
      <c r="X75" s="277">
        <f t="shared" si="4"/>
        <v>2008</v>
      </c>
      <c r="Y75" s="277">
        <f t="shared" si="5"/>
        <v>8</v>
      </c>
      <c r="Z75" s="278"/>
      <c r="AA75" s="278"/>
      <c r="AB75" s="278"/>
      <c r="AC75" s="278"/>
      <c r="AD75" s="278"/>
      <c r="AE75" s="278"/>
    </row>
    <row r="76" spans="1:31" s="260" customFormat="1" ht="11.25" customHeight="1" x14ac:dyDescent="0.2">
      <c r="A76" s="270"/>
      <c r="B76" s="271">
        <v>142</v>
      </c>
      <c r="C76" s="272" t="s">
        <v>66</v>
      </c>
      <c r="D76" s="272"/>
      <c r="E76" s="281"/>
      <c r="F76" s="281"/>
      <c r="G76" s="281">
        <v>39682</v>
      </c>
      <c r="H76" s="274">
        <v>4305.8599999999997</v>
      </c>
      <c r="I76" s="274"/>
      <c r="J76" s="274"/>
      <c r="K76" s="280" t="s">
        <v>22</v>
      </c>
      <c r="L76" s="275">
        <v>8</v>
      </c>
      <c r="M76" s="276">
        <v>0</v>
      </c>
      <c r="N76" s="276"/>
      <c r="O76" s="274">
        <v>4305.8599999999997</v>
      </c>
      <c r="P76" s="274"/>
      <c r="Q76" s="276">
        <v>0</v>
      </c>
      <c r="R76" s="276"/>
      <c r="S76" s="274">
        <v>4305.8599999999997</v>
      </c>
      <c r="T76" s="274"/>
      <c r="U76" s="276">
        <v>0</v>
      </c>
      <c r="V76" s="276"/>
      <c r="W76" s="276"/>
      <c r="X76" s="277">
        <f t="shared" si="4"/>
        <v>2008</v>
      </c>
      <c r="Y76" s="277">
        <f t="shared" si="5"/>
        <v>8</v>
      </c>
      <c r="Z76" s="278"/>
      <c r="AA76" s="278"/>
      <c r="AB76" s="278"/>
      <c r="AC76" s="278"/>
      <c r="AD76" s="278"/>
      <c r="AE76" s="278"/>
    </row>
    <row r="77" spans="1:31" s="260" customFormat="1" ht="11.25" customHeight="1" x14ac:dyDescent="0.2">
      <c r="A77" s="270"/>
      <c r="B77" s="271">
        <v>175</v>
      </c>
      <c r="C77" s="272" t="s">
        <v>67</v>
      </c>
      <c r="D77" s="272"/>
      <c r="E77" s="281"/>
      <c r="F77" s="281"/>
      <c r="G77" s="281">
        <v>40709</v>
      </c>
      <c r="H77" s="276">
        <v>636.61</v>
      </c>
      <c r="I77" s="276"/>
      <c r="J77" s="276"/>
      <c r="K77" s="280" t="s">
        <v>22</v>
      </c>
      <c r="L77" s="275">
        <v>8</v>
      </c>
      <c r="M77" s="276">
        <v>0</v>
      </c>
      <c r="N77" s="276"/>
      <c r="O77" s="276">
        <v>636.61</v>
      </c>
      <c r="P77" s="276"/>
      <c r="Q77" s="276">
        <v>0</v>
      </c>
      <c r="R77" s="276"/>
      <c r="S77" s="276">
        <v>636.61</v>
      </c>
      <c r="T77" s="276"/>
      <c r="U77" s="276">
        <v>0</v>
      </c>
      <c r="V77" s="276"/>
      <c r="W77" s="276"/>
      <c r="X77" s="277">
        <f t="shared" si="4"/>
        <v>2011</v>
      </c>
      <c r="Y77" s="277">
        <f t="shared" si="5"/>
        <v>6</v>
      </c>
      <c r="Z77" s="278"/>
      <c r="AA77" s="278"/>
      <c r="AB77" s="278"/>
      <c r="AC77" s="278"/>
      <c r="AD77" s="278"/>
      <c r="AE77" s="278"/>
    </row>
    <row r="78" spans="1:31" s="260" customFormat="1" ht="11.25" customHeight="1" x14ac:dyDescent="0.2">
      <c r="A78" s="270"/>
      <c r="B78" s="271">
        <v>202</v>
      </c>
      <c r="C78" s="272" t="s">
        <v>68</v>
      </c>
      <c r="D78" s="272"/>
      <c r="E78" s="281"/>
      <c r="F78" s="281"/>
      <c r="G78" s="281">
        <v>41518</v>
      </c>
      <c r="H78" s="276">
        <v>603.72</v>
      </c>
      <c r="I78" s="276"/>
      <c r="J78" s="276"/>
      <c r="K78" s="280" t="s">
        <v>22</v>
      </c>
      <c r="L78" s="275">
        <v>8</v>
      </c>
      <c r="M78" s="276">
        <v>0</v>
      </c>
      <c r="N78" s="276"/>
      <c r="O78" s="276">
        <v>477.98</v>
      </c>
      <c r="P78" s="276"/>
      <c r="Q78" s="276">
        <v>75.47</v>
      </c>
      <c r="R78" s="276"/>
      <c r="S78" s="276">
        <v>553.45000000000005</v>
      </c>
      <c r="T78" s="276"/>
      <c r="U78" s="276">
        <v>50.27</v>
      </c>
      <c r="V78" s="276"/>
      <c r="W78" s="276"/>
      <c r="X78" s="277">
        <f t="shared" si="4"/>
        <v>2013</v>
      </c>
      <c r="Y78" s="277">
        <f t="shared" si="5"/>
        <v>9</v>
      </c>
      <c r="Z78" s="278"/>
      <c r="AA78" s="278"/>
      <c r="AB78" s="278"/>
      <c r="AC78" s="278"/>
      <c r="AD78" s="278"/>
      <c r="AE78" s="278"/>
    </row>
    <row r="79" spans="1:31" s="260" customFormat="1" ht="11.25" customHeight="1" x14ac:dyDescent="0.2">
      <c r="A79" s="270"/>
      <c r="B79" s="271">
        <v>203</v>
      </c>
      <c r="C79" s="272" t="s">
        <v>69</v>
      </c>
      <c r="D79" s="272"/>
      <c r="E79" s="281"/>
      <c r="F79" s="281"/>
      <c r="G79" s="281">
        <v>41518</v>
      </c>
      <c r="H79" s="276">
        <v>637.21</v>
      </c>
      <c r="I79" s="276"/>
      <c r="J79" s="276"/>
      <c r="K79" s="280" t="s">
        <v>22</v>
      </c>
      <c r="L79" s="275">
        <v>8</v>
      </c>
      <c r="M79" s="276">
        <v>0</v>
      </c>
      <c r="N79" s="276"/>
      <c r="O79" s="276">
        <v>504.45</v>
      </c>
      <c r="P79" s="276"/>
      <c r="Q79" s="276">
        <v>79.650000000000006</v>
      </c>
      <c r="R79" s="276"/>
      <c r="S79" s="276">
        <v>584.1</v>
      </c>
      <c r="T79" s="276"/>
      <c r="U79" s="276">
        <v>53.11</v>
      </c>
      <c r="V79" s="276"/>
      <c r="W79" s="276"/>
      <c r="X79" s="277">
        <f t="shared" si="4"/>
        <v>2013</v>
      </c>
      <c r="Y79" s="277">
        <f t="shared" si="5"/>
        <v>9</v>
      </c>
      <c r="Z79" s="278"/>
      <c r="AA79" s="278"/>
      <c r="AB79" s="278"/>
      <c r="AC79" s="278"/>
      <c r="AD79" s="278"/>
      <c r="AE79" s="278"/>
    </row>
    <row r="80" spans="1:31" s="260" customFormat="1" ht="11.25" customHeight="1" x14ac:dyDescent="0.2">
      <c r="A80" s="270"/>
      <c r="B80" s="271">
        <v>209</v>
      </c>
      <c r="C80" s="272" t="s">
        <v>70</v>
      </c>
      <c r="D80" s="272"/>
      <c r="E80" s="281"/>
      <c r="F80" s="281"/>
      <c r="G80" s="281">
        <v>41654</v>
      </c>
      <c r="H80" s="274">
        <v>4060.89</v>
      </c>
      <c r="I80" s="274"/>
      <c r="J80" s="274"/>
      <c r="K80" s="280" t="s">
        <v>22</v>
      </c>
      <c r="L80" s="275">
        <v>10</v>
      </c>
      <c r="M80" s="276">
        <v>0</v>
      </c>
      <c r="N80" s="276"/>
      <c r="O80" s="274">
        <v>2436.54</v>
      </c>
      <c r="P80" s="274"/>
      <c r="Q80" s="276">
        <v>406.09</v>
      </c>
      <c r="R80" s="276"/>
      <c r="S80" s="274">
        <v>2842.63</v>
      </c>
      <c r="T80" s="274"/>
      <c r="U80" s="274">
        <v>1218.26</v>
      </c>
      <c r="V80" s="274"/>
      <c r="W80" s="274"/>
      <c r="X80" s="277">
        <f t="shared" si="4"/>
        <v>2014</v>
      </c>
      <c r="Y80" s="277">
        <f t="shared" si="5"/>
        <v>1</v>
      </c>
      <c r="Z80" s="278"/>
      <c r="AA80" s="278"/>
      <c r="AB80" s="278"/>
      <c r="AC80" s="278"/>
      <c r="AD80" s="278"/>
      <c r="AE80" s="278"/>
    </row>
    <row r="81" spans="1:31" s="260" customFormat="1" ht="11.25" customHeight="1" x14ac:dyDescent="0.2">
      <c r="A81" s="270"/>
      <c r="B81" s="271">
        <v>210</v>
      </c>
      <c r="C81" s="272" t="s">
        <v>71</v>
      </c>
      <c r="D81" s="272"/>
      <c r="E81" s="281"/>
      <c r="F81" s="281"/>
      <c r="G81" s="281">
        <v>41654</v>
      </c>
      <c r="H81" s="274">
        <v>1531.43</v>
      </c>
      <c r="I81" s="274"/>
      <c r="J81" s="274"/>
      <c r="K81" s="280" t="s">
        <v>22</v>
      </c>
      <c r="L81" s="275">
        <v>10</v>
      </c>
      <c r="M81" s="276">
        <v>0</v>
      </c>
      <c r="N81" s="276"/>
      <c r="O81" s="276">
        <v>918.84</v>
      </c>
      <c r="P81" s="276"/>
      <c r="Q81" s="276">
        <v>153.13999999999999</v>
      </c>
      <c r="R81" s="276"/>
      <c r="S81" s="274">
        <v>1071.98</v>
      </c>
      <c r="T81" s="274"/>
      <c r="U81" s="276">
        <v>459.45</v>
      </c>
      <c r="V81" s="276"/>
      <c r="W81" s="276"/>
      <c r="X81" s="277">
        <f t="shared" si="4"/>
        <v>2014</v>
      </c>
      <c r="Y81" s="277">
        <f t="shared" si="5"/>
        <v>1</v>
      </c>
      <c r="Z81" s="278"/>
      <c r="AA81" s="278"/>
      <c r="AB81" s="278"/>
      <c r="AC81" s="278"/>
      <c r="AD81" s="278"/>
      <c r="AE81" s="278"/>
    </row>
    <row r="82" spans="1:31" s="260" customFormat="1" ht="11.25" customHeight="1" x14ac:dyDescent="0.2">
      <c r="A82" s="270"/>
      <c r="B82" s="271">
        <v>211</v>
      </c>
      <c r="C82" s="272" t="s">
        <v>72</v>
      </c>
      <c r="D82" s="272"/>
      <c r="E82" s="281"/>
      <c r="F82" s="281"/>
      <c r="G82" s="281">
        <v>41759</v>
      </c>
      <c r="H82" s="274">
        <v>1318.56</v>
      </c>
      <c r="I82" s="274"/>
      <c r="J82" s="274"/>
      <c r="K82" s="280" t="s">
        <v>22</v>
      </c>
      <c r="L82" s="275">
        <v>10</v>
      </c>
      <c r="M82" s="276">
        <v>0</v>
      </c>
      <c r="N82" s="276"/>
      <c r="O82" s="276">
        <v>758.19</v>
      </c>
      <c r="P82" s="276"/>
      <c r="Q82" s="276">
        <v>131.86000000000001</v>
      </c>
      <c r="R82" s="276"/>
      <c r="S82" s="276">
        <v>890.05</v>
      </c>
      <c r="T82" s="276"/>
      <c r="U82" s="276">
        <v>428.51</v>
      </c>
      <c r="V82" s="276"/>
      <c r="W82" s="276"/>
      <c r="X82" s="277">
        <f t="shared" si="4"/>
        <v>2014</v>
      </c>
      <c r="Y82" s="277">
        <f t="shared" si="5"/>
        <v>4</v>
      </c>
      <c r="Z82" s="278"/>
      <c r="AA82" s="278"/>
      <c r="AB82" s="278"/>
      <c r="AC82" s="278"/>
      <c r="AD82" s="278"/>
      <c r="AE82" s="278"/>
    </row>
    <row r="83" spans="1:31" s="260" customFormat="1" ht="11.25" customHeight="1" x14ac:dyDescent="0.2">
      <c r="A83" s="270"/>
      <c r="B83" s="271">
        <v>212</v>
      </c>
      <c r="C83" s="272" t="s">
        <v>73</v>
      </c>
      <c r="D83" s="272"/>
      <c r="E83" s="281"/>
      <c r="F83" s="281"/>
      <c r="G83" s="281">
        <v>41759</v>
      </c>
      <c r="H83" s="274">
        <v>1502.64</v>
      </c>
      <c r="I83" s="274"/>
      <c r="J83" s="274"/>
      <c r="K83" s="280" t="s">
        <v>22</v>
      </c>
      <c r="L83" s="275">
        <v>10</v>
      </c>
      <c r="M83" s="276">
        <v>0</v>
      </c>
      <c r="N83" s="276"/>
      <c r="O83" s="276">
        <v>864</v>
      </c>
      <c r="P83" s="276"/>
      <c r="Q83" s="276">
        <v>150.26</v>
      </c>
      <c r="R83" s="276"/>
      <c r="S83" s="274">
        <v>1014.26</v>
      </c>
      <c r="T83" s="274"/>
      <c r="U83" s="276">
        <v>488.38</v>
      </c>
      <c r="V83" s="276"/>
      <c r="W83" s="276"/>
      <c r="X83" s="277">
        <f t="shared" si="4"/>
        <v>2014</v>
      </c>
      <c r="Y83" s="277">
        <f t="shared" si="5"/>
        <v>4</v>
      </c>
      <c r="Z83" s="278"/>
      <c r="AA83" s="278"/>
      <c r="AB83" s="278"/>
      <c r="AC83" s="278"/>
      <c r="AD83" s="278"/>
      <c r="AE83" s="278"/>
    </row>
    <row r="84" spans="1:31" s="260" customFormat="1" ht="11.25" customHeight="1" x14ac:dyDescent="0.2">
      <c r="A84" s="270"/>
      <c r="B84" s="271">
        <v>213</v>
      </c>
      <c r="C84" s="272" t="s">
        <v>72</v>
      </c>
      <c r="D84" s="272"/>
      <c r="E84" s="281"/>
      <c r="F84" s="281"/>
      <c r="G84" s="281">
        <v>41759</v>
      </c>
      <c r="H84" s="274">
        <v>1930.8</v>
      </c>
      <c r="I84" s="274"/>
      <c r="J84" s="274"/>
      <c r="K84" s="280" t="s">
        <v>22</v>
      </c>
      <c r="L84" s="275">
        <v>10</v>
      </c>
      <c r="M84" s="276">
        <v>0</v>
      </c>
      <c r="N84" s="276"/>
      <c r="O84" s="274">
        <v>1110.21</v>
      </c>
      <c r="P84" s="274"/>
      <c r="Q84" s="276">
        <v>193.08</v>
      </c>
      <c r="R84" s="276"/>
      <c r="S84" s="274">
        <v>1303.29</v>
      </c>
      <c r="T84" s="274"/>
      <c r="U84" s="276">
        <v>627.51</v>
      </c>
      <c r="V84" s="276"/>
      <c r="W84" s="276"/>
      <c r="X84" s="277">
        <f t="shared" si="4"/>
        <v>2014</v>
      </c>
      <c r="Y84" s="277">
        <f t="shared" si="5"/>
        <v>4</v>
      </c>
      <c r="Z84" s="278"/>
      <c r="AA84" s="278"/>
      <c r="AB84" s="278"/>
      <c r="AC84" s="278"/>
      <c r="AD84" s="278"/>
      <c r="AE84" s="278"/>
    </row>
    <row r="85" spans="1:31" s="260" customFormat="1" ht="11.25" customHeight="1" x14ac:dyDescent="0.2">
      <c r="A85" s="270"/>
      <c r="B85" s="271">
        <v>218</v>
      </c>
      <c r="C85" s="272" t="s">
        <v>73</v>
      </c>
      <c r="D85" s="272"/>
      <c r="E85" s="281"/>
      <c r="F85" s="281"/>
      <c r="G85" s="281">
        <v>41851</v>
      </c>
      <c r="H85" s="274">
        <v>1480.35</v>
      </c>
      <c r="I85" s="274"/>
      <c r="J85" s="274"/>
      <c r="K85" s="280" t="s">
        <v>22</v>
      </c>
      <c r="L85" s="275">
        <v>10</v>
      </c>
      <c r="M85" s="276">
        <v>0</v>
      </c>
      <c r="N85" s="276"/>
      <c r="O85" s="276">
        <v>814.22</v>
      </c>
      <c r="P85" s="276"/>
      <c r="Q85" s="276">
        <v>148.04</v>
      </c>
      <c r="R85" s="276"/>
      <c r="S85" s="276">
        <v>962.26</v>
      </c>
      <c r="T85" s="276"/>
      <c r="U85" s="276">
        <v>518.09</v>
      </c>
      <c r="V85" s="276"/>
      <c r="W85" s="276"/>
      <c r="X85" s="277">
        <f t="shared" si="4"/>
        <v>2014</v>
      </c>
      <c r="Y85" s="277">
        <f t="shared" si="5"/>
        <v>7</v>
      </c>
      <c r="Z85" s="278"/>
      <c r="AA85" s="278"/>
      <c r="AB85" s="278"/>
      <c r="AC85" s="278"/>
      <c r="AD85" s="278"/>
      <c r="AE85" s="278"/>
    </row>
    <row r="86" spans="1:31" s="260" customFormat="1" ht="11.25" customHeight="1" x14ac:dyDescent="0.2">
      <c r="A86" s="270"/>
      <c r="B86" s="271">
        <v>225</v>
      </c>
      <c r="C86" s="272" t="s">
        <v>74</v>
      </c>
      <c r="D86" s="272"/>
      <c r="E86" s="281"/>
      <c r="F86" s="281"/>
      <c r="G86" s="281">
        <v>41790</v>
      </c>
      <c r="H86" s="276">
        <v>966.6</v>
      </c>
      <c r="I86" s="276"/>
      <c r="J86" s="276"/>
      <c r="K86" s="280" t="s">
        <v>22</v>
      </c>
      <c r="L86" s="275">
        <v>10</v>
      </c>
      <c r="M86" s="276">
        <v>0</v>
      </c>
      <c r="N86" s="276"/>
      <c r="O86" s="276">
        <v>547.74</v>
      </c>
      <c r="P86" s="276"/>
      <c r="Q86" s="276">
        <v>96.66</v>
      </c>
      <c r="R86" s="276"/>
      <c r="S86" s="276">
        <v>644.4</v>
      </c>
      <c r="T86" s="276"/>
      <c r="U86" s="276">
        <v>322.2</v>
      </c>
      <c r="V86" s="276"/>
      <c r="W86" s="276"/>
      <c r="X86" s="277">
        <f t="shared" si="4"/>
        <v>2014</v>
      </c>
      <c r="Y86" s="277">
        <f t="shared" si="5"/>
        <v>5</v>
      </c>
      <c r="Z86" s="278"/>
      <c r="AA86" s="278"/>
      <c r="AB86" s="278"/>
      <c r="AC86" s="278"/>
      <c r="AD86" s="278"/>
      <c r="AE86" s="278"/>
    </row>
    <row r="87" spans="1:31" s="260" customFormat="1" ht="11.25" customHeight="1" x14ac:dyDescent="0.2">
      <c r="A87" s="270"/>
      <c r="B87" s="271">
        <v>226</v>
      </c>
      <c r="C87" s="272" t="s">
        <v>75</v>
      </c>
      <c r="D87" s="272"/>
      <c r="E87" s="281"/>
      <c r="F87" s="281"/>
      <c r="G87" s="281">
        <v>41790</v>
      </c>
      <c r="H87" s="276">
        <v>912.6</v>
      </c>
      <c r="I87" s="276"/>
      <c r="J87" s="276"/>
      <c r="K87" s="280" t="s">
        <v>22</v>
      </c>
      <c r="L87" s="275">
        <v>10</v>
      </c>
      <c r="M87" s="276">
        <v>0</v>
      </c>
      <c r="N87" s="276"/>
      <c r="O87" s="276">
        <v>517.14</v>
      </c>
      <c r="P87" s="276"/>
      <c r="Q87" s="276">
        <v>91.26</v>
      </c>
      <c r="R87" s="276"/>
      <c r="S87" s="276">
        <v>608.4</v>
      </c>
      <c r="T87" s="276"/>
      <c r="U87" s="276">
        <v>304.2</v>
      </c>
      <c r="V87" s="276"/>
      <c r="W87" s="276"/>
      <c r="X87" s="277">
        <f t="shared" si="4"/>
        <v>2014</v>
      </c>
      <c r="Y87" s="277">
        <f t="shared" si="5"/>
        <v>5</v>
      </c>
      <c r="Z87" s="278"/>
      <c r="AA87" s="278"/>
      <c r="AB87" s="278"/>
      <c r="AC87" s="278"/>
      <c r="AD87" s="278"/>
      <c r="AE87" s="278"/>
    </row>
    <row r="88" spans="1:31" s="260" customFormat="1" ht="11.25" customHeight="1" x14ac:dyDescent="0.2">
      <c r="A88" s="270"/>
      <c r="B88" s="271">
        <v>228</v>
      </c>
      <c r="C88" s="272" t="s">
        <v>76</v>
      </c>
      <c r="D88" s="272"/>
      <c r="E88" s="281"/>
      <c r="F88" s="281"/>
      <c r="G88" s="281">
        <v>42018</v>
      </c>
      <c r="H88" s="274">
        <v>1072.44</v>
      </c>
      <c r="I88" s="274"/>
      <c r="J88" s="274"/>
      <c r="K88" s="280" t="s">
        <v>22</v>
      </c>
      <c r="L88" s="275">
        <v>10</v>
      </c>
      <c r="M88" s="276">
        <v>0</v>
      </c>
      <c r="N88" s="276"/>
      <c r="O88" s="276">
        <v>536.20000000000005</v>
      </c>
      <c r="P88" s="276"/>
      <c r="Q88" s="276">
        <v>107.24</v>
      </c>
      <c r="R88" s="276"/>
      <c r="S88" s="276">
        <v>643.44000000000005</v>
      </c>
      <c r="T88" s="276"/>
      <c r="U88" s="276">
        <v>429</v>
      </c>
      <c r="V88" s="276"/>
      <c r="W88" s="276"/>
      <c r="X88" s="277">
        <f t="shared" si="4"/>
        <v>2015</v>
      </c>
      <c r="Y88" s="277">
        <f t="shared" si="5"/>
        <v>1</v>
      </c>
      <c r="Z88" s="278"/>
      <c r="AA88" s="278"/>
      <c r="AB88" s="278"/>
      <c r="AC88" s="278"/>
      <c r="AD88" s="278"/>
      <c r="AE88" s="278"/>
    </row>
    <row r="89" spans="1:31" s="260" customFormat="1" ht="11.25" customHeight="1" x14ac:dyDescent="0.2">
      <c r="A89" s="270"/>
      <c r="B89" s="271">
        <v>233</v>
      </c>
      <c r="C89" s="272" t="s">
        <v>76</v>
      </c>
      <c r="D89" s="272"/>
      <c r="E89" s="281"/>
      <c r="F89" s="281"/>
      <c r="G89" s="281">
        <v>42156</v>
      </c>
      <c r="H89" s="274">
        <v>1072.44</v>
      </c>
      <c r="I89" s="274"/>
      <c r="J89" s="274"/>
      <c r="K89" s="280" t="s">
        <v>22</v>
      </c>
      <c r="L89" s="275">
        <v>10</v>
      </c>
      <c r="M89" s="276">
        <v>0</v>
      </c>
      <c r="N89" s="276"/>
      <c r="O89" s="276">
        <v>491.52</v>
      </c>
      <c r="P89" s="276"/>
      <c r="Q89" s="276">
        <v>107.24</v>
      </c>
      <c r="R89" s="276"/>
      <c r="S89" s="276">
        <v>598.76</v>
      </c>
      <c r="T89" s="276"/>
      <c r="U89" s="276">
        <v>473.68</v>
      </c>
      <c r="V89" s="276"/>
      <c r="W89" s="276"/>
      <c r="X89" s="277">
        <f t="shared" si="4"/>
        <v>2015</v>
      </c>
      <c r="Y89" s="277">
        <f t="shared" si="5"/>
        <v>6</v>
      </c>
      <c r="Z89" s="278"/>
      <c r="AA89" s="278"/>
      <c r="AB89" s="278"/>
      <c r="AC89" s="278"/>
      <c r="AD89" s="278"/>
      <c r="AE89" s="278"/>
    </row>
    <row r="90" spans="1:31" s="260" customFormat="1" ht="11.25" customHeight="1" x14ac:dyDescent="0.2">
      <c r="A90" s="270"/>
      <c r="B90" s="271">
        <v>234</v>
      </c>
      <c r="C90" s="272" t="s">
        <v>77</v>
      </c>
      <c r="D90" s="272"/>
      <c r="E90" s="281"/>
      <c r="F90" s="281"/>
      <c r="G90" s="281">
        <v>42248</v>
      </c>
      <c r="H90" s="274">
        <v>1015.2</v>
      </c>
      <c r="I90" s="274"/>
      <c r="J90" s="274"/>
      <c r="K90" s="280" t="s">
        <v>22</v>
      </c>
      <c r="L90" s="275">
        <v>10</v>
      </c>
      <c r="M90" s="276">
        <v>0</v>
      </c>
      <c r="N90" s="276"/>
      <c r="O90" s="276">
        <v>439.92</v>
      </c>
      <c r="P90" s="276"/>
      <c r="Q90" s="276">
        <v>101.52</v>
      </c>
      <c r="R90" s="276"/>
      <c r="S90" s="276">
        <v>541.44000000000005</v>
      </c>
      <c r="T90" s="276"/>
      <c r="U90" s="276">
        <v>473.76</v>
      </c>
      <c r="V90" s="276"/>
      <c r="W90" s="276"/>
      <c r="X90" s="277">
        <f t="shared" si="4"/>
        <v>2015</v>
      </c>
      <c r="Y90" s="277">
        <f t="shared" si="5"/>
        <v>9</v>
      </c>
      <c r="Z90" s="278"/>
      <c r="AA90" s="278"/>
      <c r="AB90" s="278"/>
      <c r="AC90" s="278"/>
      <c r="AD90" s="278"/>
      <c r="AE90" s="278"/>
    </row>
    <row r="91" spans="1:31" s="260" customFormat="1" ht="11.25" customHeight="1" x14ac:dyDescent="0.2">
      <c r="A91" s="270"/>
      <c r="B91" s="271">
        <v>239</v>
      </c>
      <c r="C91" s="272" t="s">
        <v>76</v>
      </c>
      <c r="D91" s="272"/>
      <c r="E91" s="281"/>
      <c r="F91" s="281"/>
      <c r="G91" s="281">
        <v>42339</v>
      </c>
      <c r="H91" s="274">
        <v>1072.44</v>
      </c>
      <c r="I91" s="274"/>
      <c r="J91" s="274"/>
      <c r="K91" s="280" t="s">
        <v>22</v>
      </c>
      <c r="L91" s="275">
        <v>10</v>
      </c>
      <c r="M91" s="276">
        <v>0</v>
      </c>
      <c r="N91" s="276"/>
      <c r="O91" s="276">
        <v>437.9</v>
      </c>
      <c r="P91" s="276"/>
      <c r="Q91" s="276">
        <v>107.24</v>
      </c>
      <c r="R91" s="276"/>
      <c r="S91" s="276">
        <v>545.14</v>
      </c>
      <c r="T91" s="276"/>
      <c r="U91" s="276">
        <v>527.29999999999995</v>
      </c>
      <c r="V91" s="276"/>
      <c r="W91" s="276"/>
      <c r="X91" s="277">
        <f t="shared" si="4"/>
        <v>2015</v>
      </c>
      <c r="Y91" s="277">
        <f t="shared" si="5"/>
        <v>12</v>
      </c>
      <c r="Z91" s="278"/>
      <c r="AA91" s="278"/>
      <c r="AB91" s="278"/>
      <c r="AC91" s="278"/>
      <c r="AD91" s="278"/>
      <c r="AE91" s="278"/>
    </row>
    <row r="92" spans="1:31" s="260" customFormat="1" ht="11.25" customHeight="1" x14ac:dyDescent="0.2">
      <c r="A92" s="270"/>
      <c r="B92" s="271">
        <v>247</v>
      </c>
      <c r="C92" s="272" t="s">
        <v>78</v>
      </c>
      <c r="D92" s="272"/>
      <c r="E92" s="281"/>
      <c r="F92" s="281"/>
      <c r="G92" s="281">
        <v>42542</v>
      </c>
      <c r="H92" s="274">
        <v>3620.16</v>
      </c>
      <c r="I92" s="274"/>
      <c r="J92" s="274"/>
      <c r="K92" s="280" t="s">
        <v>22</v>
      </c>
      <c r="L92" s="275">
        <v>10</v>
      </c>
      <c r="M92" s="276">
        <v>0</v>
      </c>
      <c r="N92" s="276"/>
      <c r="O92" s="274">
        <v>1297.24</v>
      </c>
      <c r="P92" s="274"/>
      <c r="Q92" s="276">
        <v>362.02</v>
      </c>
      <c r="R92" s="276"/>
      <c r="S92" s="274">
        <v>1659.26</v>
      </c>
      <c r="T92" s="274"/>
      <c r="U92" s="274">
        <v>1960.9</v>
      </c>
      <c r="V92" s="274"/>
      <c r="W92" s="274"/>
      <c r="X92" s="277">
        <f t="shared" si="4"/>
        <v>2016</v>
      </c>
      <c r="Y92" s="277">
        <f t="shared" si="5"/>
        <v>6</v>
      </c>
      <c r="Z92" s="278"/>
      <c r="AA92" s="278"/>
      <c r="AB92" s="278"/>
      <c r="AC92" s="278"/>
      <c r="AD92" s="278"/>
      <c r="AE92" s="278"/>
    </row>
    <row r="93" spans="1:31" s="260" customFormat="1" ht="11.25" customHeight="1" x14ac:dyDescent="0.2">
      <c r="A93" s="270"/>
      <c r="B93" s="271">
        <v>260</v>
      </c>
      <c r="C93" s="272" t="s">
        <v>79</v>
      </c>
      <c r="D93" s="272"/>
      <c r="E93" s="281"/>
      <c r="F93" s="281"/>
      <c r="G93" s="281">
        <v>42802</v>
      </c>
      <c r="H93" s="274">
        <v>3515.41</v>
      </c>
      <c r="I93" s="274"/>
      <c r="J93" s="274"/>
      <c r="K93" s="280" t="s">
        <v>22</v>
      </c>
      <c r="L93" s="275">
        <v>10</v>
      </c>
      <c r="M93" s="276">
        <v>0</v>
      </c>
      <c r="N93" s="276"/>
      <c r="O93" s="276">
        <v>996.03</v>
      </c>
      <c r="P93" s="276"/>
      <c r="Q93" s="276">
        <v>351.54</v>
      </c>
      <c r="R93" s="276"/>
      <c r="S93" s="274">
        <v>1347.57</v>
      </c>
      <c r="T93" s="274"/>
      <c r="U93" s="274">
        <v>2167.84</v>
      </c>
      <c r="V93" s="274"/>
      <c r="W93" s="274"/>
      <c r="X93" s="277">
        <f t="shared" si="4"/>
        <v>2017</v>
      </c>
      <c r="Y93" s="277">
        <f t="shared" si="5"/>
        <v>3</v>
      </c>
      <c r="Z93" s="278"/>
      <c r="AA93" s="278"/>
      <c r="AB93" s="278"/>
      <c r="AC93" s="278"/>
      <c r="AD93" s="278"/>
      <c r="AE93" s="278"/>
    </row>
    <row r="94" spans="1:31" s="260" customFormat="1" ht="11.25" customHeight="1" x14ac:dyDescent="0.2">
      <c r="A94" s="270"/>
      <c r="B94" s="271">
        <v>261</v>
      </c>
      <c r="C94" s="272" t="s">
        <v>80</v>
      </c>
      <c r="D94" s="272"/>
      <c r="E94" s="281"/>
      <c r="F94" s="281"/>
      <c r="G94" s="281">
        <v>42803</v>
      </c>
      <c r="H94" s="274">
        <v>2717.63</v>
      </c>
      <c r="I94" s="274"/>
      <c r="J94" s="274"/>
      <c r="K94" s="280" t="s">
        <v>22</v>
      </c>
      <c r="L94" s="275">
        <v>10</v>
      </c>
      <c r="M94" s="276">
        <v>0</v>
      </c>
      <c r="N94" s="276"/>
      <c r="O94" s="276">
        <v>769.99</v>
      </c>
      <c r="P94" s="276"/>
      <c r="Q94" s="276">
        <v>271.76</v>
      </c>
      <c r="R94" s="276"/>
      <c r="S94" s="274">
        <v>1041.75</v>
      </c>
      <c r="T94" s="274"/>
      <c r="U94" s="274">
        <v>1675.88</v>
      </c>
      <c r="V94" s="274"/>
      <c r="W94" s="274"/>
      <c r="X94" s="277">
        <f t="shared" si="4"/>
        <v>2017</v>
      </c>
      <c r="Y94" s="277">
        <f t="shared" si="5"/>
        <v>3</v>
      </c>
      <c r="Z94" s="278"/>
      <c r="AA94" s="278"/>
      <c r="AB94" s="278"/>
      <c r="AC94" s="278"/>
      <c r="AD94" s="278"/>
      <c r="AE94" s="278"/>
    </row>
    <row r="95" spans="1:31" ht="22.5" customHeight="1" x14ac:dyDescent="0.2">
      <c r="A95" s="8"/>
      <c r="B95" s="27" t="s">
        <v>81</v>
      </c>
      <c r="C95" s="26"/>
      <c r="D95" s="26"/>
      <c r="F95" s="23"/>
      <c r="G95" s="23"/>
      <c r="H95" s="19">
        <f>SUM(H42:H94)</f>
        <v>67544.250000000015</v>
      </c>
      <c r="I95" s="22"/>
      <c r="J95" s="22"/>
      <c r="K95" s="8"/>
      <c r="L95" s="8"/>
      <c r="M95" s="25">
        <v>0</v>
      </c>
      <c r="N95" s="25"/>
      <c r="O95" s="19">
        <f>SUM(O42:O94)</f>
        <v>52431.839999999989</v>
      </c>
      <c r="P95" s="19"/>
      <c r="Q95" s="19">
        <f>SUM(Q42:Q94)</f>
        <v>2934.0699999999997</v>
      </c>
      <c r="R95" s="19"/>
      <c r="S95" s="19">
        <f>SUM(S42:S94)</f>
        <v>55365.910000000018</v>
      </c>
      <c r="T95" s="19"/>
      <c r="U95" s="19">
        <f>SUM(U42:U94)</f>
        <v>12178.34</v>
      </c>
      <c r="V95" s="19"/>
      <c r="W95" s="19"/>
      <c r="X95" s="209"/>
      <c r="Y95" s="209"/>
    </row>
    <row r="96" spans="1:31" ht="14.45" customHeight="1" x14ac:dyDescent="0.2">
      <c r="A96" s="10" t="s">
        <v>82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205"/>
      <c r="Y96" s="205"/>
    </row>
    <row r="97" spans="1:31" s="260" customFormat="1" ht="11.25" customHeight="1" x14ac:dyDescent="0.2">
      <c r="A97" s="270"/>
      <c r="B97" s="271">
        <v>45</v>
      </c>
      <c r="C97" s="272" t="s">
        <v>83</v>
      </c>
      <c r="D97" s="272"/>
      <c r="E97" s="272"/>
      <c r="F97" s="272"/>
      <c r="G97" s="273">
        <v>37783</v>
      </c>
      <c r="H97" s="274">
        <v>16900</v>
      </c>
      <c r="I97" s="274"/>
      <c r="J97" s="274"/>
      <c r="K97" s="280" t="s">
        <v>22</v>
      </c>
      <c r="L97" s="275">
        <v>8</v>
      </c>
      <c r="M97" s="276">
        <v>0</v>
      </c>
      <c r="N97" s="276"/>
      <c r="O97" s="274">
        <v>16900</v>
      </c>
      <c r="P97" s="274"/>
      <c r="Q97" s="276">
        <v>0</v>
      </c>
      <c r="R97" s="276"/>
      <c r="S97" s="274">
        <v>16900</v>
      </c>
      <c r="T97" s="274"/>
      <c r="U97" s="276">
        <v>0</v>
      </c>
      <c r="V97" s="276"/>
      <c r="W97" s="276"/>
      <c r="X97" s="277">
        <f t="shared" ref="X97" si="6">YEAR(G97)</f>
        <v>2003</v>
      </c>
      <c r="Y97" s="277">
        <f t="shared" ref="Y97" si="7">MONTH(G97)</f>
        <v>6</v>
      </c>
      <c r="Z97" s="278"/>
      <c r="AA97" s="278"/>
      <c r="AB97" s="278"/>
      <c r="AC97" s="278"/>
      <c r="AD97" s="278"/>
      <c r="AE97" s="278"/>
    </row>
    <row r="98" spans="1:31" s="260" customFormat="1" ht="11.25" customHeight="1" x14ac:dyDescent="0.2">
      <c r="A98" s="270"/>
      <c r="B98" s="271">
        <v>127</v>
      </c>
      <c r="C98" s="272" t="s">
        <v>84</v>
      </c>
      <c r="D98" s="272"/>
      <c r="E98" s="272"/>
      <c r="F98" s="272"/>
      <c r="G98" s="273">
        <v>38679</v>
      </c>
      <c r="H98" s="274">
        <v>94830.21</v>
      </c>
      <c r="I98" s="274"/>
      <c r="J98" s="274"/>
      <c r="K98" s="280" t="s">
        <v>22</v>
      </c>
      <c r="L98" s="275">
        <v>8</v>
      </c>
      <c r="M98" s="276">
        <v>0</v>
      </c>
      <c r="N98" s="276"/>
      <c r="O98" s="274">
        <v>94830.21</v>
      </c>
      <c r="P98" s="274"/>
      <c r="Q98" s="276">
        <v>0</v>
      </c>
      <c r="R98" s="276"/>
      <c r="S98" s="274">
        <v>94830.21</v>
      </c>
      <c r="T98" s="274"/>
      <c r="U98" s="276">
        <v>0</v>
      </c>
      <c r="V98" s="276"/>
      <c r="W98" s="276"/>
      <c r="X98" s="277">
        <f t="shared" ref="X98:X153" si="8">YEAR(G98)</f>
        <v>2005</v>
      </c>
      <c r="Y98" s="277">
        <f t="shared" ref="Y98:Y153" si="9">MONTH(G98)</f>
        <v>11</v>
      </c>
      <c r="Z98" s="278"/>
      <c r="AA98" s="278"/>
      <c r="AB98" s="278"/>
      <c r="AC98" s="278"/>
      <c r="AD98" s="278"/>
      <c r="AE98" s="278"/>
    </row>
    <row r="99" spans="1:31" s="260" customFormat="1" ht="11.25" customHeight="1" x14ac:dyDescent="0.2">
      <c r="A99" s="270"/>
      <c r="B99" s="271">
        <v>128</v>
      </c>
      <c r="C99" s="272" t="s">
        <v>85</v>
      </c>
      <c r="D99" s="272"/>
      <c r="E99" s="272"/>
      <c r="F99" s="272"/>
      <c r="G99" s="273">
        <v>39296</v>
      </c>
      <c r="H99" s="274">
        <v>121828</v>
      </c>
      <c r="I99" s="274"/>
      <c r="J99" s="274"/>
      <c r="K99" s="280" t="s">
        <v>22</v>
      </c>
      <c r="L99" s="275">
        <v>8</v>
      </c>
      <c r="M99" s="276">
        <v>0</v>
      </c>
      <c r="N99" s="276"/>
      <c r="O99" s="274">
        <v>121828</v>
      </c>
      <c r="P99" s="274"/>
      <c r="Q99" s="276">
        <v>0</v>
      </c>
      <c r="R99" s="276"/>
      <c r="S99" s="274">
        <v>121828</v>
      </c>
      <c r="T99" s="274"/>
      <c r="U99" s="276">
        <v>0</v>
      </c>
      <c r="V99" s="276"/>
      <c r="W99" s="276"/>
      <c r="X99" s="277">
        <f t="shared" si="8"/>
        <v>2007</v>
      </c>
      <c r="Y99" s="277">
        <f t="shared" si="9"/>
        <v>8</v>
      </c>
      <c r="Z99" s="278"/>
      <c r="AA99" s="278"/>
      <c r="AB99" s="278"/>
      <c r="AC99" s="278"/>
      <c r="AD99" s="278"/>
      <c r="AE99" s="278"/>
    </row>
    <row r="100" spans="1:31" s="260" customFormat="1" ht="11.25" customHeight="1" x14ac:dyDescent="0.2">
      <c r="A100" s="270"/>
      <c r="B100" s="271">
        <v>129</v>
      </c>
      <c r="C100" s="272" t="s">
        <v>86</v>
      </c>
      <c r="D100" s="272"/>
      <c r="E100" s="272"/>
      <c r="F100" s="272"/>
      <c r="G100" s="273">
        <v>39296</v>
      </c>
      <c r="H100" s="276">
        <v>0</v>
      </c>
      <c r="I100" s="276"/>
      <c r="J100" s="276"/>
      <c r="K100" s="270"/>
      <c r="L100" s="282">
        <v>0</v>
      </c>
      <c r="M100" s="276">
        <v>0</v>
      </c>
      <c r="N100" s="276"/>
      <c r="O100" s="276">
        <v>0</v>
      </c>
      <c r="P100" s="276"/>
      <c r="Q100" s="276">
        <v>0</v>
      </c>
      <c r="R100" s="276"/>
      <c r="S100" s="276">
        <v>0</v>
      </c>
      <c r="T100" s="276"/>
      <c r="U100" s="276">
        <v>0</v>
      </c>
      <c r="V100" s="276"/>
      <c r="W100" s="276"/>
      <c r="X100" s="277">
        <f t="shared" si="8"/>
        <v>2007</v>
      </c>
      <c r="Y100" s="277">
        <f t="shared" si="9"/>
        <v>8</v>
      </c>
      <c r="Z100" s="278"/>
      <c r="AA100" s="278"/>
      <c r="AB100" s="278"/>
      <c r="AC100" s="278"/>
      <c r="AD100" s="278"/>
      <c r="AE100" s="278"/>
    </row>
    <row r="101" spans="1:31" s="260" customFormat="1" ht="11.25" customHeight="1" x14ac:dyDescent="0.2">
      <c r="A101" s="270"/>
      <c r="B101" s="271">
        <v>161</v>
      </c>
      <c r="C101" s="272" t="s">
        <v>87</v>
      </c>
      <c r="D101" s="272"/>
      <c r="E101" s="272"/>
      <c r="F101" s="272"/>
      <c r="G101" s="273">
        <v>40010</v>
      </c>
      <c r="H101" s="274">
        <v>3809.3</v>
      </c>
      <c r="I101" s="274"/>
      <c r="J101" s="274"/>
      <c r="K101" s="280" t="s">
        <v>22</v>
      </c>
      <c r="L101" s="275">
        <v>8</v>
      </c>
      <c r="M101" s="276">
        <v>0</v>
      </c>
      <c r="N101" s="276"/>
      <c r="O101" s="274">
        <v>3809.3</v>
      </c>
      <c r="P101" s="274"/>
      <c r="Q101" s="276">
        <v>0</v>
      </c>
      <c r="R101" s="276"/>
      <c r="S101" s="274">
        <v>3809.3</v>
      </c>
      <c r="T101" s="274"/>
      <c r="U101" s="276">
        <v>0</v>
      </c>
      <c r="V101" s="276"/>
      <c r="W101" s="276"/>
      <c r="X101" s="277">
        <f t="shared" si="8"/>
        <v>2009</v>
      </c>
      <c r="Y101" s="277">
        <f t="shared" si="9"/>
        <v>7</v>
      </c>
      <c r="Z101" s="278"/>
      <c r="AA101" s="278"/>
      <c r="AB101" s="278"/>
      <c r="AC101" s="278"/>
      <c r="AD101" s="278"/>
      <c r="AE101" s="278"/>
    </row>
    <row r="102" spans="1:31" s="260" customFormat="1" ht="11.25" customHeight="1" x14ac:dyDescent="0.2">
      <c r="A102" s="270"/>
      <c r="B102" s="271">
        <v>170</v>
      </c>
      <c r="C102" s="272" t="s">
        <v>88</v>
      </c>
      <c r="D102" s="272"/>
      <c r="E102" s="272"/>
      <c r="F102" s="272"/>
      <c r="G102" s="273">
        <v>40543</v>
      </c>
      <c r="H102" s="274">
        <v>139362</v>
      </c>
      <c r="I102" s="274"/>
      <c r="J102" s="274"/>
      <c r="K102" s="280" t="s">
        <v>22</v>
      </c>
      <c r="L102" s="275">
        <v>8</v>
      </c>
      <c r="M102" s="276">
        <v>0</v>
      </c>
      <c r="N102" s="276"/>
      <c r="O102" s="274">
        <v>139362</v>
      </c>
      <c r="P102" s="274"/>
      <c r="Q102" s="276">
        <v>0</v>
      </c>
      <c r="R102" s="276"/>
      <c r="S102" s="274">
        <v>139362</v>
      </c>
      <c r="T102" s="274"/>
      <c r="U102" s="276">
        <v>0</v>
      </c>
      <c r="V102" s="276"/>
      <c r="W102" s="276"/>
      <c r="X102" s="277">
        <f t="shared" si="8"/>
        <v>2010</v>
      </c>
      <c r="Y102" s="277">
        <f t="shared" si="9"/>
        <v>12</v>
      </c>
      <c r="Z102" s="278"/>
      <c r="AA102" s="278"/>
      <c r="AB102" s="278"/>
      <c r="AC102" s="278"/>
      <c r="AD102" s="278"/>
      <c r="AE102" s="278"/>
    </row>
    <row r="103" spans="1:31" s="260" customFormat="1" ht="11.25" customHeight="1" x14ac:dyDescent="0.2">
      <c r="A103" s="270"/>
      <c r="B103" s="271">
        <v>171</v>
      </c>
      <c r="C103" s="272" t="s">
        <v>89</v>
      </c>
      <c r="D103" s="272"/>
      <c r="E103" s="272"/>
      <c r="F103" s="272"/>
      <c r="G103" s="273">
        <v>40543</v>
      </c>
      <c r="H103" s="274">
        <v>118040.72</v>
      </c>
      <c r="I103" s="274"/>
      <c r="J103" s="274"/>
      <c r="K103" s="280" t="s">
        <v>22</v>
      </c>
      <c r="L103" s="275">
        <v>8</v>
      </c>
      <c r="M103" s="276">
        <v>0</v>
      </c>
      <c r="N103" s="276"/>
      <c r="O103" s="274">
        <v>118040.72</v>
      </c>
      <c r="P103" s="274"/>
      <c r="Q103" s="276">
        <v>0</v>
      </c>
      <c r="R103" s="276"/>
      <c r="S103" s="274">
        <v>118040.72</v>
      </c>
      <c r="T103" s="274"/>
      <c r="U103" s="276">
        <v>0</v>
      </c>
      <c r="V103" s="276"/>
      <c r="W103" s="276"/>
      <c r="X103" s="277">
        <f t="shared" si="8"/>
        <v>2010</v>
      </c>
      <c r="Y103" s="277">
        <f t="shared" si="9"/>
        <v>12</v>
      </c>
      <c r="Z103" s="278"/>
      <c r="AA103" s="278"/>
      <c r="AB103" s="278"/>
      <c r="AC103" s="278"/>
      <c r="AD103" s="278"/>
      <c r="AE103" s="278"/>
    </row>
    <row r="104" spans="1:31" s="260" customFormat="1" ht="11.25" customHeight="1" x14ac:dyDescent="0.2">
      <c r="A104" s="270"/>
      <c r="B104" s="271">
        <v>190</v>
      </c>
      <c r="C104" s="272" t="s">
        <v>90</v>
      </c>
      <c r="D104" s="272"/>
      <c r="E104" s="272"/>
      <c r="F104" s="272"/>
      <c r="G104" s="273">
        <v>41000</v>
      </c>
      <c r="H104" s="274">
        <v>267862.78000000003</v>
      </c>
      <c r="I104" s="274"/>
      <c r="J104" s="274"/>
      <c r="K104" s="280" t="s">
        <v>22</v>
      </c>
      <c r="L104" s="275">
        <v>8</v>
      </c>
      <c r="M104" s="276">
        <v>0</v>
      </c>
      <c r="N104" s="276"/>
      <c r="O104" s="274">
        <v>259492.09</v>
      </c>
      <c r="P104" s="274"/>
      <c r="Q104" s="274">
        <v>8370.69</v>
      </c>
      <c r="R104" s="274"/>
      <c r="S104" s="274">
        <v>267862.78000000003</v>
      </c>
      <c r="T104" s="274"/>
      <c r="U104" s="276">
        <v>0</v>
      </c>
      <c r="V104" s="276"/>
      <c r="W104" s="276"/>
      <c r="X104" s="277">
        <f t="shared" si="8"/>
        <v>2012</v>
      </c>
      <c r="Y104" s="277">
        <f t="shared" si="9"/>
        <v>4</v>
      </c>
      <c r="Z104" s="278"/>
      <c r="AA104" s="278"/>
      <c r="AB104" s="278"/>
      <c r="AC104" s="278"/>
      <c r="AD104" s="278"/>
      <c r="AE104" s="278"/>
    </row>
    <row r="105" spans="1:31" s="260" customFormat="1" ht="11.25" customHeight="1" x14ac:dyDescent="0.2">
      <c r="A105" s="270"/>
      <c r="B105" s="271">
        <v>191</v>
      </c>
      <c r="C105" s="272" t="s">
        <v>91</v>
      </c>
      <c r="D105" s="272"/>
      <c r="E105" s="272"/>
      <c r="F105" s="272"/>
      <c r="G105" s="273">
        <v>41000</v>
      </c>
      <c r="H105" s="274">
        <v>207269.18</v>
      </c>
      <c r="I105" s="274"/>
      <c r="J105" s="274"/>
      <c r="K105" s="280" t="s">
        <v>22</v>
      </c>
      <c r="L105" s="275">
        <v>8</v>
      </c>
      <c r="M105" s="276">
        <v>0</v>
      </c>
      <c r="N105" s="276"/>
      <c r="O105" s="274">
        <v>200792.04</v>
      </c>
      <c r="P105" s="274"/>
      <c r="Q105" s="274">
        <v>6477.14</v>
      </c>
      <c r="R105" s="274"/>
      <c r="S105" s="274">
        <v>207269.18</v>
      </c>
      <c r="T105" s="274"/>
      <c r="U105" s="276">
        <v>0</v>
      </c>
      <c r="V105" s="276"/>
      <c r="W105" s="276"/>
      <c r="X105" s="277">
        <f t="shared" si="8"/>
        <v>2012</v>
      </c>
      <c r="Y105" s="277">
        <f t="shared" si="9"/>
        <v>4</v>
      </c>
      <c r="Z105" s="278"/>
      <c r="AA105" s="278"/>
      <c r="AB105" s="278"/>
      <c r="AC105" s="278"/>
      <c r="AD105" s="278"/>
      <c r="AE105" s="278"/>
    </row>
    <row r="106" spans="1:31" s="260" customFormat="1" ht="11.25" customHeight="1" x14ac:dyDescent="0.2">
      <c r="A106" s="270"/>
      <c r="B106" s="271">
        <v>219</v>
      </c>
      <c r="C106" s="272" t="s">
        <v>92</v>
      </c>
      <c r="D106" s="272"/>
      <c r="E106" s="272"/>
      <c r="F106" s="272"/>
      <c r="G106" s="273">
        <v>41973</v>
      </c>
      <c r="H106" s="274">
        <v>290270.09000000003</v>
      </c>
      <c r="I106" s="274"/>
      <c r="J106" s="274"/>
      <c r="K106" s="280" t="s">
        <v>22</v>
      </c>
      <c r="L106" s="275">
        <v>8</v>
      </c>
      <c r="M106" s="276">
        <v>0</v>
      </c>
      <c r="N106" s="276"/>
      <c r="O106" s="274">
        <v>187466.09</v>
      </c>
      <c r="P106" s="274"/>
      <c r="Q106" s="274">
        <v>36283.760000000002</v>
      </c>
      <c r="R106" s="274"/>
      <c r="S106" s="274">
        <v>223749.85</v>
      </c>
      <c r="T106" s="274"/>
      <c r="U106" s="274">
        <v>66520.240000000005</v>
      </c>
      <c r="V106" s="274"/>
      <c r="W106" s="274"/>
      <c r="X106" s="277">
        <f t="shared" si="8"/>
        <v>2014</v>
      </c>
      <c r="Y106" s="277">
        <f t="shared" si="9"/>
        <v>11</v>
      </c>
      <c r="Z106" s="278"/>
      <c r="AA106" s="278"/>
      <c r="AB106" s="278"/>
      <c r="AC106" s="278"/>
      <c r="AD106" s="278"/>
      <c r="AE106" s="278"/>
    </row>
    <row r="107" spans="1:31" s="260" customFormat="1" ht="11.25" customHeight="1" x14ac:dyDescent="0.2">
      <c r="A107" s="270"/>
      <c r="B107" s="271">
        <v>224</v>
      </c>
      <c r="C107" s="272" t="s">
        <v>93</v>
      </c>
      <c r="D107" s="272"/>
      <c r="E107" s="272"/>
      <c r="F107" s="272"/>
      <c r="G107" s="273">
        <v>41973</v>
      </c>
      <c r="H107" s="274">
        <v>5612.5</v>
      </c>
      <c r="I107" s="274"/>
      <c r="J107" s="274"/>
      <c r="K107" s="280" t="s">
        <v>22</v>
      </c>
      <c r="L107" s="275">
        <v>8</v>
      </c>
      <c r="M107" s="276">
        <v>0</v>
      </c>
      <c r="N107" s="276"/>
      <c r="O107" s="274">
        <v>3624.73</v>
      </c>
      <c r="P107" s="274"/>
      <c r="Q107" s="276">
        <v>701.56</v>
      </c>
      <c r="R107" s="276"/>
      <c r="S107" s="274">
        <v>4326.29</v>
      </c>
      <c r="T107" s="274"/>
      <c r="U107" s="274">
        <v>1286.21</v>
      </c>
      <c r="V107" s="274"/>
      <c r="W107" s="274"/>
      <c r="X107" s="277">
        <f t="shared" si="8"/>
        <v>2014</v>
      </c>
      <c r="Y107" s="277">
        <f t="shared" si="9"/>
        <v>11</v>
      </c>
      <c r="Z107" s="278"/>
      <c r="AA107" s="278"/>
      <c r="AB107" s="278"/>
      <c r="AC107" s="278"/>
      <c r="AD107" s="278"/>
      <c r="AE107" s="278"/>
    </row>
    <row r="108" spans="1:31" s="260" customFormat="1" ht="11.25" customHeight="1" x14ac:dyDescent="0.2">
      <c r="A108" s="270"/>
      <c r="B108" s="271">
        <v>240</v>
      </c>
      <c r="C108" s="272" t="s">
        <v>94</v>
      </c>
      <c r="D108" s="272"/>
      <c r="E108" s="272"/>
      <c r="F108" s="272"/>
      <c r="G108" s="273">
        <v>42552</v>
      </c>
      <c r="H108" s="274">
        <v>151571.42000000001</v>
      </c>
      <c r="I108" s="274"/>
      <c r="J108" s="274"/>
      <c r="K108" s="280" t="s">
        <v>22</v>
      </c>
      <c r="L108" s="275">
        <v>8</v>
      </c>
      <c r="M108" s="276">
        <v>0</v>
      </c>
      <c r="N108" s="276"/>
      <c r="O108" s="274">
        <v>66312.5</v>
      </c>
      <c r="P108" s="274"/>
      <c r="Q108" s="274">
        <v>18946.43</v>
      </c>
      <c r="R108" s="274"/>
      <c r="S108" s="274">
        <v>85258.93</v>
      </c>
      <c r="T108" s="274"/>
      <c r="U108" s="274">
        <v>66312.490000000005</v>
      </c>
      <c r="V108" s="274"/>
      <c r="W108" s="274"/>
      <c r="X108" s="277">
        <f t="shared" si="8"/>
        <v>2016</v>
      </c>
      <c r="Y108" s="277">
        <f t="shared" si="9"/>
        <v>7</v>
      </c>
      <c r="Z108" s="278"/>
      <c r="AA108" s="278"/>
      <c r="AB108" s="278"/>
      <c r="AC108" s="278"/>
      <c r="AD108" s="278"/>
      <c r="AE108" s="278"/>
    </row>
    <row r="109" spans="1:31" s="260" customFormat="1" ht="11.25" customHeight="1" x14ac:dyDescent="0.2">
      <c r="A109" s="270"/>
      <c r="B109" s="271">
        <v>246</v>
      </c>
      <c r="C109" s="272" t="s">
        <v>95</v>
      </c>
      <c r="D109" s="272"/>
      <c r="E109" s="272"/>
      <c r="F109" s="272"/>
      <c r="G109" s="273">
        <v>42552</v>
      </c>
      <c r="H109" s="274">
        <v>155817.66</v>
      </c>
      <c r="I109" s="274"/>
      <c r="J109" s="274"/>
      <c r="K109" s="280" t="s">
        <v>22</v>
      </c>
      <c r="L109" s="275">
        <v>8</v>
      </c>
      <c r="M109" s="276">
        <v>0</v>
      </c>
      <c r="N109" s="276"/>
      <c r="O109" s="274">
        <v>68170.23</v>
      </c>
      <c r="P109" s="274"/>
      <c r="Q109" s="274">
        <v>19477.21</v>
      </c>
      <c r="R109" s="274"/>
      <c r="S109" s="274">
        <v>87647.44</v>
      </c>
      <c r="T109" s="274"/>
      <c r="U109" s="274">
        <v>68170.22</v>
      </c>
      <c r="V109" s="274"/>
      <c r="W109" s="274"/>
      <c r="X109" s="277">
        <f t="shared" si="8"/>
        <v>2016</v>
      </c>
      <c r="Y109" s="277">
        <f t="shared" si="9"/>
        <v>7</v>
      </c>
      <c r="Z109" s="278"/>
      <c r="AA109" s="278"/>
      <c r="AB109" s="278"/>
      <c r="AC109" s="278"/>
      <c r="AD109" s="278"/>
      <c r="AE109" s="278"/>
    </row>
    <row r="110" spans="1:31" s="260" customFormat="1" ht="15" customHeight="1" x14ac:dyDescent="0.2">
      <c r="A110" s="270"/>
      <c r="B110" s="271">
        <v>255</v>
      </c>
      <c r="C110" s="272" t="s">
        <v>96</v>
      </c>
      <c r="D110" s="272"/>
      <c r="E110" s="272"/>
      <c r="F110" s="272"/>
      <c r="G110" s="273">
        <v>42388</v>
      </c>
      <c r="H110" s="274">
        <v>4011.67</v>
      </c>
      <c r="I110" s="274"/>
      <c r="J110" s="270"/>
      <c r="K110" s="280" t="s">
        <v>22</v>
      </c>
      <c r="L110" s="275">
        <v>8</v>
      </c>
      <c r="M110" s="276">
        <v>0</v>
      </c>
      <c r="N110" s="276"/>
      <c r="O110" s="274">
        <v>2005.84</v>
      </c>
      <c r="P110" s="274"/>
      <c r="Q110" s="276">
        <v>501.46</v>
      </c>
      <c r="R110" s="276"/>
      <c r="S110" s="274">
        <v>2507.3000000000002</v>
      </c>
      <c r="T110" s="274"/>
      <c r="U110" s="283">
        <v>1504.37</v>
      </c>
      <c r="V110" s="284"/>
      <c r="W110" s="284"/>
      <c r="X110" s="277">
        <f t="shared" si="8"/>
        <v>2016</v>
      </c>
      <c r="Y110" s="277">
        <f t="shared" si="9"/>
        <v>1</v>
      </c>
      <c r="Z110" s="278"/>
      <c r="AA110" s="278"/>
      <c r="AB110" s="278"/>
      <c r="AC110" s="278"/>
      <c r="AD110" s="278"/>
      <c r="AE110" s="278"/>
    </row>
    <row r="111" spans="1:31" s="260" customFormat="1" ht="11.25" customHeight="1" x14ac:dyDescent="0.2">
      <c r="A111" s="270"/>
      <c r="B111" s="271">
        <v>256</v>
      </c>
      <c r="C111" s="272" t="s">
        <v>97</v>
      </c>
      <c r="D111" s="272"/>
      <c r="E111" s="272"/>
      <c r="F111" s="272"/>
      <c r="G111" s="273">
        <v>42471</v>
      </c>
      <c r="H111" s="274">
        <v>4550.08</v>
      </c>
      <c r="I111" s="274"/>
      <c r="J111" s="270"/>
      <c r="K111" s="280" t="s">
        <v>22</v>
      </c>
      <c r="L111" s="275">
        <v>8</v>
      </c>
      <c r="M111" s="276">
        <v>0</v>
      </c>
      <c r="N111" s="276"/>
      <c r="O111" s="274">
        <v>2132.85</v>
      </c>
      <c r="P111" s="274"/>
      <c r="Q111" s="276">
        <v>568.76</v>
      </c>
      <c r="R111" s="276"/>
      <c r="S111" s="274">
        <v>2701.61</v>
      </c>
      <c r="T111" s="274"/>
      <c r="U111" s="283">
        <v>1848.47</v>
      </c>
      <c r="V111" s="284"/>
      <c r="W111" s="284"/>
      <c r="X111" s="277">
        <f t="shared" si="8"/>
        <v>2016</v>
      </c>
      <c r="Y111" s="277">
        <f t="shared" si="9"/>
        <v>4</v>
      </c>
      <c r="Z111" s="278"/>
      <c r="AA111" s="278"/>
      <c r="AB111" s="278"/>
      <c r="AC111" s="278"/>
      <c r="AD111" s="278"/>
      <c r="AE111" s="278"/>
    </row>
    <row r="112" spans="1:31" s="260" customFormat="1" ht="11.25" customHeight="1" x14ac:dyDescent="0.2">
      <c r="A112" s="270"/>
      <c r="B112" s="271">
        <v>257</v>
      </c>
      <c r="C112" s="272" t="s">
        <v>98</v>
      </c>
      <c r="D112" s="272"/>
      <c r="E112" s="272"/>
      <c r="F112" s="272"/>
      <c r="G112" s="273">
        <v>42501</v>
      </c>
      <c r="H112" s="274">
        <v>2621.14</v>
      </c>
      <c r="I112" s="274"/>
      <c r="J112" s="270"/>
      <c r="K112" s="280" t="s">
        <v>22</v>
      </c>
      <c r="L112" s="275">
        <v>8</v>
      </c>
      <c r="M112" s="276">
        <v>0</v>
      </c>
      <c r="N112" s="276"/>
      <c r="O112" s="274">
        <v>1201.3499999999999</v>
      </c>
      <c r="P112" s="274"/>
      <c r="Q112" s="276">
        <v>327.64</v>
      </c>
      <c r="R112" s="276"/>
      <c r="S112" s="274">
        <v>1528.99</v>
      </c>
      <c r="T112" s="274"/>
      <c r="U112" s="283">
        <v>1092.1500000000001</v>
      </c>
      <c r="V112" s="284"/>
      <c r="W112" s="284"/>
      <c r="X112" s="277">
        <f t="shared" si="8"/>
        <v>2016</v>
      </c>
      <c r="Y112" s="277">
        <f t="shared" si="9"/>
        <v>5</v>
      </c>
      <c r="Z112" s="278"/>
      <c r="AA112" s="278"/>
      <c r="AB112" s="278"/>
      <c r="AC112" s="278"/>
      <c r="AD112" s="278"/>
      <c r="AE112" s="278"/>
    </row>
    <row r="113" spans="1:31" s="260" customFormat="1" ht="11.25" customHeight="1" x14ac:dyDescent="0.2">
      <c r="A113" s="270"/>
      <c r="B113" s="271">
        <v>262</v>
      </c>
      <c r="C113" s="272" t="s">
        <v>99</v>
      </c>
      <c r="D113" s="272"/>
      <c r="E113" s="272"/>
      <c r="F113" s="272"/>
      <c r="G113" s="273">
        <v>42986</v>
      </c>
      <c r="H113" s="274">
        <v>163155.09</v>
      </c>
      <c r="I113" s="274"/>
      <c r="J113" s="270"/>
      <c r="K113" s="280" t="s">
        <v>22</v>
      </c>
      <c r="L113" s="275">
        <v>7</v>
      </c>
      <c r="M113" s="276">
        <v>0</v>
      </c>
      <c r="N113" s="276"/>
      <c r="O113" s="274">
        <v>54385.03</v>
      </c>
      <c r="P113" s="274"/>
      <c r="Q113" s="274">
        <v>23307.87</v>
      </c>
      <c r="R113" s="274"/>
      <c r="S113" s="274">
        <v>77692.899999999994</v>
      </c>
      <c r="T113" s="274"/>
      <c r="U113" s="283">
        <v>85462.19</v>
      </c>
      <c r="V113" s="284"/>
      <c r="W113" s="284"/>
      <c r="X113" s="277">
        <f t="shared" si="8"/>
        <v>2017</v>
      </c>
      <c r="Y113" s="277">
        <f t="shared" si="9"/>
        <v>9</v>
      </c>
      <c r="Z113" s="278"/>
      <c r="AA113" s="278"/>
      <c r="AB113" s="278"/>
      <c r="AC113" s="278"/>
      <c r="AD113" s="278"/>
      <c r="AE113" s="278"/>
    </row>
    <row r="114" spans="1:31" s="260" customFormat="1" ht="11.25" customHeight="1" x14ac:dyDescent="0.2">
      <c r="A114" s="270"/>
      <c r="B114" s="271">
        <v>266</v>
      </c>
      <c r="C114" s="272" t="s">
        <v>100</v>
      </c>
      <c r="D114" s="272"/>
      <c r="E114" s="272"/>
      <c r="F114" s="272"/>
      <c r="G114" s="273">
        <v>42766</v>
      </c>
      <c r="H114" s="274">
        <v>3392.21</v>
      </c>
      <c r="I114" s="274"/>
      <c r="J114" s="270"/>
      <c r="K114" s="280" t="s">
        <v>22</v>
      </c>
      <c r="L114" s="275">
        <v>8</v>
      </c>
      <c r="M114" s="276">
        <v>0</v>
      </c>
      <c r="N114" s="276"/>
      <c r="O114" s="274">
        <v>1272.0899999999999</v>
      </c>
      <c r="P114" s="274"/>
      <c r="Q114" s="276">
        <v>424.03</v>
      </c>
      <c r="R114" s="276"/>
      <c r="S114" s="274">
        <v>1696.12</v>
      </c>
      <c r="T114" s="274"/>
      <c r="U114" s="283">
        <v>1696.09</v>
      </c>
      <c r="V114" s="284"/>
      <c r="W114" s="284"/>
      <c r="X114" s="277">
        <f t="shared" si="8"/>
        <v>2017</v>
      </c>
      <c r="Y114" s="277">
        <f t="shared" si="9"/>
        <v>1</v>
      </c>
      <c r="Z114" s="278"/>
      <c r="AA114" s="278"/>
      <c r="AB114" s="278"/>
      <c r="AC114" s="278"/>
      <c r="AD114" s="278"/>
      <c r="AE114" s="278"/>
    </row>
    <row r="115" spans="1:31" s="260" customFormat="1" ht="11.25" customHeight="1" x14ac:dyDescent="0.2">
      <c r="A115" s="270"/>
      <c r="B115" s="271">
        <v>267</v>
      </c>
      <c r="C115" s="272" t="s">
        <v>101</v>
      </c>
      <c r="D115" s="272"/>
      <c r="E115" s="272"/>
      <c r="F115" s="272"/>
      <c r="G115" s="273">
        <v>42766</v>
      </c>
      <c r="H115" s="274">
        <v>2858.56</v>
      </c>
      <c r="I115" s="274"/>
      <c r="J115" s="270"/>
      <c r="K115" s="280" t="s">
        <v>22</v>
      </c>
      <c r="L115" s="275">
        <v>8</v>
      </c>
      <c r="M115" s="276">
        <v>0</v>
      </c>
      <c r="N115" s="276"/>
      <c r="O115" s="274">
        <v>1071.96</v>
      </c>
      <c r="P115" s="274"/>
      <c r="Q115" s="276">
        <v>357.32</v>
      </c>
      <c r="R115" s="276"/>
      <c r="S115" s="274">
        <v>1429.28</v>
      </c>
      <c r="T115" s="274"/>
      <c r="U115" s="283">
        <v>1429.28</v>
      </c>
      <c r="V115" s="284"/>
      <c r="W115" s="284"/>
      <c r="X115" s="277">
        <f t="shared" si="8"/>
        <v>2017</v>
      </c>
      <c r="Y115" s="277">
        <f t="shared" si="9"/>
        <v>1</v>
      </c>
      <c r="Z115" s="278"/>
      <c r="AA115" s="278"/>
      <c r="AB115" s="278"/>
      <c r="AC115" s="278"/>
      <c r="AD115" s="278"/>
      <c r="AE115" s="278"/>
    </row>
    <row r="116" spans="1:31" s="260" customFormat="1" ht="11.25" customHeight="1" x14ac:dyDescent="0.2">
      <c r="A116" s="270"/>
      <c r="B116" s="271">
        <v>269</v>
      </c>
      <c r="C116" s="272" t="s">
        <v>102</v>
      </c>
      <c r="D116" s="272"/>
      <c r="E116" s="272"/>
      <c r="F116" s="272"/>
      <c r="G116" s="273">
        <v>42794</v>
      </c>
      <c r="H116" s="274">
        <v>3629.6</v>
      </c>
      <c r="I116" s="274"/>
      <c r="J116" s="270"/>
      <c r="K116" s="280" t="s">
        <v>22</v>
      </c>
      <c r="L116" s="275">
        <v>8</v>
      </c>
      <c r="M116" s="276">
        <v>0</v>
      </c>
      <c r="N116" s="276"/>
      <c r="O116" s="274">
        <v>1323.29</v>
      </c>
      <c r="P116" s="274"/>
      <c r="Q116" s="276">
        <v>453.7</v>
      </c>
      <c r="R116" s="276"/>
      <c r="S116" s="274">
        <v>1776.99</v>
      </c>
      <c r="T116" s="274"/>
      <c r="U116" s="283">
        <v>1852.61</v>
      </c>
      <c r="V116" s="284"/>
      <c r="W116" s="284"/>
      <c r="X116" s="277">
        <f t="shared" si="8"/>
        <v>2017</v>
      </c>
      <c r="Y116" s="277">
        <f t="shared" si="9"/>
        <v>2</v>
      </c>
      <c r="Z116" s="278"/>
      <c r="AA116" s="278"/>
      <c r="AB116" s="278"/>
      <c r="AC116" s="278"/>
      <c r="AD116" s="278"/>
      <c r="AE116" s="278"/>
    </row>
    <row r="117" spans="1:31" s="260" customFormat="1" ht="11.25" customHeight="1" x14ac:dyDescent="0.2">
      <c r="A117" s="270"/>
      <c r="B117" s="271">
        <v>270</v>
      </c>
      <c r="C117" s="272" t="s">
        <v>103</v>
      </c>
      <c r="D117" s="272"/>
      <c r="E117" s="272"/>
      <c r="F117" s="272"/>
      <c r="G117" s="273">
        <v>43101</v>
      </c>
      <c r="H117" s="274">
        <v>47590.79</v>
      </c>
      <c r="I117" s="274"/>
      <c r="J117" s="270"/>
      <c r="K117" s="280" t="s">
        <v>22</v>
      </c>
      <c r="L117" s="275">
        <v>8</v>
      </c>
      <c r="M117" s="276">
        <v>0</v>
      </c>
      <c r="N117" s="276"/>
      <c r="O117" s="274">
        <v>11897.7</v>
      </c>
      <c r="P117" s="274"/>
      <c r="Q117" s="274">
        <v>5948.85</v>
      </c>
      <c r="R117" s="274"/>
      <c r="S117" s="274">
        <v>17846.55</v>
      </c>
      <c r="T117" s="274"/>
      <c r="U117" s="283">
        <v>29744.240000000002</v>
      </c>
      <c r="V117" s="284"/>
      <c r="W117" s="284"/>
      <c r="X117" s="277">
        <f t="shared" si="8"/>
        <v>2018</v>
      </c>
      <c r="Y117" s="277">
        <f t="shared" si="9"/>
        <v>1</v>
      </c>
      <c r="Z117" s="278"/>
      <c r="AA117" s="278"/>
      <c r="AB117" s="278"/>
      <c r="AC117" s="278"/>
      <c r="AD117" s="278"/>
      <c r="AE117" s="278"/>
    </row>
    <row r="118" spans="1:31" s="260" customFormat="1" ht="11.25" customHeight="1" x14ac:dyDescent="0.2">
      <c r="A118" s="270"/>
      <c r="B118" s="271">
        <v>271</v>
      </c>
      <c r="C118" s="272" t="s">
        <v>104</v>
      </c>
      <c r="D118" s="272"/>
      <c r="E118" s="272"/>
      <c r="F118" s="272"/>
      <c r="G118" s="273">
        <v>42986</v>
      </c>
      <c r="H118" s="274">
        <v>112739.2</v>
      </c>
      <c r="I118" s="274"/>
      <c r="J118" s="270"/>
      <c r="K118" s="280" t="s">
        <v>22</v>
      </c>
      <c r="L118" s="275">
        <v>7</v>
      </c>
      <c r="M118" s="276">
        <v>0</v>
      </c>
      <c r="N118" s="276"/>
      <c r="O118" s="274">
        <v>37579.730000000003</v>
      </c>
      <c r="P118" s="274"/>
      <c r="Q118" s="274">
        <v>16105.6</v>
      </c>
      <c r="R118" s="274"/>
      <c r="S118" s="274">
        <v>53685.33</v>
      </c>
      <c r="T118" s="274"/>
      <c r="U118" s="283">
        <v>59053.87</v>
      </c>
      <c r="V118" s="284"/>
      <c r="W118" s="284"/>
      <c r="X118" s="277">
        <f t="shared" si="8"/>
        <v>2017</v>
      </c>
      <c r="Y118" s="277">
        <f t="shared" si="9"/>
        <v>9</v>
      </c>
      <c r="Z118" s="278"/>
      <c r="AA118" s="278"/>
      <c r="AB118" s="278"/>
      <c r="AC118" s="278"/>
      <c r="AD118" s="278"/>
      <c r="AE118" s="278"/>
    </row>
    <row r="119" spans="1:31" s="260" customFormat="1" ht="11.25" customHeight="1" x14ac:dyDescent="0.2">
      <c r="A119" s="270"/>
      <c r="B119" s="271">
        <v>291</v>
      </c>
      <c r="C119" s="272" t="s">
        <v>105</v>
      </c>
      <c r="D119" s="272"/>
      <c r="E119" s="272"/>
      <c r="F119" s="272"/>
      <c r="G119" s="273">
        <v>43100</v>
      </c>
      <c r="H119" s="274">
        <v>3304.11</v>
      </c>
      <c r="I119" s="274"/>
      <c r="J119" s="270"/>
      <c r="K119" s="280" t="s">
        <v>22</v>
      </c>
      <c r="L119" s="275">
        <v>5</v>
      </c>
      <c r="M119" s="276">
        <v>0</v>
      </c>
      <c r="N119" s="276"/>
      <c r="O119" s="274">
        <v>1376.71</v>
      </c>
      <c r="P119" s="274"/>
      <c r="Q119" s="276">
        <v>660.82</v>
      </c>
      <c r="R119" s="276"/>
      <c r="S119" s="274">
        <v>2037.53</v>
      </c>
      <c r="T119" s="274"/>
      <c r="U119" s="283">
        <v>1266.58</v>
      </c>
      <c r="V119" s="284"/>
      <c r="W119" s="284"/>
      <c r="X119" s="277">
        <f t="shared" si="8"/>
        <v>2017</v>
      </c>
      <c r="Y119" s="277">
        <f t="shared" si="9"/>
        <v>12</v>
      </c>
      <c r="Z119" s="278"/>
      <c r="AA119" s="278"/>
      <c r="AB119" s="278"/>
      <c r="AC119" s="278"/>
      <c r="AD119" s="278"/>
      <c r="AE119" s="278"/>
    </row>
    <row r="120" spans="1:31" s="260" customFormat="1" ht="11.25" customHeight="1" x14ac:dyDescent="0.2">
      <c r="A120" s="270"/>
      <c r="B120" s="271">
        <v>292</v>
      </c>
      <c r="C120" s="272" t="s">
        <v>106</v>
      </c>
      <c r="D120" s="272"/>
      <c r="E120" s="272"/>
      <c r="F120" s="272"/>
      <c r="G120" s="273">
        <v>43101</v>
      </c>
      <c r="H120" s="274">
        <v>3429.47</v>
      </c>
      <c r="I120" s="274"/>
      <c r="J120" s="270"/>
      <c r="K120" s="280" t="s">
        <v>22</v>
      </c>
      <c r="L120" s="275">
        <v>5</v>
      </c>
      <c r="M120" s="276">
        <v>0</v>
      </c>
      <c r="N120" s="276"/>
      <c r="O120" s="274">
        <v>1371.78</v>
      </c>
      <c r="P120" s="274"/>
      <c r="Q120" s="276">
        <v>685.89</v>
      </c>
      <c r="R120" s="276"/>
      <c r="S120" s="274">
        <v>2057.67</v>
      </c>
      <c r="T120" s="274"/>
      <c r="U120" s="283">
        <v>1371.8</v>
      </c>
      <c r="V120" s="284"/>
      <c r="W120" s="284"/>
      <c r="X120" s="277">
        <f t="shared" si="8"/>
        <v>2018</v>
      </c>
      <c r="Y120" s="277">
        <f t="shared" si="9"/>
        <v>1</v>
      </c>
      <c r="Z120" s="278"/>
      <c r="AA120" s="278"/>
      <c r="AB120" s="278"/>
      <c r="AC120" s="278"/>
      <c r="AD120" s="278"/>
      <c r="AE120" s="278"/>
    </row>
    <row r="121" spans="1:31" s="260" customFormat="1" ht="11.25" customHeight="1" x14ac:dyDescent="0.2">
      <c r="A121" s="270"/>
      <c r="B121" s="271">
        <v>295</v>
      </c>
      <c r="C121" s="272" t="s">
        <v>107</v>
      </c>
      <c r="D121" s="272"/>
      <c r="E121" s="272"/>
      <c r="F121" s="272"/>
      <c r="G121" s="273">
        <v>43293</v>
      </c>
      <c r="H121" s="274">
        <v>146067</v>
      </c>
      <c r="I121" s="274"/>
      <c r="J121" s="270"/>
      <c r="K121" s="280" t="s">
        <v>22</v>
      </c>
      <c r="L121" s="275">
        <v>8</v>
      </c>
      <c r="M121" s="276">
        <v>0</v>
      </c>
      <c r="N121" s="276"/>
      <c r="O121" s="274">
        <v>27387.57</v>
      </c>
      <c r="P121" s="274"/>
      <c r="Q121" s="274">
        <v>18258.38</v>
      </c>
      <c r="R121" s="274"/>
      <c r="S121" s="274">
        <v>45645.95</v>
      </c>
      <c r="T121" s="274"/>
      <c r="U121" s="283">
        <v>100421.05</v>
      </c>
      <c r="V121" s="284"/>
      <c r="W121" s="284"/>
      <c r="X121" s="277">
        <f t="shared" si="8"/>
        <v>2018</v>
      </c>
      <c r="Y121" s="277">
        <f t="shared" si="9"/>
        <v>7</v>
      </c>
      <c r="Z121" s="278"/>
      <c r="AA121" s="278"/>
      <c r="AB121" s="278"/>
      <c r="AC121" s="278"/>
      <c r="AD121" s="278"/>
      <c r="AE121" s="278"/>
    </row>
    <row r="122" spans="1:31" s="260" customFormat="1" ht="11.25" customHeight="1" x14ac:dyDescent="0.2">
      <c r="A122" s="270"/>
      <c r="B122" s="271">
        <v>298</v>
      </c>
      <c r="C122" s="272" t="s">
        <v>108</v>
      </c>
      <c r="D122" s="272"/>
      <c r="E122" s="272"/>
      <c r="F122" s="272"/>
      <c r="G122" s="273">
        <v>43190</v>
      </c>
      <c r="H122" s="274">
        <v>3415.12</v>
      </c>
      <c r="I122" s="274"/>
      <c r="J122" s="270"/>
      <c r="K122" s="280" t="s">
        <v>22</v>
      </c>
      <c r="L122" s="275">
        <v>5</v>
      </c>
      <c r="M122" s="276">
        <v>0</v>
      </c>
      <c r="N122" s="276"/>
      <c r="O122" s="274">
        <v>1195.29</v>
      </c>
      <c r="P122" s="274"/>
      <c r="Q122" s="276">
        <v>683.02</v>
      </c>
      <c r="R122" s="276"/>
      <c r="S122" s="274">
        <v>1878.31</v>
      </c>
      <c r="T122" s="274"/>
      <c r="U122" s="283">
        <v>1536.81</v>
      </c>
      <c r="V122" s="284"/>
      <c r="W122" s="284"/>
      <c r="X122" s="277">
        <f t="shared" si="8"/>
        <v>2018</v>
      </c>
      <c r="Y122" s="277">
        <f t="shared" si="9"/>
        <v>3</v>
      </c>
      <c r="Z122" s="278"/>
      <c r="AA122" s="278"/>
      <c r="AB122" s="278"/>
      <c r="AC122" s="278"/>
      <c r="AD122" s="278"/>
      <c r="AE122" s="278"/>
    </row>
    <row r="123" spans="1:31" s="260" customFormat="1" ht="11.25" customHeight="1" x14ac:dyDescent="0.2">
      <c r="A123" s="270"/>
      <c r="B123" s="271">
        <v>304</v>
      </c>
      <c r="C123" s="272" t="s">
        <v>109</v>
      </c>
      <c r="D123" s="272"/>
      <c r="E123" s="272"/>
      <c r="F123" s="272"/>
      <c r="G123" s="273">
        <v>43293</v>
      </c>
      <c r="H123" s="274">
        <v>62198.080000000002</v>
      </c>
      <c r="I123" s="274"/>
      <c r="J123" s="270"/>
      <c r="K123" s="280" t="s">
        <v>22</v>
      </c>
      <c r="L123" s="275">
        <v>5</v>
      </c>
      <c r="M123" s="276">
        <v>0</v>
      </c>
      <c r="N123" s="276"/>
      <c r="O123" s="274">
        <v>18659.43</v>
      </c>
      <c r="P123" s="274"/>
      <c r="Q123" s="274">
        <v>12439.62</v>
      </c>
      <c r="R123" s="274"/>
      <c r="S123" s="274">
        <v>31099.05</v>
      </c>
      <c r="T123" s="274"/>
      <c r="U123" s="283">
        <v>31099.03</v>
      </c>
      <c r="V123" s="284"/>
      <c r="W123" s="284"/>
      <c r="X123" s="277">
        <f t="shared" si="8"/>
        <v>2018</v>
      </c>
      <c r="Y123" s="277">
        <f t="shared" si="9"/>
        <v>7</v>
      </c>
      <c r="Z123" s="278"/>
      <c r="AA123" s="278"/>
      <c r="AB123" s="278"/>
      <c r="AC123" s="278"/>
      <c r="AD123" s="278"/>
      <c r="AE123" s="278"/>
    </row>
    <row r="124" spans="1:31" s="260" customFormat="1" ht="11.25" customHeight="1" x14ac:dyDescent="0.2">
      <c r="A124" s="270"/>
      <c r="B124" s="271">
        <v>305</v>
      </c>
      <c r="C124" s="272" t="s">
        <v>110</v>
      </c>
      <c r="D124" s="272"/>
      <c r="E124" s="272"/>
      <c r="F124" s="272"/>
      <c r="G124" s="273">
        <v>43293</v>
      </c>
      <c r="H124" s="274">
        <v>3067.34</v>
      </c>
      <c r="I124" s="274"/>
      <c r="J124" s="270"/>
      <c r="K124" s="280" t="s">
        <v>22</v>
      </c>
      <c r="L124" s="275">
        <v>5</v>
      </c>
      <c r="M124" s="276">
        <v>0</v>
      </c>
      <c r="N124" s="276"/>
      <c r="O124" s="276">
        <v>920.2</v>
      </c>
      <c r="P124" s="276"/>
      <c r="Q124" s="276">
        <v>613.47</v>
      </c>
      <c r="R124" s="276"/>
      <c r="S124" s="274">
        <v>1533.67</v>
      </c>
      <c r="T124" s="274"/>
      <c r="U124" s="283">
        <v>1533.67</v>
      </c>
      <c r="V124" s="284"/>
      <c r="W124" s="284"/>
      <c r="X124" s="277">
        <f t="shared" si="8"/>
        <v>2018</v>
      </c>
      <c r="Y124" s="277">
        <f t="shared" si="9"/>
        <v>7</v>
      </c>
      <c r="Z124" s="278"/>
      <c r="AA124" s="278"/>
      <c r="AB124" s="278"/>
      <c r="AC124" s="278"/>
      <c r="AD124" s="278"/>
      <c r="AE124" s="278"/>
    </row>
    <row r="125" spans="1:31" s="260" customFormat="1" ht="11.25" customHeight="1" x14ac:dyDescent="0.2">
      <c r="A125" s="270"/>
      <c r="B125" s="271">
        <v>306</v>
      </c>
      <c r="C125" s="272" t="s">
        <v>111</v>
      </c>
      <c r="D125" s="272"/>
      <c r="E125" s="272"/>
      <c r="F125" s="272"/>
      <c r="G125" s="273">
        <v>43279</v>
      </c>
      <c r="H125" s="274">
        <v>3756.48</v>
      </c>
      <c r="I125" s="274"/>
      <c r="J125" s="270"/>
      <c r="K125" s="280" t="s">
        <v>22</v>
      </c>
      <c r="L125" s="275">
        <v>5</v>
      </c>
      <c r="M125" s="276">
        <v>0</v>
      </c>
      <c r="N125" s="276"/>
      <c r="O125" s="274">
        <v>1126.95</v>
      </c>
      <c r="P125" s="274"/>
      <c r="Q125" s="276">
        <v>751.3</v>
      </c>
      <c r="R125" s="276"/>
      <c r="S125" s="274">
        <v>1878.25</v>
      </c>
      <c r="T125" s="274"/>
      <c r="U125" s="283">
        <v>1878.23</v>
      </c>
      <c r="V125" s="284"/>
      <c r="W125" s="284"/>
      <c r="X125" s="277">
        <f t="shared" si="8"/>
        <v>2018</v>
      </c>
      <c r="Y125" s="277">
        <f t="shared" si="9"/>
        <v>6</v>
      </c>
      <c r="Z125" s="278"/>
      <c r="AA125" s="278"/>
      <c r="AB125" s="278"/>
      <c r="AC125" s="278"/>
      <c r="AD125" s="278"/>
      <c r="AE125" s="278"/>
    </row>
    <row r="126" spans="1:31" s="260" customFormat="1" ht="11.25" customHeight="1" x14ac:dyDescent="0.2">
      <c r="A126" s="270"/>
      <c r="B126" s="271">
        <v>308</v>
      </c>
      <c r="C126" s="272" t="s">
        <v>112</v>
      </c>
      <c r="D126" s="272"/>
      <c r="E126" s="272"/>
      <c r="F126" s="272"/>
      <c r="G126" s="273">
        <v>43220</v>
      </c>
      <c r="H126" s="274">
        <v>4199.37</v>
      </c>
      <c r="I126" s="274"/>
      <c r="J126" s="270"/>
      <c r="K126" s="280" t="s">
        <v>22</v>
      </c>
      <c r="L126" s="275">
        <v>5</v>
      </c>
      <c r="M126" s="276">
        <v>0</v>
      </c>
      <c r="N126" s="276"/>
      <c r="O126" s="274">
        <v>1399.79</v>
      </c>
      <c r="P126" s="274"/>
      <c r="Q126" s="276">
        <v>839.87</v>
      </c>
      <c r="R126" s="276"/>
      <c r="S126" s="274">
        <v>2239.66</v>
      </c>
      <c r="T126" s="274"/>
      <c r="U126" s="283">
        <v>1959.71</v>
      </c>
      <c r="V126" s="284"/>
      <c r="W126" s="284"/>
      <c r="X126" s="277">
        <f t="shared" si="8"/>
        <v>2018</v>
      </c>
      <c r="Y126" s="277">
        <f t="shared" si="9"/>
        <v>4</v>
      </c>
      <c r="Z126" s="278"/>
      <c r="AA126" s="278"/>
      <c r="AB126" s="278"/>
      <c r="AC126" s="278"/>
      <c r="AD126" s="278"/>
      <c r="AE126" s="278"/>
    </row>
    <row r="127" spans="1:31" s="260" customFormat="1" ht="11.25" customHeight="1" x14ac:dyDescent="0.2">
      <c r="A127" s="270"/>
      <c r="B127" s="271">
        <v>309</v>
      </c>
      <c r="C127" s="272" t="s">
        <v>113</v>
      </c>
      <c r="D127" s="272"/>
      <c r="E127" s="272"/>
      <c r="F127" s="272"/>
      <c r="G127" s="273">
        <v>43281</v>
      </c>
      <c r="H127" s="274">
        <v>3677.56</v>
      </c>
      <c r="I127" s="274"/>
      <c r="J127" s="270"/>
      <c r="K127" s="280" t="s">
        <v>22</v>
      </c>
      <c r="L127" s="275">
        <v>5</v>
      </c>
      <c r="M127" s="276">
        <v>0</v>
      </c>
      <c r="N127" s="276"/>
      <c r="O127" s="274">
        <v>1103.27</v>
      </c>
      <c r="P127" s="274"/>
      <c r="Q127" s="276">
        <v>735.51</v>
      </c>
      <c r="R127" s="276"/>
      <c r="S127" s="274">
        <v>1838.78</v>
      </c>
      <c r="T127" s="274"/>
      <c r="U127" s="283">
        <v>1838.78</v>
      </c>
      <c r="V127" s="284"/>
      <c r="W127" s="284"/>
      <c r="X127" s="277">
        <f t="shared" si="8"/>
        <v>2018</v>
      </c>
      <c r="Y127" s="277">
        <f t="shared" si="9"/>
        <v>6</v>
      </c>
      <c r="Z127" s="278"/>
      <c r="AA127" s="278"/>
      <c r="AB127" s="278"/>
      <c r="AC127" s="278"/>
      <c r="AD127" s="278"/>
      <c r="AE127" s="278"/>
    </row>
    <row r="128" spans="1:31" s="260" customFormat="1" ht="11.25" customHeight="1" x14ac:dyDescent="0.2">
      <c r="A128" s="270"/>
      <c r="B128" s="271">
        <v>310</v>
      </c>
      <c r="C128" s="272" t="s">
        <v>114</v>
      </c>
      <c r="D128" s="272"/>
      <c r="E128" s="272"/>
      <c r="F128" s="272"/>
      <c r="G128" s="273">
        <v>43251</v>
      </c>
      <c r="H128" s="274">
        <v>8672.16</v>
      </c>
      <c r="I128" s="274"/>
      <c r="J128" s="270"/>
      <c r="K128" s="280" t="s">
        <v>22</v>
      </c>
      <c r="L128" s="275">
        <v>5</v>
      </c>
      <c r="M128" s="276">
        <v>0</v>
      </c>
      <c r="N128" s="276"/>
      <c r="O128" s="274">
        <v>2746.18</v>
      </c>
      <c r="P128" s="274"/>
      <c r="Q128" s="274">
        <v>1734.43</v>
      </c>
      <c r="R128" s="274"/>
      <c r="S128" s="274">
        <v>4480.6099999999997</v>
      </c>
      <c r="T128" s="274"/>
      <c r="U128" s="283">
        <v>4191.55</v>
      </c>
      <c r="V128" s="284"/>
      <c r="W128" s="284"/>
      <c r="X128" s="277">
        <f t="shared" si="8"/>
        <v>2018</v>
      </c>
      <c r="Y128" s="277">
        <f t="shared" si="9"/>
        <v>5</v>
      </c>
      <c r="Z128" s="278"/>
      <c r="AA128" s="278"/>
      <c r="AB128" s="278"/>
      <c r="AC128" s="278"/>
      <c r="AD128" s="278"/>
      <c r="AE128" s="278"/>
    </row>
    <row r="129" spans="1:31" s="260" customFormat="1" ht="11.25" customHeight="1" x14ac:dyDescent="0.2">
      <c r="A129" s="270"/>
      <c r="B129" s="271">
        <v>313</v>
      </c>
      <c r="C129" s="272" t="s">
        <v>115</v>
      </c>
      <c r="D129" s="272"/>
      <c r="E129" s="272"/>
      <c r="F129" s="272"/>
      <c r="G129" s="273">
        <v>43293</v>
      </c>
      <c r="H129" s="274">
        <v>16563.97</v>
      </c>
      <c r="I129" s="274"/>
      <c r="J129" s="270"/>
      <c r="K129" s="280" t="s">
        <v>22</v>
      </c>
      <c r="L129" s="275">
        <v>7</v>
      </c>
      <c r="M129" s="276">
        <v>0</v>
      </c>
      <c r="N129" s="276"/>
      <c r="O129" s="274">
        <v>3549.42</v>
      </c>
      <c r="P129" s="274"/>
      <c r="Q129" s="274">
        <v>2366.2800000000002</v>
      </c>
      <c r="R129" s="274"/>
      <c r="S129" s="274">
        <v>5915.7</v>
      </c>
      <c r="T129" s="274"/>
      <c r="U129" s="283">
        <v>10648.27</v>
      </c>
      <c r="V129" s="284"/>
      <c r="W129" s="284"/>
      <c r="X129" s="277">
        <f t="shared" si="8"/>
        <v>2018</v>
      </c>
      <c r="Y129" s="277">
        <f t="shared" si="9"/>
        <v>7</v>
      </c>
      <c r="Z129" s="278"/>
      <c r="AA129" s="278"/>
      <c r="AB129" s="278"/>
      <c r="AC129" s="278"/>
      <c r="AD129" s="278"/>
      <c r="AE129" s="278"/>
    </row>
    <row r="130" spans="1:31" s="260" customFormat="1" ht="11.25" customHeight="1" x14ac:dyDescent="0.2">
      <c r="A130" s="270"/>
      <c r="B130" s="271">
        <v>314</v>
      </c>
      <c r="C130" s="272" t="s">
        <v>116</v>
      </c>
      <c r="D130" s="272"/>
      <c r="E130" s="272"/>
      <c r="F130" s="272"/>
      <c r="G130" s="273">
        <v>43373</v>
      </c>
      <c r="H130" s="274">
        <v>6928.9</v>
      </c>
      <c r="I130" s="274"/>
      <c r="J130" s="270"/>
      <c r="K130" s="280" t="s">
        <v>22</v>
      </c>
      <c r="L130" s="275">
        <v>8</v>
      </c>
      <c r="M130" s="276">
        <v>0</v>
      </c>
      <c r="N130" s="276"/>
      <c r="O130" s="274">
        <v>1082.6400000000001</v>
      </c>
      <c r="P130" s="274"/>
      <c r="Q130" s="276">
        <v>866.11</v>
      </c>
      <c r="R130" s="276"/>
      <c r="S130" s="274">
        <v>1948.75</v>
      </c>
      <c r="T130" s="274"/>
      <c r="U130" s="283">
        <v>4980.1499999999996</v>
      </c>
      <c r="V130" s="284"/>
      <c r="W130" s="284"/>
      <c r="X130" s="277">
        <f t="shared" si="8"/>
        <v>2018</v>
      </c>
      <c r="Y130" s="277">
        <f t="shared" si="9"/>
        <v>9</v>
      </c>
      <c r="Z130" s="278"/>
      <c r="AA130" s="278"/>
      <c r="AB130" s="278"/>
      <c r="AC130" s="278"/>
      <c r="AD130" s="278"/>
      <c r="AE130" s="278"/>
    </row>
    <row r="131" spans="1:31" s="260" customFormat="1" ht="11.25" customHeight="1" x14ac:dyDescent="0.2">
      <c r="A131" s="270"/>
      <c r="B131" s="271">
        <v>316</v>
      </c>
      <c r="C131" s="272" t="s">
        <v>117</v>
      </c>
      <c r="D131" s="272"/>
      <c r="E131" s="272"/>
      <c r="F131" s="272"/>
      <c r="G131" s="273">
        <v>43336</v>
      </c>
      <c r="H131" s="274">
        <v>3328.57</v>
      </c>
      <c r="I131" s="274"/>
      <c r="J131" s="270"/>
      <c r="K131" s="280" t="s">
        <v>22</v>
      </c>
      <c r="L131" s="275">
        <v>8</v>
      </c>
      <c r="M131" s="276">
        <v>0</v>
      </c>
      <c r="N131" s="276"/>
      <c r="O131" s="276">
        <v>554.76</v>
      </c>
      <c r="P131" s="276"/>
      <c r="Q131" s="276">
        <v>416.07</v>
      </c>
      <c r="R131" s="276"/>
      <c r="S131" s="276">
        <v>970.83</v>
      </c>
      <c r="T131" s="276"/>
      <c r="U131" s="283">
        <v>2357.7399999999998</v>
      </c>
      <c r="V131" s="284"/>
      <c r="W131" s="284"/>
      <c r="X131" s="277">
        <f t="shared" si="8"/>
        <v>2018</v>
      </c>
      <c r="Y131" s="277">
        <f t="shared" si="9"/>
        <v>8</v>
      </c>
      <c r="Z131" s="278"/>
      <c r="AA131" s="278"/>
      <c r="AB131" s="278"/>
      <c r="AC131" s="278"/>
      <c r="AD131" s="278"/>
      <c r="AE131" s="278"/>
    </row>
    <row r="132" spans="1:31" s="260" customFormat="1" ht="11.25" customHeight="1" x14ac:dyDescent="0.2">
      <c r="A132" s="270"/>
      <c r="B132" s="271">
        <v>317</v>
      </c>
      <c r="C132" s="272" t="s">
        <v>118</v>
      </c>
      <c r="D132" s="272"/>
      <c r="E132" s="272"/>
      <c r="F132" s="272"/>
      <c r="G132" s="273">
        <v>43343</v>
      </c>
      <c r="H132" s="274">
        <v>2913.49</v>
      </c>
      <c r="I132" s="274"/>
      <c r="J132" s="270"/>
      <c r="K132" s="280" t="s">
        <v>22</v>
      </c>
      <c r="L132" s="275">
        <v>8</v>
      </c>
      <c r="M132" s="276">
        <v>0</v>
      </c>
      <c r="N132" s="276"/>
      <c r="O132" s="276">
        <v>485.59</v>
      </c>
      <c r="P132" s="276"/>
      <c r="Q132" s="276">
        <v>364.19</v>
      </c>
      <c r="R132" s="276"/>
      <c r="S132" s="276">
        <v>849.78</v>
      </c>
      <c r="T132" s="276"/>
      <c r="U132" s="283">
        <v>2063.71</v>
      </c>
      <c r="V132" s="284"/>
      <c r="W132" s="284"/>
      <c r="X132" s="277">
        <f t="shared" si="8"/>
        <v>2018</v>
      </c>
      <c r="Y132" s="277">
        <f t="shared" si="9"/>
        <v>8</v>
      </c>
      <c r="Z132" s="278"/>
      <c r="AA132" s="278"/>
      <c r="AB132" s="278"/>
      <c r="AC132" s="278"/>
      <c r="AD132" s="278"/>
      <c r="AE132" s="278"/>
    </row>
    <row r="133" spans="1:31" s="260" customFormat="1" ht="11.25" customHeight="1" x14ac:dyDescent="0.2">
      <c r="A133" s="270"/>
      <c r="B133" s="271">
        <v>318</v>
      </c>
      <c r="C133" s="272" t="s">
        <v>119</v>
      </c>
      <c r="D133" s="272"/>
      <c r="E133" s="272"/>
      <c r="F133" s="272"/>
      <c r="G133" s="273">
        <v>43373</v>
      </c>
      <c r="H133" s="274">
        <v>2528.9899999999998</v>
      </c>
      <c r="I133" s="274"/>
      <c r="J133" s="270"/>
      <c r="K133" s="280" t="s">
        <v>22</v>
      </c>
      <c r="L133" s="275">
        <v>8</v>
      </c>
      <c r="M133" s="276">
        <v>0</v>
      </c>
      <c r="N133" s="276"/>
      <c r="O133" s="276">
        <v>395.15</v>
      </c>
      <c r="P133" s="276"/>
      <c r="Q133" s="276">
        <v>316.12</v>
      </c>
      <c r="R133" s="276"/>
      <c r="S133" s="276">
        <v>711.27</v>
      </c>
      <c r="T133" s="276"/>
      <c r="U133" s="283">
        <v>1817.72</v>
      </c>
      <c r="V133" s="284"/>
      <c r="W133" s="284"/>
      <c r="X133" s="277">
        <f t="shared" si="8"/>
        <v>2018</v>
      </c>
      <c r="Y133" s="277">
        <f t="shared" si="9"/>
        <v>9</v>
      </c>
      <c r="Z133" s="278"/>
      <c r="AA133" s="278"/>
      <c r="AB133" s="278"/>
      <c r="AC133" s="278"/>
      <c r="AD133" s="278"/>
      <c r="AE133" s="278"/>
    </row>
    <row r="134" spans="1:31" s="260" customFormat="1" ht="11.25" customHeight="1" x14ac:dyDescent="0.2">
      <c r="A134" s="270"/>
      <c r="B134" s="271">
        <v>320</v>
      </c>
      <c r="C134" s="272" t="s">
        <v>120</v>
      </c>
      <c r="D134" s="272"/>
      <c r="E134" s="272"/>
      <c r="F134" s="272"/>
      <c r="G134" s="273">
        <v>43434</v>
      </c>
      <c r="H134" s="274">
        <v>2700.86</v>
      </c>
      <c r="I134" s="274"/>
      <c r="J134" s="270"/>
      <c r="K134" s="280" t="s">
        <v>22</v>
      </c>
      <c r="L134" s="275">
        <v>8</v>
      </c>
      <c r="M134" s="276">
        <v>0</v>
      </c>
      <c r="N134" s="276"/>
      <c r="O134" s="276">
        <v>365.74</v>
      </c>
      <c r="P134" s="276"/>
      <c r="Q134" s="276">
        <v>337.61</v>
      </c>
      <c r="R134" s="276"/>
      <c r="S134" s="276">
        <v>703.35</v>
      </c>
      <c r="T134" s="276"/>
      <c r="U134" s="283">
        <v>1997.51</v>
      </c>
      <c r="V134" s="284"/>
      <c r="W134" s="284"/>
      <c r="X134" s="277">
        <f t="shared" si="8"/>
        <v>2018</v>
      </c>
      <c r="Y134" s="277">
        <f t="shared" si="9"/>
        <v>11</v>
      </c>
      <c r="Z134" s="278"/>
      <c r="AA134" s="278"/>
      <c r="AB134" s="278"/>
      <c r="AC134" s="278"/>
      <c r="AD134" s="278"/>
      <c r="AE134" s="278"/>
    </row>
    <row r="135" spans="1:31" s="260" customFormat="1" ht="11.25" customHeight="1" x14ac:dyDescent="0.2">
      <c r="A135" s="270"/>
      <c r="B135" s="271">
        <v>321</v>
      </c>
      <c r="C135" s="272" t="s">
        <v>121</v>
      </c>
      <c r="D135" s="272"/>
      <c r="E135" s="272"/>
      <c r="F135" s="272"/>
      <c r="G135" s="273">
        <v>43434</v>
      </c>
      <c r="H135" s="274">
        <v>8047.57</v>
      </c>
      <c r="I135" s="274"/>
      <c r="J135" s="270"/>
      <c r="K135" s="280" t="s">
        <v>22</v>
      </c>
      <c r="L135" s="275">
        <v>8</v>
      </c>
      <c r="M135" s="276">
        <v>0</v>
      </c>
      <c r="N135" s="276"/>
      <c r="O135" s="274">
        <v>1089.78</v>
      </c>
      <c r="P135" s="274"/>
      <c r="Q135" s="274">
        <v>1005.95</v>
      </c>
      <c r="R135" s="274"/>
      <c r="S135" s="274">
        <v>2095.73</v>
      </c>
      <c r="T135" s="274"/>
      <c r="U135" s="283">
        <v>5951.84</v>
      </c>
      <c r="V135" s="284"/>
      <c r="W135" s="284"/>
      <c r="X135" s="277">
        <f t="shared" si="8"/>
        <v>2018</v>
      </c>
      <c r="Y135" s="277">
        <f t="shared" si="9"/>
        <v>11</v>
      </c>
      <c r="Z135" s="278"/>
      <c r="AA135" s="278"/>
      <c r="AB135" s="278"/>
      <c r="AC135" s="278"/>
      <c r="AD135" s="278"/>
      <c r="AE135" s="278"/>
    </row>
    <row r="136" spans="1:31" s="260" customFormat="1" ht="11.25" customHeight="1" x14ac:dyDescent="0.2">
      <c r="A136" s="270"/>
      <c r="B136" s="271">
        <v>322</v>
      </c>
      <c r="C136" s="272" t="s">
        <v>122</v>
      </c>
      <c r="D136" s="272"/>
      <c r="E136" s="272"/>
      <c r="F136" s="272"/>
      <c r="G136" s="273">
        <v>43465</v>
      </c>
      <c r="H136" s="274">
        <v>4859.46</v>
      </c>
      <c r="I136" s="274"/>
      <c r="J136" s="270"/>
      <c r="K136" s="280" t="s">
        <v>22</v>
      </c>
      <c r="L136" s="275">
        <v>8</v>
      </c>
      <c r="M136" s="276">
        <v>0</v>
      </c>
      <c r="N136" s="276"/>
      <c r="O136" s="276">
        <v>607.42999999999995</v>
      </c>
      <c r="P136" s="276"/>
      <c r="Q136" s="276">
        <v>607.42999999999995</v>
      </c>
      <c r="R136" s="276"/>
      <c r="S136" s="274">
        <v>1214.8599999999999</v>
      </c>
      <c r="T136" s="274"/>
      <c r="U136" s="283">
        <v>3644.6</v>
      </c>
      <c r="V136" s="284"/>
      <c r="W136" s="284"/>
      <c r="X136" s="277">
        <f t="shared" si="8"/>
        <v>2018</v>
      </c>
      <c r="Y136" s="277">
        <f t="shared" si="9"/>
        <v>12</v>
      </c>
      <c r="Z136" s="278"/>
      <c r="AA136" s="278"/>
      <c r="AB136" s="278"/>
      <c r="AC136" s="278"/>
      <c r="AD136" s="278"/>
      <c r="AE136" s="278"/>
    </row>
    <row r="137" spans="1:31" s="260" customFormat="1" ht="11.25" customHeight="1" x14ac:dyDescent="0.2">
      <c r="A137" s="270"/>
      <c r="B137" s="271">
        <v>323</v>
      </c>
      <c r="C137" s="272" t="s">
        <v>123</v>
      </c>
      <c r="D137" s="272"/>
      <c r="E137" s="272"/>
      <c r="F137" s="272"/>
      <c r="G137" s="273">
        <v>43465</v>
      </c>
      <c r="H137" s="274">
        <v>8303.98</v>
      </c>
      <c r="I137" s="274"/>
      <c r="J137" s="270"/>
      <c r="K137" s="280" t="s">
        <v>22</v>
      </c>
      <c r="L137" s="275">
        <v>8</v>
      </c>
      <c r="M137" s="276">
        <v>0</v>
      </c>
      <c r="N137" s="276"/>
      <c r="O137" s="274">
        <v>1038</v>
      </c>
      <c r="P137" s="274"/>
      <c r="Q137" s="274">
        <v>1038</v>
      </c>
      <c r="R137" s="274"/>
      <c r="S137" s="274">
        <v>2076</v>
      </c>
      <c r="T137" s="274"/>
      <c r="U137" s="283">
        <v>6227.98</v>
      </c>
      <c r="V137" s="284"/>
      <c r="W137" s="284"/>
      <c r="X137" s="277">
        <f t="shared" si="8"/>
        <v>2018</v>
      </c>
      <c r="Y137" s="277">
        <f t="shared" si="9"/>
        <v>12</v>
      </c>
      <c r="Z137" s="278"/>
      <c r="AA137" s="278"/>
      <c r="AB137" s="278"/>
      <c r="AC137" s="278"/>
      <c r="AD137" s="278"/>
      <c r="AE137" s="278"/>
    </row>
    <row r="138" spans="1:31" s="260" customFormat="1" ht="11.25" customHeight="1" x14ac:dyDescent="0.2">
      <c r="A138" s="270"/>
      <c r="B138" s="271">
        <v>324</v>
      </c>
      <c r="C138" s="272" t="s">
        <v>124</v>
      </c>
      <c r="D138" s="272"/>
      <c r="E138" s="272"/>
      <c r="F138" s="272"/>
      <c r="G138" s="273">
        <v>43465</v>
      </c>
      <c r="H138" s="274">
        <v>3000.01</v>
      </c>
      <c r="I138" s="274"/>
      <c r="J138" s="270"/>
      <c r="K138" s="280" t="s">
        <v>22</v>
      </c>
      <c r="L138" s="275">
        <v>8</v>
      </c>
      <c r="M138" s="276">
        <v>0</v>
      </c>
      <c r="N138" s="276"/>
      <c r="O138" s="276">
        <v>375</v>
      </c>
      <c r="P138" s="276"/>
      <c r="Q138" s="276">
        <v>375</v>
      </c>
      <c r="R138" s="276"/>
      <c r="S138" s="276">
        <v>750</v>
      </c>
      <c r="T138" s="276"/>
      <c r="U138" s="283">
        <v>2250.0100000000002</v>
      </c>
      <c r="V138" s="284"/>
      <c r="W138" s="284"/>
      <c r="X138" s="277">
        <f t="shared" si="8"/>
        <v>2018</v>
      </c>
      <c r="Y138" s="277">
        <f t="shared" si="9"/>
        <v>12</v>
      </c>
      <c r="Z138" s="278"/>
      <c r="AA138" s="278"/>
      <c r="AB138" s="278"/>
      <c r="AC138" s="278"/>
      <c r="AD138" s="278"/>
      <c r="AE138" s="278"/>
    </row>
    <row r="139" spans="1:31" s="260" customFormat="1" ht="11.25" customHeight="1" x14ac:dyDescent="0.2">
      <c r="A139" s="270"/>
      <c r="B139" s="271">
        <v>325</v>
      </c>
      <c r="C139" s="272" t="s">
        <v>125</v>
      </c>
      <c r="D139" s="272"/>
      <c r="E139" s="272"/>
      <c r="F139" s="272"/>
      <c r="G139" s="273">
        <v>43524</v>
      </c>
      <c r="H139" s="274">
        <v>51760.66</v>
      </c>
      <c r="I139" s="274"/>
      <c r="J139" s="270"/>
      <c r="K139" s="280" t="s">
        <v>22</v>
      </c>
      <c r="L139" s="275">
        <v>8</v>
      </c>
      <c r="M139" s="276">
        <v>0</v>
      </c>
      <c r="N139" s="276"/>
      <c r="O139" s="274">
        <v>5391.74</v>
      </c>
      <c r="P139" s="274"/>
      <c r="Q139" s="274">
        <v>6470.08</v>
      </c>
      <c r="R139" s="274"/>
      <c r="S139" s="274">
        <v>11861.82</v>
      </c>
      <c r="T139" s="274"/>
      <c r="U139" s="283">
        <v>39898.839999999997</v>
      </c>
      <c r="V139" s="284"/>
      <c r="W139" s="284"/>
      <c r="X139" s="277">
        <f t="shared" si="8"/>
        <v>2019</v>
      </c>
      <c r="Y139" s="277">
        <f t="shared" si="9"/>
        <v>2</v>
      </c>
      <c r="Z139" s="278"/>
      <c r="AA139" s="278"/>
      <c r="AB139" s="278"/>
      <c r="AC139" s="278"/>
      <c r="AD139" s="278"/>
      <c r="AE139" s="278"/>
    </row>
    <row r="140" spans="1:31" s="260" customFormat="1" ht="11.25" customHeight="1" x14ac:dyDescent="0.2">
      <c r="A140" s="270"/>
      <c r="B140" s="271">
        <v>328</v>
      </c>
      <c r="C140" s="272" t="s">
        <v>126</v>
      </c>
      <c r="D140" s="272"/>
      <c r="E140" s="272"/>
      <c r="F140" s="272"/>
      <c r="G140" s="273">
        <v>43555</v>
      </c>
      <c r="H140" s="274">
        <v>8225.93</v>
      </c>
      <c r="I140" s="274"/>
      <c r="J140" s="270"/>
      <c r="K140" s="280" t="s">
        <v>22</v>
      </c>
      <c r="L140" s="275">
        <v>8</v>
      </c>
      <c r="M140" s="276">
        <v>0</v>
      </c>
      <c r="N140" s="276"/>
      <c r="O140" s="276">
        <v>771.18</v>
      </c>
      <c r="P140" s="276"/>
      <c r="Q140" s="274">
        <v>1028.24</v>
      </c>
      <c r="R140" s="274"/>
      <c r="S140" s="274">
        <v>1799.42</v>
      </c>
      <c r="T140" s="274"/>
      <c r="U140" s="283">
        <v>6426.51</v>
      </c>
      <c r="V140" s="284"/>
      <c r="W140" s="284"/>
      <c r="X140" s="277">
        <f t="shared" si="8"/>
        <v>2019</v>
      </c>
      <c r="Y140" s="277">
        <f t="shared" si="9"/>
        <v>3</v>
      </c>
      <c r="Z140" s="278"/>
      <c r="AA140" s="278"/>
      <c r="AB140" s="278"/>
      <c r="AC140" s="278"/>
      <c r="AD140" s="278"/>
      <c r="AE140" s="278"/>
    </row>
    <row r="141" spans="1:31" s="260" customFormat="1" ht="11.25" customHeight="1" x14ac:dyDescent="0.2">
      <c r="A141" s="270"/>
      <c r="B141" s="271">
        <v>329</v>
      </c>
      <c r="C141" s="272" t="s">
        <v>127</v>
      </c>
      <c r="D141" s="272"/>
      <c r="E141" s="272"/>
      <c r="F141" s="272"/>
      <c r="G141" s="273">
        <v>43776</v>
      </c>
      <c r="H141" s="274">
        <v>219136.03</v>
      </c>
      <c r="I141" s="274"/>
      <c r="J141" s="270"/>
      <c r="K141" s="280" t="s">
        <v>22</v>
      </c>
      <c r="L141" s="275">
        <v>8</v>
      </c>
      <c r="M141" s="276">
        <v>0</v>
      </c>
      <c r="N141" s="276"/>
      <c r="O141" s="274">
        <v>4565.33</v>
      </c>
      <c r="P141" s="274"/>
      <c r="Q141" s="274">
        <v>27392</v>
      </c>
      <c r="R141" s="274"/>
      <c r="S141" s="274">
        <v>31957.33</v>
      </c>
      <c r="T141" s="274"/>
      <c r="U141" s="283">
        <v>187178.7</v>
      </c>
      <c r="V141" s="284"/>
      <c r="W141" s="284"/>
      <c r="X141" s="277">
        <f t="shared" si="8"/>
        <v>2019</v>
      </c>
      <c r="Y141" s="277">
        <f t="shared" si="9"/>
        <v>11</v>
      </c>
      <c r="Z141" s="278"/>
      <c r="AA141" s="278"/>
      <c r="AB141" s="278"/>
      <c r="AC141" s="278"/>
      <c r="AD141" s="278"/>
      <c r="AE141" s="278"/>
    </row>
    <row r="142" spans="1:31" s="260" customFormat="1" ht="11.25" customHeight="1" x14ac:dyDescent="0.2">
      <c r="A142" s="270"/>
      <c r="B142" s="271">
        <v>334</v>
      </c>
      <c r="C142" s="272" t="s">
        <v>128</v>
      </c>
      <c r="D142" s="272"/>
      <c r="E142" s="272"/>
      <c r="F142" s="272"/>
      <c r="G142" s="273">
        <v>43677</v>
      </c>
      <c r="H142" s="274">
        <v>3578.13</v>
      </c>
      <c r="I142" s="274"/>
      <c r="J142" s="270"/>
      <c r="K142" s="280" t="s">
        <v>22</v>
      </c>
      <c r="L142" s="275">
        <v>8</v>
      </c>
      <c r="M142" s="276">
        <v>0</v>
      </c>
      <c r="N142" s="276"/>
      <c r="O142" s="276">
        <v>186.36</v>
      </c>
      <c r="P142" s="276"/>
      <c r="Q142" s="276">
        <v>447.27</v>
      </c>
      <c r="R142" s="276"/>
      <c r="S142" s="276">
        <v>633.63</v>
      </c>
      <c r="T142" s="276"/>
      <c r="U142" s="283">
        <v>2944.5</v>
      </c>
      <c r="V142" s="284"/>
      <c r="W142" s="284"/>
      <c r="X142" s="277">
        <f t="shared" si="8"/>
        <v>2019</v>
      </c>
      <c r="Y142" s="277">
        <f t="shared" si="9"/>
        <v>7</v>
      </c>
      <c r="Z142" s="278"/>
      <c r="AA142" s="278"/>
      <c r="AB142" s="278"/>
      <c r="AC142" s="278"/>
      <c r="AD142" s="278"/>
      <c r="AE142" s="278"/>
    </row>
    <row r="143" spans="1:31" s="260" customFormat="1" ht="11.25" customHeight="1" x14ac:dyDescent="0.2">
      <c r="A143" s="270"/>
      <c r="B143" s="271">
        <v>337</v>
      </c>
      <c r="C143" s="272" t="s">
        <v>129</v>
      </c>
      <c r="D143" s="272"/>
      <c r="E143" s="272"/>
      <c r="F143" s="272"/>
      <c r="G143" s="273">
        <v>43776</v>
      </c>
      <c r="H143" s="274">
        <v>17095.009999999998</v>
      </c>
      <c r="I143" s="274"/>
      <c r="J143" s="270"/>
      <c r="K143" s="280" t="s">
        <v>22</v>
      </c>
      <c r="L143" s="275">
        <v>8</v>
      </c>
      <c r="M143" s="276">
        <v>0</v>
      </c>
      <c r="N143" s="276"/>
      <c r="O143" s="276">
        <v>356.15</v>
      </c>
      <c r="P143" s="276"/>
      <c r="Q143" s="274">
        <v>2136.88</v>
      </c>
      <c r="R143" s="274"/>
      <c r="S143" s="274">
        <v>2493.0300000000002</v>
      </c>
      <c r="T143" s="274"/>
      <c r="U143" s="283">
        <v>14601.98</v>
      </c>
      <c r="V143" s="284"/>
      <c r="W143" s="284"/>
      <c r="X143" s="277">
        <f t="shared" si="8"/>
        <v>2019</v>
      </c>
      <c r="Y143" s="277">
        <f t="shared" si="9"/>
        <v>11</v>
      </c>
      <c r="Z143" s="278"/>
      <c r="AA143" s="278"/>
      <c r="AB143" s="278"/>
      <c r="AC143" s="278"/>
      <c r="AD143" s="278"/>
      <c r="AE143" s="278"/>
    </row>
    <row r="144" spans="1:31" s="260" customFormat="1" ht="11.25" customHeight="1" x14ac:dyDescent="0.2">
      <c r="A144" s="270"/>
      <c r="B144" s="271">
        <v>338</v>
      </c>
      <c r="C144" s="272" t="s">
        <v>130</v>
      </c>
      <c r="D144" s="272"/>
      <c r="E144" s="272"/>
      <c r="F144" s="272"/>
      <c r="G144" s="273">
        <v>43852</v>
      </c>
      <c r="H144" s="274">
        <v>4864.5</v>
      </c>
      <c r="I144" s="274"/>
      <c r="J144" s="285" t="s">
        <v>42</v>
      </c>
      <c r="K144" s="280" t="s">
        <v>22</v>
      </c>
      <c r="L144" s="275">
        <v>5</v>
      </c>
      <c r="M144" s="276">
        <v>0</v>
      </c>
      <c r="N144" s="276"/>
      <c r="O144" s="276">
        <v>0</v>
      </c>
      <c r="P144" s="276"/>
      <c r="Q144" s="276">
        <v>891.83</v>
      </c>
      <c r="R144" s="276"/>
      <c r="S144" s="276">
        <v>891.83</v>
      </c>
      <c r="T144" s="276"/>
      <c r="U144" s="283">
        <v>3972.67</v>
      </c>
      <c r="V144" s="284"/>
      <c r="W144" s="284"/>
      <c r="X144" s="277">
        <f t="shared" si="8"/>
        <v>2020</v>
      </c>
      <c r="Y144" s="277">
        <f t="shared" si="9"/>
        <v>1</v>
      </c>
      <c r="Z144" s="278"/>
      <c r="AA144" s="278"/>
      <c r="AB144" s="278"/>
      <c r="AC144" s="278"/>
      <c r="AD144" s="278"/>
      <c r="AE144" s="278"/>
    </row>
    <row r="145" spans="1:31" s="260" customFormat="1" ht="11.25" customHeight="1" x14ac:dyDescent="0.2">
      <c r="A145" s="270"/>
      <c r="B145" s="271">
        <v>339</v>
      </c>
      <c r="C145" s="272" t="s">
        <v>131</v>
      </c>
      <c r="D145" s="272"/>
      <c r="E145" s="272"/>
      <c r="F145" s="272"/>
      <c r="G145" s="273">
        <v>43852</v>
      </c>
      <c r="H145" s="274">
        <v>46072.87</v>
      </c>
      <c r="I145" s="274"/>
      <c r="J145" s="285" t="s">
        <v>42</v>
      </c>
      <c r="K145" s="280" t="s">
        <v>22</v>
      </c>
      <c r="L145" s="275">
        <v>8</v>
      </c>
      <c r="M145" s="276">
        <v>0</v>
      </c>
      <c r="N145" s="276"/>
      <c r="O145" s="276">
        <v>0</v>
      </c>
      <c r="P145" s="276"/>
      <c r="Q145" s="274">
        <v>5279.18</v>
      </c>
      <c r="R145" s="274"/>
      <c r="S145" s="274">
        <v>5279.18</v>
      </c>
      <c r="T145" s="274"/>
      <c r="U145" s="283">
        <v>40793.69</v>
      </c>
      <c r="V145" s="284"/>
      <c r="W145" s="284"/>
      <c r="X145" s="277">
        <f t="shared" si="8"/>
        <v>2020</v>
      </c>
      <c r="Y145" s="277">
        <f t="shared" si="9"/>
        <v>1</v>
      </c>
      <c r="Z145" s="278"/>
      <c r="AA145" s="278"/>
      <c r="AB145" s="278"/>
      <c r="AC145" s="278"/>
      <c r="AD145" s="278"/>
      <c r="AE145" s="278"/>
    </row>
    <row r="146" spans="1:31" s="260" customFormat="1" ht="11.25" customHeight="1" x14ac:dyDescent="0.2">
      <c r="A146" s="270"/>
      <c r="B146" s="271">
        <v>340</v>
      </c>
      <c r="C146" s="272" t="s">
        <v>132</v>
      </c>
      <c r="D146" s="272"/>
      <c r="E146" s="272"/>
      <c r="F146" s="272"/>
      <c r="G146" s="273">
        <v>43769</v>
      </c>
      <c r="H146" s="274">
        <v>4856.72</v>
      </c>
      <c r="I146" s="274"/>
      <c r="J146" s="270"/>
      <c r="K146" s="280" t="s">
        <v>22</v>
      </c>
      <c r="L146" s="275">
        <v>8</v>
      </c>
      <c r="M146" s="276">
        <v>0</v>
      </c>
      <c r="N146" s="276"/>
      <c r="O146" s="276">
        <v>101.18</v>
      </c>
      <c r="P146" s="276"/>
      <c r="Q146" s="276">
        <v>607.09</v>
      </c>
      <c r="R146" s="276"/>
      <c r="S146" s="276">
        <v>708.27</v>
      </c>
      <c r="T146" s="276"/>
      <c r="U146" s="283">
        <v>4148.45</v>
      </c>
      <c r="V146" s="284"/>
      <c r="W146" s="284"/>
      <c r="X146" s="277">
        <f t="shared" si="8"/>
        <v>2019</v>
      </c>
      <c r="Y146" s="277">
        <f t="shared" si="9"/>
        <v>10</v>
      </c>
      <c r="Z146" s="278"/>
      <c r="AA146" s="278"/>
      <c r="AB146" s="278"/>
      <c r="AC146" s="278"/>
      <c r="AD146" s="278"/>
      <c r="AE146" s="278"/>
    </row>
    <row r="147" spans="1:31" s="260" customFormat="1" ht="11.25" customHeight="1" x14ac:dyDescent="0.2">
      <c r="A147" s="270"/>
      <c r="B147" s="271">
        <v>341</v>
      </c>
      <c r="C147" s="272" t="s">
        <v>133</v>
      </c>
      <c r="D147" s="272"/>
      <c r="E147" s="272"/>
      <c r="F147" s="272"/>
      <c r="G147" s="273">
        <v>43799</v>
      </c>
      <c r="H147" s="274">
        <v>7156.26</v>
      </c>
      <c r="I147" s="274"/>
      <c r="J147" s="270"/>
      <c r="K147" s="280" t="s">
        <v>22</v>
      </c>
      <c r="L147" s="275">
        <v>8</v>
      </c>
      <c r="M147" s="276">
        <v>0</v>
      </c>
      <c r="N147" s="276"/>
      <c r="O147" s="276">
        <v>0</v>
      </c>
      <c r="P147" s="276"/>
      <c r="Q147" s="276">
        <v>0</v>
      </c>
      <c r="R147" s="276"/>
      <c r="S147" s="276">
        <v>0</v>
      </c>
      <c r="T147" s="276"/>
      <c r="U147" s="283">
        <v>7156.26</v>
      </c>
      <c r="V147" s="272" t="s">
        <v>134</v>
      </c>
      <c r="W147" s="272"/>
      <c r="X147" s="277">
        <f t="shared" si="8"/>
        <v>2019</v>
      </c>
      <c r="Y147" s="277">
        <f t="shared" si="9"/>
        <v>11</v>
      </c>
      <c r="Z147" s="278"/>
      <c r="AA147" s="278"/>
      <c r="AB147" s="278"/>
      <c r="AC147" s="278"/>
      <c r="AD147" s="278"/>
      <c r="AE147" s="278"/>
    </row>
    <row r="148" spans="1:31" s="260" customFormat="1" ht="11.25" customHeight="1" x14ac:dyDescent="0.2">
      <c r="A148" s="270"/>
      <c r="B148" s="271">
        <v>342</v>
      </c>
      <c r="C148" s="272" t="s">
        <v>135</v>
      </c>
      <c r="D148" s="272"/>
      <c r="E148" s="272"/>
      <c r="F148" s="272"/>
      <c r="G148" s="273">
        <v>43830</v>
      </c>
      <c r="H148" s="274">
        <v>6860.71</v>
      </c>
      <c r="I148" s="274"/>
      <c r="J148" s="270"/>
      <c r="K148" s="280" t="s">
        <v>22</v>
      </c>
      <c r="L148" s="275">
        <v>8</v>
      </c>
      <c r="M148" s="276">
        <v>0</v>
      </c>
      <c r="N148" s="276"/>
      <c r="O148" s="276">
        <v>0</v>
      </c>
      <c r="P148" s="276"/>
      <c r="Q148" s="276">
        <v>857.59</v>
      </c>
      <c r="R148" s="276"/>
      <c r="S148" s="276">
        <v>857.59</v>
      </c>
      <c r="T148" s="276"/>
      <c r="U148" s="283">
        <v>6003.12</v>
      </c>
      <c r="V148" s="284"/>
      <c r="W148" s="284"/>
      <c r="X148" s="277">
        <f t="shared" si="8"/>
        <v>2019</v>
      </c>
      <c r="Y148" s="277">
        <f t="shared" si="9"/>
        <v>12</v>
      </c>
      <c r="Z148" s="278"/>
      <c r="AA148" s="278"/>
      <c r="AB148" s="278"/>
      <c r="AC148" s="278"/>
      <c r="AD148" s="278"/>
      <c r="AE148" s="278"/>
    </row>
    <row r="149" spans="1:31" s="260" customFormat="1" ht="11.25" customHeight="1" x14ac:dyDescent="0.2">
      <c r="A149" s="270"/>
      <c r="B149" s="271">
        <v>343</v>
      </c>
      <c r="C149" s="272" t="s">
        <v>136</v>
      </c>
      <c r="D149" s="272"/>
      <c r="E149" s="272"/>
      <c r="F149" s="272"/>
      <c r="G149" s="273">
        <v>43830</v>
      </c>
      <c r="H149" s="274">
        <v>5224.54</v>
      </c>
      <c r="I149" s="274"/>
      <c r="J149" s="270"/>
      <c r="K149" s="280" t="s">
        <v>22</v>
      </c>
      <c r="L149" s="275">
        <v>8</v>
      </c>
      <c r="M149" s="276">
        <v>0</v>
      </c>
      <c r="N149" s="276"/>
      <c r="O149" s="276">
        <v>0</v>
      </c>
      <c r="P149" s="276"/>
      <c r="Q149" s="276">
        <v>0</v>
      </c>
      <c r="R149" s="276"/>
      <c r="S149" s="276">
        <v>0</v>
      </c>
      <c r="T149" s="276"/>
      <c r="U149" s="283">
        <v>5224.54</v>
      </c>
      <c r="V149" s="272" t="s">
        <v>134</v>
      </c>
      <c r="W149" s="272"/>
      <c r="X149" s="277">
        <f t="shared" si="8"/>
        <v>2019</v>
      </c>
      <c r="Y149" s="277">
        <f t="shared" si="9"/>
        <v>12</v>
      </c>
      <c r="Z149" s="278"/>
      <c r="AA149" s="278"/>
      <c r="AB149" s="278"/>
      <c r="AC149" s="278"/>
      <c r="AD149" s="278"/>
      <c r="AE149" s="278"/>
    </row>
    <row r="150" spans="1:31" s="260" customFormat="1" ht="11.25" customHeight="1" x14ac:dyDescent="0.2">
      <c r="A150" s="270"/>
      <c r="B150" s="271">
        <v>345</v>
      </c>
      <c r="C150" s="272" t="s">
        <v>137</v>
      </c>
      <c r="D150" s="272"/>
      <c r="E150" s="272"/>
      <c r="F150" s="272"/>
      <c r="G150" s="273">
        <v>43794</v>
      </c>
      <c r="H150" s="274">
        <v>151744</v>
      </c>
      <c r="I150" s="274"/>
      <c r="J150" s="270"/>
      <c r="K150" s="280" t="s">
        <v>22</v>
      </c>
      <c r="L150" s="275">
        <v>8</v>
      </c>
      <c r="M150" s="276">
        <v>0</v>
      </c>
      <c r="N150" s="276"/>
      <c r="O150" s="276">
        <v>0</v>
      </c>
      <c r="P150" s="276"/>
      <c r="Q150" s="276">
        <v>0</v>
      </c>
      <c r="R150" s="276"/>
      <c r="S150" s="276">
        <v>0</v>
      </c>
      <c r="T150" s="276"/>
      <c r="U150" s="283">
        <v>151744</v>
      </c>
      <c r="V150" s="272" t="s">
        <v>134</v>
      </c>
      <c r="W150" s="272"/>
      <c r="X150" s="277">
        <f t="shared" si="8"/>
        <v>2019</v>
      </c>
      <c r="Y150" s="277">
        <f t="shared" si="9"/>
        <v>11</v>
      </c>
      <c r="Z150" s="278"/>
      <c r="AA150" s="278"/>
      <c r="AB150" s="278"/>
      <c r="AC150" s="278"/>
      <c r="AD150" s="278"/>
      <c r="AE150" s="278"/>
    </row>
    <row r="151" spans="1:31" s="260" customFormat="1" ht="11.25" customHeight="1" x14ac:dyDescent="0.2">
      <c r="A151" s="270"/>
      <c r="B151" s="271">
        <v>347</v>
      </c>
      <c r="C151" s="272" t="s">
        <v>138</v>
      </c>
      <c r="D151" s="272"/>
      <c r="E151" s="272"/>
      <c r="F151" s="272"/>
      <c r="G151" s="273">
        <v>43890</v>
      </c>
      <c r="H151" s="274">
        <v>2628.13</v>
      </c>
      <c r="I151" s="274"/>
      <c r="J151" s="285" t="s">
        <v>42</v>
      </c>
      <c r="K151" s="280" t="s">
        <v>22</v>
      </c>
      <c r="L151" s="275">
        <v>8</v>
      </c>
      <c r="M151" s="276">
        <v>0</v>
      </c>
      <c r="N151" s="276"/>
      <c r="O151" s="276">
        <v>0</v>
      </c>
      <c r="P151" s="276"/>
      <c r="Q151" s="276">
        <v>0</v>
      </c>
      <c r="R151" s="276"/>
      <c r="S151" s="276">
        <v>0</v>
      </c>
      <c r="T151" s="276"/>
      <c r="U151" s="283">
        <v>2628.13</v>
      </c>
      <c r="V151" s="272" t="s">
        <v>134</v>
      </c>
      <c r="W151" s="272"/>
      <c r="X151" s="277">
        <f t="shared" si="8"/>
        <v>2020</v>
      </c>
      <c r="Y151" s="277">
        <f t="shared" si="9"/>
        <v>2</v>
      </c>
      <c r="Z151" s="278"/>
      <c r="AA151" s="278"/>
      <c r="AB151" s="278"/>
      <c r="AC151" s="278"/>
      <c r="AD151" s="278"/>
      <c r="AE151" s="278"/>
    </row>
    <row r="152" spans="1:31" s="260" customFormat="1" ht="11.25" customHeight="1" x14ac:dyDescent="0.2">
      <c r="A152" s="270"/>
      <c r="B152" s="271">
        <v>348</v>
      </c>
      <c r="C152" s="272" t="s">
        <v>139</v>
      </c>
      <c r="D152" s="272"/>
      <c r="E152" s="272"/>
      <c r="F152" s="272"/>
      <c r="G152" s="273">
        <v>43921</v>
      </c>
      <c r="H152" s="274">
        <v>3959.47</v>
      </c>
      <c r="I152" s="274"/>
      <c r="J152" s="285" t="s">
        <v>42</v>
      </c>
      <c r="K152" s="280" t="s">
        <v>22</v>
      </c>
      <c r="L152" s="275">
        <v>8</v>
      </c>
      <c r="M152" s="276">
        <v>0</v>
      </c>
      <c r="N152" s="276"/>
      <c r="O152" s="276">
        <v>0</v>
      </c>
      <c r="P152" s="276"/>
      <c r="Q152" s="276">
        <v>371.2</v>
      </c>
      <c r="R152" s="276"/>
      <c r="S152" s="276">
        <v>371.2</v>
      </c>
      <c r="T152" s="276"/>
      <c r="U152" s="283">
        <v>3588.27</v>
      </c>
      <c r="V152" s="284"/>
      <c r="W152" s="284"/>
      <c r="X152" s="277">
        <f t="shared" si="8"/>
        <v>2020</v>
      </c>
      <c r="Y152" s="277">
        <f t="shared" si="9"/>
        <v>3</v>
      </c>
      <c r="Z152" s="278"/>
      <c r="AA152" s="278"/>
      <c r="AB152" s="278"/>
      <c r="AC152" s="278"/>
      <c r="AD152" s="278"/>
      <c r="AE152" s="278"/>
    </row>
    <row r="153" spans="1:31" s="260" customFormat="1" ht="11.25" customHeight="1" x14ac:dyDescent="0.2">
      <c r="A153" s="270"/>
      <c r="B153" s="271">
        <v>349</v>
      </c>
      <c r="C153" s="272" t="s">
        <v>140</v>
      </c>
      <c r="D153" s="272"/>
      <c r="E153" s="272"/>
      <c r="F153" s="272"/>
      <c r="G153" s="273">
        <v>43852</v>
      </c>
      <c r="H153" s="274">
        <v>2541.87</v>
      </c>
      <c r="I153" s="274"/>
      <c r="J153" s="285" t="s">
        <v>42</v>
      </c>
      <c r="K153" s="280" t="s">
        <v>22</v>
      </c>
      <c r="L153" s="275">
        <v>8</v>
      </c>
      <c r="M153" s="276">
        <v>0</v>
      </c>
      <c r="N153" s="276"/>
      <c r="O153" s="276">
        <v>0</v>
      </c>
      <c r="P153" s="276"/>
      <c r="Q153" s="276">
        <v>291.26</v>
      </c>
      <c r="R153" s="276"/>
      <c r="S153" s="276">
        <v>291.26</v>
      </c>
      <c r="T153" s="276"/>
      <c r="U153" s="283">
        <v>2250.61</v>
      </c>
      <c r="V153" s="284"/>
      <c r="W153" s="284"/>
      <c r="X153" s="277">
        <f t="shared" si="8"/>
        <v>2020</v>
      </c>
      <c r="Y153" s="277">
        <f t="shared" si="9"/>
        <v>1</v>
      </c>
      <c r="Z153" s="278"/>
      <c r="AA153" s="278"/>
      <c r="AB153" s="278"/>
      <c r="AC153" s="278"/>
      <c r="AD153" s="278"/>
      <c r="AE153" s="278"/>
    </row>
    <row r="154" spans="1:31" ht="23.45" customHeight="1" x14ac:dyDescent="0.2">
      <c r="A154" s="8"/>
      <c r="B154" s="27" t="s">
        <v>141</v>
      </c>
      <c r="C154" s="23"/>
      <c r="D154" s="23"/>
      <c r="E154" s="23"/>
      <c r="F154" s="23"/>
      <c r="G154" s="23"/>
      <c r="H154" s="19">
        <f>SUM(H97:H153)</f>
        <v>2754389.52</v>
      </c>
      <c r="I154" s="19"/>
      <c r="J154" s="7" t="s">
        <v>42</v>
      </c>
      <c r="K154" s="25">
        <v>0</v>
      </c>
      <c r="L154" s="25"/>
      <c r="M154" s="25"/>
      <c r="N154" s="25"/>
      <c r="O154" s="19">
        <v>1471700.37</v>
      </c>
      <c r="P154" s="19"/>
      <c r="Q154" s="19">
        <v>229119.71</v>
      </c>
      <c r="R154" s="19"/>
      <c r="S154" s="19">
        <v>1700820.08</v>
      </c>
      <c r="T154" s="19"/>
      <c r="U154" s="19">
        <v>1053569.44</v>
      </c>
      <c r="V154" s="19"/>
      <c r="W154" s="19"/>
      <c r="X154" s="209"/>
      <c r="Y154" s="209"/>
    </row>
    <row r="155" spans="1:31" ht="15.6" customHeight="1" x14ac:dyDescent="0.2">
      <c r="A155" s="10" t="s">
        <v>142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205"/>
      <c r="Y155" s="205"/>
    </row>
    <row r="156" spans="1:31" s="260" customFormat="1" ht="11.25" customHeight="1" x14ac:dyDescent="0.2">
      <c r="A156" s="270"/>
      <c r="C156" s="272" t="s">
        <v>143</v>
      </c>
      <c r="D156" s="272"/>
      <c r="E156" s="272"/>
      <c r="F156" s="272"/>
      <c r="G156" s="273">
        <v>38111</v>
      </c>
      <c r="H156" s="274">
        <v>1366.67</v>
      </c>
      <c r="I156" s="274"/>
      <c r="J156" s="274"/>
      <c r="K156" s="280" t="s">
        <v>22</v>
      </c>
      <c r="L156" s="275">
        <v>5</v>
      </c>
      <c r="M156" s="276">
        <v>0</v>
      </c>
      <c r="N156" s="276"/>
      <c r="O156" s="274">
        <v>1366.67</v>
      </c>
      <c r="P156" s="274"/>
      <c r="Q156" s="276">
        <v>0</v>
      </c>
      <c r="R156" s="276"/>
      <c r="S156" s="274">
        <v>1366.67</v>
      </c>
      <c r="T156" s="274"/>
      <c r="U156" s="276">
        <v>0</v>
      </c>
      <c r="V156" s="276"/>
      <c r="W156" s="276"/>
      <c r="X156" s="277">
        <f t="shared" ref="X156" si="10">YEAR(G156)</f>
        <v>2004</v>
      </c>
      <c r="Y156" s="277">
        <f t="shared" ref="Y156" si="11">MONTH(G156)</f>
        <v>5</v>
      </c>
      <c r="Z156" s="278"/>
      <c r="AA156" s="278"/>
      <c r="AB156" s="278"/>
      <c r="AC156" s="278"/>
      <c r="AD156" s="278"/>
      <c r="AE156" s="278"/>
    </row>
    <row r="157" spans="1:31" s="260" customFormat="1" ht="11.25" customHeight="1" x14ac:dyDescent="0.2">
      <c r="A157" s="270"/>
      <c r="C157" s="272" t="s">
        <v>144</v>
      </c>
      <c r="D157" s="272"/>
      <c r="E157" s="272"/>
      <c r="F157" s="272"/>
      <c r="G157" s="273">
        <v>38442</v>
      </c>
      <c r="H157" s="274">
        <v>28607.42</v>
      </c>
      <c r="I157" s="274"/>
      <c r="J157" s="274"/>
      <c r="K157" s="280" t="s">
        <v>22</v>
      </c>
      <c r="L157" s="275">
        <v>5</v>
      </c>
      <c r="M157" s="276">
        <v>0</v>
      </c>
      <c r="N157" s="276"/>
      <c r="O157" s="274">
        <v>28607.42</v>
      </c>
      <c r="P157" s="274"/>
      <c r="Q157" s="276">
        <v>0</v>
      </c>
      <c r="R157" s="276"/>
      <c r="S157" s="274">
        <v>28607.42</v>
      </c>
      <c r="T157" s="274"/>
      <c r="U157" s="276">
        <v>0</v>
      </c>
      <c r="V157" s="276"/>
      <c r="W157" s="276"/>
      <c r="X157" s="277">
        <f t="shared" ref="X157:X165" si="12">YEAR(G157)</f>
        <v>2005</v>
      </c>
      <c r="Y157" s="277">
        <f t="shared" ref="Y157:Y165" si="13">MONTH(G157)</f>
        <v>3</v>
      </c>
      <c r="Z157" s="278"/>
      <c r="AA157" s="278"/>
      <c r="AB157" s="278"/>
      <c r="AC157" s="278"/>
      <c r="AD157" s="278"/>
      <c r="AE157" s="278"/>
    </row>
    <row r="158" spans="1:31" s="260" customFormat="1" ht="11.25" customHeight="1" x14ac:dyDescent="0.2">
      <c r="A158" s="270"/>
      <c r="C158" s="272" t="s">
        <v>145</v>
      </c>
      <c r="D158" s="272"/>
      <c r="E158" s="272"/>
      <c r="F158" s="272"/>
      <c r="G158" s="273">
        <v>40023</v>
      </c>
      <c r="H158" s="274">
        <v>30544.75</v>
      </c>
      <c r="I158" s="274"/>
      <c r="J158" s="274"/>
      <c r="K158" s="280" t="s">
        <v>22</v>
      </c>
      <c r="L158" s="275">
        <v>5</v>
      </c>
      <c r="M158" s="276">
        <v>0</v>
      </c>
      <c r="N158" s="276"/>
      <c r="O158" s="274">
        <v>30544.75</v>
      </c>
      <c r="P158" s="274"/>
      <c r="Q158" s="276">
        <v>0</v>
      </c>
      <c r="R158" s="276"/>
      <c r="S158" s="274">
        <v>30544.75</v>
      </c>
      <c r="T158" s="274"/>
      <c r="U158" s="276">
        <v>0</v>
      </c>
      <c r="V158" s="276"/>
      <c r="W158" s="276"/>
      <c r="X158" s="277">
        <f t="shared" si="12"/>
        <v>2009</v>
      </c>
      <c r="Y158" s="277">
        <f t="shared" si="13"/>
        <v>7</v>
      </c>
      <c r="Z158" s="278"/>
      <c r="AA158" s="278"/>
      <c r="AB158" s="278"/>
      <c r="AC158" s="278"/>
      <c r="AD158" s="278"/>
      <c r="AE158" s="278"/>
    </row>
    <row r="159" spans="1:31" s="260" customFormat="1" ht="11.25" customHeight="1" x14ac:dyDescent="0.2">
      <c r="A159" s="270"/>
      <c r="C159" s="272" t="s">
        <v>146</v>
      </c>
      <c r="D159" s="272"/>
      <c r="E159" s="272"/>
      <c r="F159" s="272"/>
      <c r="G159" s="273">
        <v>40108</v>
      </c>
      <c r="H159" s="274">
        <v>38778.99</v>
      </c>
      <c r="I159" s="274"/>
      <c r="J159" s="274"/>
      <c r="K159" s="280" t="s">
        <v>22</v>
      </c>
      <c r="L159" s="275">
        <v>5</v>
      </c>
      <c r="M159" s="276">
        <v>0</v>
      </c>
      <c r="N159" s="276"/>
      <c r="O159" s="274">
        <v>38778.99</v>
      </c>
      <c r="P159" s="274"/>
      <c r="Q159" s="276">
        <v>0</v>
      </c>
      <c r="R159" s="276"/>
      <c r="S159" s="274">
        <v>38778.99</v>
      </c>
      <c r="T159" s="274"/>
      <c r="U159" s="276">
        <v>0</v>
      </c>
      <c r="V159" s="276"/>
      <c r="W159" s="276"/>
      <c r="X159" s="277">
        <f t="shared" si="12"/>
        <v>2009</v>
      </c>
      <c r="Y159" s="277">
        <f t="shared" si="13"/>
        <v>10</v>
      </c>
      <c r="Z159" s="278"/>
      <c r="AA159" s="278"/>
      <c r="AB159" s="278"/>
      <c r="AC159" s="278"/>
      <c r="AD159" s="278"/>
      <c r="AE159" s="278"/>
    </row>
    <row r="160" spans="1:31" s="260" customFormat="1" ht="11.25" customHeight="1" x14ac:dyDescent="0.2">
      <c r="A160" s="270"/>
      <c r="C160" s="272" t="s">
        <v>147</v>
      </c>
      <c r="D160" s="272"/>
      <c r="E160" s="272"/>
      <c r="F160" s="272"/>
      <c r="G160" s="273">
        <v>40543</v>
      </c>
      <c r="H160" s="274">
        <v>39352.400000000001</v>
      </c>
      <c r="I160" s="274"/>
      <c r="J160" s="274"/>
      <c r="K160" s="280" t="s">
        <v>22</v>
      </c>
      <c r="L160" s="275">
        <v>5</v>
      </c>
      <c r="M160" s="276">
        <v>0</v>
      </c>
      <c r="N160" s="276"/>
      <c r="O160" s="274">
        <v>39352.400000000001</v>
      </c>
      <c r="P160" s="274"/>
      <c r="Q160" s="276">
        <v>0</v>
      </c>
      <c r="R160" s="276"/>
      <c r="S160" s="274">
        <v>39352.400000000001</v>
      </c>
      <c r="T160" s="274"/>
      <c r="U160" s="276">
        <v>0</v>
      </c>
      <c r="V160" s="276"/>
      <c r="W160" s="276"/>
      <c r="X160" s="277">
        <f t="shared" si="12"/>
        <v>2010</v>
      </c>
      <c r="Y160" s="277">
        <f t="shared" si="13"/>
        <v>12</v>
      </c>
      <c r="Z160" s="278"/>
      <c r="AA160" s="278"/>
      <c r="AB160" s="278"/>
      <c r="AC160" s="278"/>
      <c r="AD160" s="278"/>
      <c r="AE160" s="278"/>
    </row>
    <row r="161" spans="1:31" s="260" customFormat="1" ht="11.25" customHeight="1" x14ac:dyDescent="0.2">
      <c r="A161" s="270"/>
      <c r="C161" s="272" t="s">
        <v>148</v>
      </c>
      <c r="D161" s="272"/>
      <c r="E161" s="272"/>
      <c r="F161" s="272"/>
      <c r="G161" s="273">
        <v>40882</v>
      </c>
      <c r="H161" s="274">
        <v>37277.67</v>
      </c>
      <c r="I161" s="274"/>
      <c r="J161" s="274"/>
      <c r="K161" s="280" t="s">
        <v>22</v>
      </c>
      <c r="L161" s="275">
        <v>5</v>
      </c>
      <c r="M161" s="276">
        <v>0</v>
      </c>
      <c r="N161" s="276"/>
      <c r="O161" s="274">
        <v>37277.67</v>
      </c>
      <c r="P161" s="274"/>
      <c r="Q161" s="276">
        <v>0</v>
      </c>
      <c r="R161" s="276"/>
      <c r="S161" s="274">
        <v>37277.67</v>
      </c>
      <c r="T161" s="274"/>
      <c r="U161" s="276">
        <v>0</v>
      </c>
      <c r="V161" s="276"/>
      <c r="W161" s="276"/>
      <c r="X161" s="277">
        <f t="shared" si="12"/>
        <v>2011</v>
      </c>
      <c r="Y161" s="277">
        <f t="shared" si="13"/>
        <v>12</v>
      </c>
      <c r="Z161" s="278"/>
      <c r="AA161" s="278"/>
      <c r="AB161" s="278"/>
      <c r="AC161" s="278"/>
      <c r="AD161" s="278"/>
      <c r="AE161" s="278"/>
    </row>
    <row r="162" spans="1:31" s="260" customFormat="1" ht="11.25" customHeight="1" x14ac:dyDescent="0.2">
      <c r="A162" s="270"/>
      <c r="C162" s="272" t="s">
        <v>149</v>
      </c>
      <c r="D162" s="272"/>
      <c r="E162" s="272"/>
      <c r="F162" s="272"/>
      <c r="G162" s="273">
        <v>42783</v>
      </c>
      <c r="H162" s="274">
        <v>3146.13</v>
      </c>
      <c r="I162" s="274"/>
      <c r="J162" s="274"/>
      <c r="K162" s="280" t="s">
        <v>22</v>
      </c>
      <c r="L162" s="275">
        <v>5</v>
      </c>
      <c r="M162" s="276">
        <v>0</v>
      </c>
      <c r="N162" s="276"/>
      <c r="O162" s="274">
        <v>1835.25</v>
      </c>
      <c r="P162" s="274"/>
      <c r="Q162" s="276">
        <v>629.23</v>
      </c>
      <c r="R162" s="276"/>
      <c r="S162" s="274">
        <v>2464.48</v>
      </c>
      <c r="T162" s="274"/>
      <c r="U162" s="276">
        <v>681.65</v>
      </c>
      <c r="V162" s="276"/>
      <c r="W162" s="276"/>
      <c r="X162" s="277">
        <f t="shared" si="12"/>
        <v>2017</v>
      </c>
      <c r="Y162" s="277">
        <f t="shared" si="13"/>
        <v>2</v>
      </c>
      <c r="Z162" s="278"/>
      <c r="AA162" s="278"/>
      <c r="AB162" s="278"/>
      <c r="AC162" s="278"/>
      <c r="AD162" s="278"/>
      <c r="AE162" s="278"/>
    </row>
    <row r="163" spans="1:31" s="260" customFormat="1" ht="15" customHeight="1" x14ac:dyDescent="0.2">
      <c r="A163" s="270"/>
      <c r="C163" s="272" t="s">
        <v>150</v>
      </c>
      <c r="D163" s="272"/>
      <c r="E163" s="272"/>
      <c r="F163" s="272"/>
      <c r="G163" s="273">
        <v>43053</v>
      </c>
      <c r="H163" s="274">
        <v>64326.82</v>
      </c>
      <c r="I163" s="274"/>
      <c r="J163" s="270"/>
      <c r="K163" s="280" t="s">
        <v>22</v>
      </c>
      <c r="L163" s="275">
        <v>5</v>
      </c>
      <c r="M163" s="276">
        <v>0</v>
      </c>
      <c r="N163" s="276"/>
      <c r="O163" s="274">
        <v>27874.95</v>
      </c>
      <c r="P163" s="274"/>
      <c r="Q163" s="274">
        <v>12865.36</v>
      </c>
      <c r="R163" s="274"/>
      <c r="S163" s="274">
        <v>40740.31</v>
      </c>
      <c r="T163" s="274"/>
      <c r="U163" s="274">
        <v>23586.51</v>
      </c>
      <c r="V163" s="274"/>
      <c r="W163" s="274"/>
      <c r="X163" s="277">
        <f t="shared" si="12"/>
        <v>2017</v>
      </c>
      <c r="Y163" s="277">
        <f t="shared" si="13"/>
        <v>11</v>
      </c>
      <c r="Z163" s="278"/>
      <c r="AA163" s="278"/>
      <c r="AB163" s="278"/>
      <c r="AC163" s="278"/>
      <c r="AD163" s="278"/>
      <c r="AE163" s="278"/>
    </row>
    <row r="164" spans="1:31" s="260" customFormat="1" ht="11.25" customHeight="1" x14ac:dyDescent="0.2">
      <c r="A164" s="270"/>
      <c r="C164" s="272" t="s">
        <v>151</v>
      </c>
      <c r="D164" s="272"/>
      <c r="E164" s="272"/>
      <c r="F164" s="272"/>
      <c r="G164" s="273">
        <v>43059</v>
      </c>
      <c r="H164" s="274">
        <v>63822.74</v>
      </c>
      <c r="I164" s="274"/>
      <c r="J164" s="270"/>
      <c r="K164" s="280" t="s">
        <v>22</v>
      </c>
      <c r="L164" s="275">
        <v>5</v>
      </c>
      <c r="M164" s="276">
        <v>0</v>
      </c>
      <c r="N164" s="276"/>
      <c r="O164" s="274">
        <v>27656.52</v>
      </c>
      <c r="P164" s="274"/>
      <c r="Q164" s="274">
        <v>12764.55</v>
      </c>
      <c r="R164" s="274"/>
      <c r="S164" s="274">
        <v>40421.07</v>
      </c>
      <c r="T164" s="274"/>
      <c r="U164" s="274">
        <v>23401.67</v>
      </c>
      <c r="V164" s="274"/>
      <c r="W164" s="274"/>
      <c r="X164" s="277">
        <f t="shared" si="12"/>
        <v>2017</v>
      </c>
      <c r="Y164" s="277">
        <f t="shared" si="13"/>
        <v>11</v>
      </c>
      <c r="Z164" s="278"/>
      <c r="AA164" s="278"/>
      <c r="AB164" s="278"/>
      <c r="AC164" s="278"/>
      <c r="AD164" s="278"/>
      <c r="AE164" s="278"/>
    </row>
    <row r="165" spans="1:31" s="260" customFormat="1" ht="11.25" customHeight="1" x14ac:dyDescent="0.2">
      <c r="A165" s="270"/>
      <c r="C165" s="272" t="s">
        <v>152</v>
      </c>
      <c r="D165" s="272"/>
      <c r="E165" s="272"/>
      <c r="F165" s="272"/>
      <c r="G165" s="273">
        <v>43413</v>
      </c>
      <c r="H165" s="274">
        <v>5699.9</v>
      </c>
      <c r="I165" s="274"/>
      <c r="J165" s="270"/>
      <c r="K165" s="280" t="s">
        <v>22</v>
      </c>
      <c r="L165" s="275">
        <v>5</v>
      </c>
      <c r="M165" s="276">
        <v>0</v>
      </c>
      <c r="N165" s="276"/>
      <c r="O165" s="274">
        <v>1329.98</v>
      </c>
      <c r="P165" s="274"/>
      <c r="Q165" s="274">
        <v>1139.98</v>
      </c>
      <c r="R165" s="274"/>
      <c r="S165" s="274">
        <v>2469.96</v>
      </c>
      <c r="T165" s="274"/>
      <c r="U165" s="274">
        <v>3229.94</v>
      </c>
      <c r="V165" s="274"/>
      <c r="W165" s="274"/>
      <c r="X165" s="277">
        <f t="shared" si="12"/>
        <v>2018</v>
      </c>
      <c r="Y165" s="277">
        <f t="shared" si="13"/>
        <v>11</v>
      </c>
      <c r="Z165" s="278"/>
      <c r="AA165" s="278"/>
      <c r="AB165" s="278"/>
      <c r="AC165" s="278"/>
      <c r="AD165" s="278"/>
      <c r="AE165" s="278"/>
    </row>
    <row r="166" spans="1:31" ht="15.95" customHeight="1" x14ac:dyDescent="0.2">
      <c r="A166" s="2"/>
      <c r="B166" s="27" t="s">
        <v>153</v>
      </c>
      <c r="C166" s="23"/>
      <c r="D166" s="23"/>
      <c r="E166" s="23"/>
      <c r="F166" s="23"/>
      <c r="G166" s="23"/>
      <c r="H166" s="19">
        <f>SUM(H156:H165)</f>
        <v>312923.49</v>
      </c>
      <c r="I166" s="19"/>
      <c r="J166" s="7" t="s">
        <v>42</v>
      </c>
      <c r="K166" s="2"/>
      <c r="L166" s="2"/>
      <c r="M166" s="25">
        <v>0</v>
      </c>
      <c r="N166" s="25"/>
      <c r="O166" s="19">
        <f>SUM(O156:O165)</f>
        <v>234624.59999999998</v>
      </c>
      <c r="P166" s="19"/>
      <c r="Q166" s="19">
        <f>SUM(Q156:Q165)</f>
        <v>27399.119999999999</v>
      </c>
      <c r="R166" s="19"/>
      <c r="S166" s="19">
        <f>SUM(S156:S165)</f>
        <v>262023.71999999997</v>
      </c>
      <c r="T166" s="19"/>
      <c r="U166" s="19">
        <f>SUM(U156:U165)</f>
        <v>50899.770000000004</v>
      </c>
      <c r="V166" s="19"/>
      <c r="W166" s="19"/>
      <c r="X166" s="208"/>
    </row>
    <row r="167" spans="1:31" ht="15" customHeight="1" x14ac:dyDescent="0.2">
      <c r="A167" s="2"/>
      <c r="B167" s="27" t="s">
        <v>154</v>
      </c>
      <c r="C167" s="23"/>
      <c r="D167" s="23"/>
      <c r="E167" s="23"/>
      <c r="F167" s="23"/>
      <c r="G167" s="23"/>
      <c r="H167" s="20"/>
      <c r="I167" s="20"/>
      <c r="J167" s="2"/>
      <c r="K167" s="2"/>
      <c r="L167" s="2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8"/>
    </row>
    <row r="168" spans="1:31" s="260" customFormat="1" ht="15" customHeight="1" x14ac:dyDescent="0.2">
      <c r="A168" s="270"/>
      <c r="B168" s="271">
        <v>60</v>
      </c>
      <c r="C168" s="272" t="s">
        <v>155</v>
      </c>
      <c r="D168" s="272"/>
      <c r="E168" s="272"/>
      <c r="F168" s="272"/>
      <c r="G168" s="273">
        <v>38014</v>
      </c>
      <c r="H168" s="274">
        <v>5353.62</v>
      </c>
      <c r="I168" s="274"/>
      <c r="J168" s="272" t="s">
        <v>22</v>
      </c>
      <c r="K168" s="272"/>
      <c r="L168" s="275">
        <v>8</v>
      </c>
      <c r="M168" s="276">
        <v>0</v>
      </c>
      <c r="N168" s="276"/>
      <c r="O168" s="274">
        <v>5353.62</v>
      </c>
      <c r="P168" s="274"/>
      <c r="Q168" s="276">
        <v>0</v>
      </c>
      <c r="R168" s="276"/>
      <c r="S168" s="274">
        <v>5353.62</v>
      </c>
      <c r="T168" s="274"/>
      <c r="U168" s="276">
        <v>0</v>
      </c>
      <c r="V168" s="276"/>
      <c r="W168" s="276"/>
      <c r="X168" s="277">
        <f t="shared" ref="X168" si="14">YEAR(G168)</f>
        <v>2004</v>
      </c>
      <c r="Y168" s="277">
        <f t="shared" ref="Y168" si="15">MONTH(G168)</f>
        <v>1</v>
      </c>
      <c r="Z168" s="278"/>
      <c r="AA168" s="278"/>
      <c r="AB168" s="278"/>
      <c r="AC168" s="278"/>
      <c r="AD168" s="278"/>
      <c r="AE168" s="278"/>
    </row>
    <row r="169" spans="1:31" s="260" customFormat="1" ht="11.25" customHeight="1" x14ac:dyDescent="0.2">
      <c r="A169" s="270"/>
      <c r="B169" s="271">
        <v>62</v>
      </c>
      <c r="C169" s="272" t="s">
        <v>156</v>
      </c>
      <c r="D169" s="272"/>
      <c r="E169" s="272"/>
      <c r="F169" s="272"/>
      <c r="G169" s="273">
        <v>38133</v>
      </c>
      <c r="H169" s="274">
        <v>4455.72</v>
      </c>
      <c r="I169" s="274"/>
      <c r="J169" s="272" t="s">
        <v>22</v>
      </c>
      <c r="K169" s="272"/>
      <c r="L169" s="275">
        <v>8</v>
      </c>
      <c r="M169" s="276">
        <v>0</v>
      </c>
      <c r="N169" s="276"/>
      <c r="O169" s="274">
        <v>4455.72</v>
      </c>
      <c r="P169" s="274"/>
      <c r="Q169" s="276">
        <v>0</v>
      </c>
      <c r="R169" s="276"/>
      <c r="S169" s="274">
        <v>4455.72</v>
      </c>
      <c r="T169" s="274"/>
      <c r="U169" s="276">
        <v>0</v>
      </c>
      <c r="V169" s="276"/>
      <c r="W169" s="276"/>
      <c r="X169" s="277">
        <f t="shared" ref="X169:X232" si="16">YEAR(G169)</f>
        <v>2004</v>
      </c>
      <c r="Y169" s="277">
        <f t="shared" ref="Y169:Y232" si="17">MONTH(G169)</f>
        <v>5</v>
      </c>
      <c r="Z169" s="278"/>
      <c r="AA169" s="278"/>
      <c r="AB169" s="278"/>
      <c r="AC169" s="278"/>
      <c r="AD169" s="278"/>
      <c r="AE169" s="278"/>
    </row>
    <row r="170" spans="1:31" s="260" customFormat="1" ht="11.25" customHeight="1" x14ac:dyDescent="0.2">
      <c r="A170" s="270"/>
      <c r="B170" s="271">
        <v>63</v>
      </c>
      <c r="C170" s="272" t="s">
        <v>156</v>
      </c>
      <c r="D170" s="272"/>
      <c r="E170" s="272"/>
      <c r="F170" s="272"/>
      <c r="G170" s="273">
        <v>38133</v>
      </c>
      <c r="H170" s="274">
        <v>4455.71</v>
      </c>
      <c r="I170" s="274"/>
      <c r="J170" s="272" t="s">
        <v>22</v>
      </c>
      <c r="K170" s="272"/>
      <c r="L170" s="275">
        <v>8</v>
      </c>
      <c r="M170" s="276">
        <v>0</v>
      </c>
      <c r="N170" s="276"/>
      <c r="O170" s="274">
        <v>4455.71</v>
      </c>
      <c r="P170" s="274"/>
      <c r="Q170" s="276">
        <v>0</v>
      </c>
      <c r="R170" s="276"/>
      <c r="S170" s="274">
        <v>4455.71</v>
      </c>
      <c r="T170" s="274"/>
      <c r="U170" s="276">
        <v>0</v>
      </c>
      <c r="V170" s="276"/>
      <c r="W170" s="276"/>
      <c r="X170" s="277">
        <f t="shared" si="16"/>
        <v>2004</v>
      </c>
      <c r="Y170" s="277">
        <f t="shared" si="17"/>
        <v>5</v>
      </c>
      <c r="Z170" s="278"/>
      <c r="AA170" s="278"/>
      <c r="AB170" s="278"/>
      <c r="AC170" s="278"/>
      <c r="AD170" s="278"/>
      <c r="AE170" s="278"/>
    </row>
    <row r="171" spans="1:31" s="260" customFormat="1" ht="11.25" customHeight="1" x14ac:dyDescent="0.2">
      <c r="A171" s="270"/>
      <c r="B171" s="271">
        <v>64</v>
      </c>
      <c r="C171" s="272" t="s">
        <v>157</v>
      </c>
      <c r="D171" s="272"/>
      <c r="E171" s="272"/>
      <c r="F171" s="272"/>
      <c r="G171" s="273">
        <v>38196</v>
      </c>
      <c r="H171" s="274">
        <v>7101.6</v>
      </c>
      <c r="I171" s="274"/>
      <c r="J171" s="272" t="s">
        <v>22</v>
      </c>
      <c r="K171" s="272"/>
      <c r="L171" s="275">
        <v>8</v>
      </c>
      <c r="M171" s="276">
        <v>0</v>
      </c>
      <c r="N171" s="276"/>
      <c r="O171" s="274">
        <v>7101.6</v>
      </c>
      <c r="P171" s="274"/>
      <c r="Q171" s="276">
        <v>0</v>
      </c>
      <c r="R171" s="276"/>
      <c r="S171" s="274">
        <v>7101.6</v>
      </c>
      <c r="T171" s="274"/>
      <c r="U171" s="276">
        <v>0</v>
      </c>
      <c r="V171" s="276"/>
      <c r="W171" s="276"/>
      <c r="X171" s="277">
        <f t="shared" si="16"/>
        <v>2004</v>
      </c>
      <c r="Y171" s="277">
        <f t="shared" si="17"/>
        <v>7</v>
      </c>
      <c r="Z171" s="278"/>
      <c r="AA171" s="278"/>
      <c r="AB171" s="278"/>
      <c r="AC171" s="278"/>
      <c r="AD171" s="278"/>
      <c r="AE171" s="278"/>
    </row>
    <row r="172" spans="1:31" s="260" customFormat="1" ht="11.25" customHeight="1" x14ac:dyDescent="0.2">
      <c r="A172" s="270"/>
      <c r="B172" s="271">
        <v>65</v>
      </c>
      <c r="C172" s="272" t="s">
        <v>156</v>
      </c>
      <c r="D172" s="272"/>
      <c r="E172" s="272"/>
      <c r="F172" s="272"/>
      <c r="G172" s="273">
        <v>38226</v>
      </c>
      <c r="H172" s="274">
        <v>5370.32</v>
      </c>
      <c r="I172" s="274"/>
      <c r="J172" s="272" t="s">
        <v>22</v>
      </c>
      <c r="K172" s="272"/>
      <c r="L172" s="275">
        <v>8</v>
      </c>
      <c r="M172" s="276">
        <v>0</v>
      </c>
      <c r="N172" s="276"/>
      <c r="O172" s="274">
        <v>5370.32</v>
      </c>
      <c r="P172" s="274"/>
      <c r="Q172" s="276">
        <v>0</v>
      </c>
      <c r="R172" s="276"/>
      <c r="S172" s="274">
        <v>5370.32</v>
      </c>
      <c r="T172" s="274"/>
      <c r="U172" s="276">
        <v>0</v>
      </c>
      <c r="V172" s="276"/>
      <c r="W172" s="276"/>
      <c r="X172" s="277">
        <f t="shared" si="16"/>
        <v>2004</v>
      </c>
      <c r="Y172" s="277">
        <f t="shared" si="17"/>
        <v>8</v>
      </c>
      <c r="Z172" s="278"/>
      <c r="AA172" s="278"/>
      <c r="AB172" s="278"/>
      <c r="AC172" s="278"/>
      <c r="AD172" s="278"/>
      <c r="AE172" s="278"/>
    </row>
    <row r="173" spans="1:31" s="260" customFormat="1" ht="11.25" customHeight="1" x14ac:dyDescent="0.2">
      <c r="A173" s="270"/>
      <c r="B173" s="271">
        <v>66</v>
      </c>
      <c r="C173" s="272" t="s">
        <v>158</v>
      </c>
      <c r="D173" s="272"/>
      <c r="E173" s="272"/>
      <c r="F173" s="272"/>
      <c r="G173" s="273">
        <v>38257</v>
      </c>
      <c r="H173" s="274">
        <v>3766</v>
      </c>
      <c r="I173" s="274"/>
      <c r="J173" s="272" t="s">
        <v>22</v>
      </c>
      <c r="K173" s="272"/>
      <c r="L173" s="275">
        <v>8</v>
      </c>
      <c r="M173" s="276">
        <v>0</v>
      </c>
      <c r="N173" s="276"/>
      <c r="O173" s="274">
        <v>3766</v>
      </c>
      <c r="P173" s="274"/>
      <c r="Q173" s="276">
        <v>0</v>
      </c>
      <c r="R173" s="276"/>
      <c r="S173" s="274">
        <v>3766</v>
      </c>
      <c r="T173" s="274"/>
      <c r="U173" s="276">
        <v>0</v>
      </c>
      <c r="V173" s="276"/>
      <c r="W173" s="276"/>
      <c r="X173" s="277">
        <f t="shared" si="16"/>
        <v>2004</v>
      </c>
      <c r="Y173" s="277">
        <f t="shared" si="17"/>
        <v>9</v>
      </c>
      <c r="Z173" s="278"/>
      <c r="AA173" s="278"/>
      <c r="AB173" s="278"/>
      <c r="AC173" s="278"/>
      <c r="AD173" s="278"/>
      <c r="AE173" s="278"/>
    </row>
    <row r="174" spans="1:31" s="260" customFormat="1" ht="11.25" customHeight="1" x14ac:dyDescent="0.2">
      <c r="A174" s="270"/>
      <c r="B174" s="271">
        <v>67</v>
      </c>
      <c r="C174" s="272" t="s">
        <v>156</v>
      </c>
      <c r="D174" s="272"/>
      <c r="E174" s="272"/>
      <c r="F174" s="272"/>
      <c r="G174" s="273">
        <v>38286</v>
      </c>
      <c r="H174" s="274">
        <v>5477.92</v>
      </c>
      <c r="I174" s="274"/>
      <c r="J174" s="272" t="s">
        <v>22</v>
      </c>
      <c r="K174" s="272"/>
      <c r="L174" s="275">
        <v>8</v>
      </c>
      <c r="M174" s="276">
        <v>0</v>
      </c>
      <c r="N174" s="276"/>
      <c r="O174" s="274">
        <v>5477.92</v>
      </c>
      <c r="P174" s="274"/>
      <c r="Q174" s="276">
        <v>0</v>
      </c>
      <c r="R174" s="276"/>
      <c r="S174" s="274">
        <v>5477.92</v>
      </c>
      <c r="T174" s="274"/>
      <c r="U174" s="276">
        <v>0</v>
      </c>
      <c r="V174" s="276"/>
      <c r="W174" s="276"/>
      <c r="X174" s="277">
        <f t="shared" si="16"/>
        <v>2004</v>
      </c>
      <c r="Y174" s="277">
        <f t="shared" si="17"/>
        <v>10</v>
      </c>
      <c r="Z174" s="278"/>
      <c r="AA174" s="278"/>
      <c r="AB174" s="278"/>
      <c r="AC174" s="278"/>
      <c r="AD174" s="278"/>
      <c r="AE174" s="278"/>
    </row>
    <row r="175" spans="1:31" s="260" customFormat="1" ht="11.25" customHeight="1" x14ac:dyDescent="0.2">
      <c r="A175" s="270"/>
      <c r="B175" s="271">
        <v>68</v>
      </c>
      <c r="C175" s="272" t="s">
        <v>159</v>
      </c>
      <c r="D175" s="272"/>
      <c r="E175" s="272"/>
      <c r="F175" s="272"/>
      <c r="G175" s="273">
        <v>38317</v>
      </c>
      <c r="H175" s="274">
        <v>2394.1</v>
      </c>
      <c r="I175" s="274"/>
      <c r="J175" s="272" t="s">
        <v>22</v>
      </c>
      <c r="K175" s="272"/>
      <c r="L175" s="275">
        <v>8</v>
      </c>
      <c r="M175" s="276">
        <v>0</v>
      </c>
      <c r="N175" s="276"/>
      <c r="O175" s="274">
        <v>2394.1</v>
      </c>
      <c r="P175" s="274"/>
      <c r="Q175" s="276">
        <v>0</v>
      </c>
      <c r="R175" s="276"/>
      <c r="S175" s="274">
        <v>2394.1</v>
      </c>
      <c r="T175" s="274"/>
      <c r="U175" s="276">
        <v>0</v>
      </c>
      <c r="V175" s="276"/>
      <c r="W175" s="276"/>
      <c r="X175" s="277">
        <f t="shared" si="16"/>
        <v>2004</v>
      </c>
      <c r="Y175" s="277">
        <f t="shared" si="17"/>
        <v>11</v>
      </c>
      <c r="Z175" s="278"/>
      <c r="AA175" s="278"/>
      <c r="AB175" s="278"/>
      <c r="AC175" s="278"/>
      <c r="AD175" s="278"/>
      <c r="AE175" s="278"/>
    </row>
    <row r="176" spans="1:31" s="260" customFormat="1" ht="11.25" customHeight="1" x14ac:dyDescent="0.2">
      <c r="A176" s="270"/>
      <c r="B176" s="271">
        <v>69</v>
      </c>
      <c r="C176" s="272" t="s">
        <v>160</v>
      </c>
      <c r="D176" s="272"/>
      <c r="E176" s="272"/>
      <c r="F176" s="272"/>
      <c r="G176" s="273">
        <v>38317</v>
      </c>
      <c r="H176" s="274">
        <v>2528.6</v>
      </c>
      <c r="I176" s="274"/>
      <c r="J176" s="272" t="s">
        <v>22</v>
      </c>
      <c r="K176" s="272"/>
      <c r="L176" s="275">
        <v>8</v>
      </c>
      <c r="M176" s="276">
        <v>0</v>
      </c>
      <c r="N176" s="276"/>
      <c r="O176" s="274">
        <v>2528.6</v>
      </c>
      <c r="P176" s="274"/>
      <c r="Q176" s="276">
        <v>0</v>
      </c>
      <c r="R176" s="276"/>
      <c r="S176" s="274">
        <v>2528.6</v>
      </c>
      <c r="T176" s="274"/>
      <c r="U176" s="276">
        <v>0</v>
      </c>
      <c r="V176" s="276"/>
      <c r="W176" s="276"/>
      <c r="X176" s="277">
        <f t="shared" si="16"/>
        <v>2004</v>
      </c>
      <c r="Y176" s="277">
        <f t="shared" si="17"/>
        <v>11</v>
      </c>
      <c r="Z176" s="278"/>
      <c r="AA176" s="278"/>
      <c r="AB176" s="278"/>
      <c r="AC176" s="278"/>
      <c r="AD176" s="278"/>
      <c r="AE176" s="278"/>
    </row>
    <row r="177" spans="1:31" s="260" customFormat="1" ht="11.25" customHeight="1" x14ac:dyDescent="0.2">
      <c r="A177" s="270"/>
      <c r="B177" s="271">
        <v>70</v>
      </c>
      <c r="C177" s="272" t="s">
        <v>156</v>
      </c>
      <c r="D177" s="272"/>
      <c r="E177" s="272"/>
      <c r="F177" s="272"/>
      <c r="G177" s="273">
        <v>38348</v>
      </c>
      <c r="H177" s="274">
        <v>7867.17</v>
      </c>
      <c r="I177" s="274"/>
      <c r="J177" s="272" t="s">
        <v>22</v>
      </c>
      <c r="K177" s="272"/>
      <c r="L177" s="275">
        <v>8</v>
      </c>
      <c r="M177" s="276">
        <v>0</v>
      </c>
      <c r="N177" s="276"/>
      <c r="O177" s="274">
        <v>7867.17</v>
      </c>
      <c r="P177" s="274"/>
      <c r="Q177" s="276">
        <v>0</v>
      </c>
      <c r="R177" s="276"/>
      <c r="S177" s="274">
        <v>7867.17</v>
      </c>
      <c r="T177" s="274"/>
      <c r="U177" s="276">
        <v>0</v>
      </c>
      <c r="V177" s="276"/>
      <c r="W177" s="276"/>
      <c r="X177" s="277">
        <f t="shared" si="16"/>
        <v>2004</v>
      </c>
      <c r="Y177" s="277">
        <f t="shared" si="17"/>
        <v>12</v>
      </c>
      <c r="Z177" s="278"/>
      <c r="AA177" s="278"/>
      <c r="AB177" s="278"/>
      <c r="AC177" s="278"/>
      <c r="AD177" s="278"/>
      <c r="AE177" s="278"/>
    </row>
    <row r="178" spans="1:31" s="260" customFormat="1" ht="11.25" customHeight="1" x14ac:dyDescent="0.2">
      <c r="A178" s="270"/>
      <c r="B178" s="271">
        <v>71</v>
      </c>
      <c r="C178" s="272" t="s">
        <v>156</v>
      </c>
      <c r="D178" s="272"/>
      <c r="E178" s="272"/>
      <c r="F178" s="272"/>
      <c r="G178" s="273">
        <v>38408</v>
      </c>
      <c r="H178" s="274">
        <v>5101.32</v>
      </c>
      <c r="I178" s="274"/>
      <c r="J178" s="272" t="s">
        <v>22</v>
      </c>
      <c r="K178" s="272"/>
      <c r="L178" s="275">
        <v>8</v>
      </c>
      <c r="M178" s="276">
        <v>0</v>
      </c>
      <c r="N178" s="276"/>
      <c r="O178" s="274">
        <v>5101.32</v>
      </c>
      <c r="P178" s="274"/>
      <c r="Q178" s="276">
        <v>0</v>
      </c>
      <c r="R178" s="276"/>
      <c r="S178" s="274">
        <v>5101.32</v>
      </c>
      <c r="T178" s="274"/>
      <c r="U178" s="276">
        <v>0</v>
      </c>
      <c r="V178" s="276"/>
      <c r="W178" s="276"/>
      <c r="X178" s="277">
        <f t="shared" si="16"/>
        <v>2005</v>
      </c>
      <c r="Y178" s="277">
        <f t="shared" si="17"/>
        <v>2</v>
      </c>
      <c r="Z178" s="278"/>
      <c r="AA178" s="278"/>
      <c r="AB178" s="278"/>
      <c r="AC178" s="278"/>
      <c r="AD178" s="278"/>
      <c r="AE178" s="278"/>
    </row>
    <row r="179" spans="1:31" s="260" customFormat="1" ht="11.25" customHeight="1" x14ac:dyDescent="0.2">
      <c r="A179" s="270"/>
      <c r="B179" s="271">
        <v>72</v>
      </c>
      <c r="C179" s="272" t="s">
        <v>161</v>
      </c>
      <c r="D179" s="272"/>
      <c r="E179" s="272"/>
      <c r="F179" s="272"/>
      <c r="G179" s="273">
        <v>38440</v>
      </c>
      <c r="H179" s="274">
        <v>6684.11</v>
      </c>
      <c r="I179" s="274"/>
      <c r="J179" s="272" t="s">
        <v>22</v>
      </c>
      <c r="K179" s="272"/>
      <c r="L179" s="275">
        <v>8</v>
      </c>
      <c r="M179" s="276">
        <v>0</v>
      </c>
      <c r="N179" s="276"/>
      <c r="O179" s="274">
        <v>6684.11</v>
      </c>
      <c r="P179" s="274"/>
      <c r="Q179" s="276">
        <v>0</v>
      </c>
      <c r="R179" s="276"/>
      <c r="S179" s="274">
        <v>6684.11</v>
      </c>
      <c r="T179" s="274"/>
      <c r="U179" s="276">
        <v>0</v>
      </c>
      <c r="V179" s="276"/>
      <c r="W179" s="276"/>
      <c r="X179" s="277">
        <f t="shared" si="16"/>
        <v>2005</v>
      </c>
      <c r="Y179" s="277">
        <f t="shared" si="17"/>
        <v>3</v>
      </c>
      <c r="Z179" s="278"/>
      <c r="AA179" s="278"/>
      <c r="AB179" s="278"/>
      <c r="AC179" s="278"/>
      <c r="AD179" s="278"/>
      <c r="AE179" s="278"/>
    </row>
    <row r="180" spans="1:31" s="260" customFormat="1" ht="11.25" customHeight="1" x14ac:dyDescent="0.2">
      <c r="A180" s="270"/>
      <c r="B180" s="271">
        <v>78</v>
      </c>
      <c r="C180" s="272" t="s">
        <v>162</v>
      </c>
      <c r="D180" s="272"/>
      <c r="E180" s="272"/>
      <c r="F180" s="272"/>
      <c r="G180" s="273">
        <v>38503</v>
      </c>
      <c r="H180" s="274">
        <v>2465.25</v>
      </c>
      <c r="I180" s="274"/>
      <c r="J180" s="272" t="s">
        <v>22</v>
      </c>
      <c r="K180" s="272"/>
      <c r="L180" s="275">
        <v>8</v>
      </c>
      <c r="M180" s="276">
        <v>0</v>
      </c>
      <c r="N180" s="276"/>
      <c r="O180" s="274">
        <v>2465.25</v>
      </c>
      <c r="P180" s="274"/>
      <c r="Q180" s="276">
        <v>0</v>
      </c>
      <c r="R180" s="276"/>
      <c r="S180" s="274">
        <v>2465.25</v>
      </c>
      <c r="T180" s="274"/>
      <c r="U180" s="276">
        <v>0</v>
      </c>
      <c r="V180" s="276"/>
      <c r="W180" s="276"/>
      <c r="X180" s="277">
        <f t="shared" si="16"/>
        <v>2005</v>
      </c>
      <c r="Y180" s="277">
        <f t="shared" si="17"/>
        <v>5</v>
      </c>
      <c r="Z180" s="278"/>
      <c r="AA180" s="278"/>
      <c r="AB180" s="278"/>
      <c r="AC180" s="278"/>
      <c r="AD180" s="278"/>
      <c r="AE180" s="278"/>
    </row>
    <row r="181" spans="1:31" s="260" customFormat="1" ht="11.25" customHeight="1" x14ac:dyDescent="0.2">
      <c r="A181" s="270"/>
      <c r="B181" s="271">
        <v>79</v>
      </c>
      <c r="C181" s="272" t="s">
        <v>163</v>
      </c>
      <c r="D181" s="272"/>
      <c r="E181" s="272"/>
      <c r="F181" s="272"/>
      <c r="G181" s="273">
        <v>38503</v>
      </c>
      <c r="H181" s="274">
        <v>5301</v>
      </c>
      <c r="I181" s="274"/>
      <c r="J181" s="272" t="s">
        <v>22</v>
      </c>
      <c r="K181" s="272"/>
      <c r="L181" s="275">
        <v>8</v>
      </c>
      <c r="M181" s="276">
        <v>0</v>
      </c>
      <c r="N181" s="276"/>
      <c r="O181" s="274">
        <v>5301</v>
      </c>
      <c r="P181" s="274"/>
      <c r="Q181" s="276">
        <v>0</v>
      </c>
      <c r="R181" s="276"/>
      <c r="S181" s="274">
        <v>5301</v>
      </c>
      <c r="T181" s="274"/>
      <c r="U181" s="276">
        <v>0</v>
      </c>
      <c r="V181" s="276"/>
      <c r="W181" s="276"/>
      <c r="X181" s="277">
        <f t="shared" si="16"/>
        <v>2005</v>
      </c>
      <c r="Y181" s="277">
        <f t="shared" si="17"/>
        <v>5</v>
      </c>
      <c r="Z181" s="278"/>
      <c r="AA181" s="278"/>
      <c r="AB181" s="278"/>
      <c r="AC181" s="278"/>
      <c r="AD181" s="278"/>
      <c r="AE181" s="278"/>
    </row>
    <row r="182" spans="1:31" s="260" customFormat="1" ht="11.25" customHeight="1" x14ac:dyDescent="0.2">
      <c r="A182" s="270"/>
      <c r="B182" s="271">
        <v>80</v>
      </c>
      <c r="C182" s="272" t="s">
        <v>163</v>
      </c>
      <c r="D182" s="272"/>
      <c r="E182" s="272"/>
      <c r="F182" s="272"/>
      <c r="G182" s="273">
        <v>38533</v>
      </c>
      <c r="H182" s="274">
        <v>4200.3</v>
      </c>
      <c r="I182" s="274"/>
      <c r="J182" s="272" t="s">
        <v>22</v>
      </c>
      <c r="K182" s="272"/>
      <c r="L182" s="275">
        <v>8</v>
      </c>
      <c r="M182" s="276">
        <v>0</v>
      </c>
      <c r="N182" s="276"/>
      <c r="O182" s="274">
        <v>4200.3</v>
      </c>
      <c r="P182" s="274"/>
      <c r="Q182" s="276">
        <v>0</v>
      </c>
      <c r="R182" s="276"/>
      <c r="S182" s="274">
        <v>4200.3</v>
      </c>
      <c r="T182" s="274"/>
      <c r="U182" s="276">
        <v>0</v>
      </c>
      <c r="V182" s="276"/>
      <c r="W182" s="276"/>
      <c r="X182" s="277">
        <f t="shared" si="16"/>
        <v>2005</v>
      </c>
      <c r="Y182" s="277">
        <f t="shared" si="17"/>
        <v>6</v>
      </c>
      <c r="Z182" s="278"/>
      <c r="AA182" s="278"/>
      <c r="AB182" s="278"/>
      <c r="AC182" s="278"/>
      <c r="AD182" s="278"/>
      <c r="AE182" s="278"/>
    </row>
    <row r="183" spans="1:31" s="260" customFormat="1" ht="11.25" customHeight="1" x14ac:dyDescent="0.2">
      <c r="A183" s="270"/>
      <c r="B183" s="271">
        <v>81</v>
      </c>
      <c r="C183" s="272" t="s">
        <v>164</v>
      </c>
      <c r="D183" s="272"/>
      <c r="E183" s="272"/>
      <c r="F183" s="272"/>
      <c r="G183" s="273">
        <v>38558</v>
      </c>
      <c r="H183" s="274">
        <v>5923.5</v>
      </c>
      <c r="I183" s="274"/>
      <c r="J183" s="272" t="s">
        <v>22</v>
      </c>
      <c r="K183" s="272"/>
      <c r="L183" s="275">
        <v>8</v>
      </c>
      <c r="M183" s="276">
        <v>0</v>
      </c>
      <c r="N183" s="276"/>
      <c r="O183" s="274">
        <v>5923.5</v>
      </c>
      <c r="P183" s="274"/>
      <c r="Q183" s="276">
        <v>0</v>
      </c>
      <c r="R183" s="276"/>
      <c r="S183" s="274">
        <v>5923.5</v>
      </c>
      <c r="T183" s="274"/>
      <c r="U183" s="276">
        <v>0</v>
      </c>
      <c r="V183" s="276"/>
      <c r="W183" s="276"/>
      <c r="X183" s="277">
        <f t="shared" si="16"/>
        <v>2005</v>
      </c>
      <c r="Y183" s="277">
        <f t="shared" si="17"/>
        <v>7</v>
      </c>
      <c r="Z183" s="278"/>
      <c r="AA183" s="278"/>
      <c r="AB183" s="278"/>
      <c r="AC183" s="278"/>
      <c r="AD183" s="278"/>
      <c r="AE183" s="278"/>
    </row>
    <row r="184" spans="1:31" s="260" customFormat="1" ht="11.25" customHeight="1" x14ac:dyDescent="0.2">
      <c r="A184" s="270"/>
      <c r="B184" s="271">
        <v>82</v>
      </c>
      <c r="C184" s="272" t="s">
        <v>164</v>
      </c>
      <c r="D184" s="272"/>
      <c r="E184" s="272"/>
      <c r="F184" s="272"/>
      <c r="G184" s="273">
        <v>38622</v>
      </c>
      <c r="H184" s="274">
        <v>5842.73</v>
      </c>
      <c r="I184" s="274"/>
      <c r="J184" s="272" t="s">
        <v>22</v>
      </c>
      <c r="K184" s="272"/>
      <c r="L184" s="275">
        <v>8</v>
      </c>
      <c r="M184" s="276">
        <v>0</v>
      </c>
      <c r="N184" s="276"/>
      <c r="O184" s="274">
        <v>5842.73</v>
      </c>
      <c r="P184" s="274"/>
      <c r="Q184" s="276">
        <v>0</v>
      </c>
      <c r="R184" s="276"/>
      <c r="S184" s="274">
        <v>5842.73</v>
      </c>
      <c r="T184" s="274"/>
      <c r="U184" s="276">
        <v>0</v>
      </c>
      <c r="V184" s="276"/>
      <c r="W184" s="276"/>
      <c r="X184" s="277">
        <f t="shared" si="16"/>
        <v>2005</v>
      </c>
      <c r="Y184" s="277">
        <f t="shared" si="17"/>
        <v>9</v>
      </c>
      <c r="Z184" s="278"/>
      <c r="AA184" s="278"/>
      <c r="AB184" s="278"/>
      <c r="AC184" s="278"/>
      <c r="AD184" s="278"/>
      <c r="AE184" s="278"/>
    </row>
    <row r="185" spans="1:31" s="260" customFormat="1" ht="11.25" customHeight="1" x14ac:dyDescent="0.2">
      <c r="A185" s="270"/>
      <c r="B185" s="271">
        <v>83</v>
      </c>
      <c r="C185" s="272" t="s">
        <v>163</v>
      </c>
      <c r="D185" s="272"/>
      <c r="E185" s="272"/>
      <c r="F185" s="272"/>
      <c r="G185" s="273">
        <v>38622</v>
      </c>
      <c r="H185" s="274">
        <v>4765.72</v>
      </c>
      <c r="I185" s="274"/>
      <c r="J185" s="272" t="s">
        <v>22</v>
      </c>
      <c r="K185" s="272"/>
      <c r="L185" s="275">
        <v>8</v>
      </c>
      <c r="M185" s="276">
        <v>0</v>
      </c>
      <c r="N185" s="276"/>
      <c r="O185" s="274">
        <v>4765.72</v>
      </c>
      <c r="P185" s="274"/>
      <c r="Q185" s="276">
        <v>0</v>
      </c>
      <c r="R185" s="276"/>
      <c r="S185" s="274">
        <v>4765.72</v>
      </c>
      <c r="T185" s="274"/>
      <c r="U185" s="276">
        <v>0</v>
      </c>
      <c r="V185" s="276"/>
      <c r="W185" s="276"/>
      <c r="X185" s="277">
        <f t="shared" si="16"/>
        <v>2005</v>
      </c>
      <c r="Y185" s="277">
        <f t="shared" si="17"/>
        <v>9</v>
      </c>
      <c r="Z185" s="278"/>
      <c r="AA185" s="278"/>
      <c r="AB185" s="278"/>
      <c r="AC185" s="278"/>
      <c r="AD185" s="278"/>
      <c r="AE185" s="278"/>
    </row>
    <row r="186" spans="1:31" s="260" customFormat="1" ht="11.25" customHeight="1" x14ac:dyDescent="0.2">
      <c r="A186" s="270"/>
      <c r="B186" s="271">
        <v>84</v>
      </c>
      <c r="C186" s="272" t="s">
        <v>165</v>
      </c>
      <c r="D186" s="272"/>
      <c r="E186" s="272"/>
      <c r="F186" s="272"/>
      <c r="G186" s="273">
        <v>38681</v>
      </c>
      <c r="H186" s="274">
        <v>2692.5</v>
      </c>
      <c r="I186" s="274"/>
      <c r="J186" s="272" t="s">
        <v>22</v>
      </c>
      <c r="K186" s="272"/>
      <c r="L186" s="275">
        <v>8</v>
      </c>
      <c r="M186" s="276">
        <v>0</v>
      </c>
      <c r="N186" s="276"/>
      <c r="O186" s="274">
        <v>2692.5</v>
      </c>
      <c r="P186" s="274"/>
      <c r="Q186" s="276">
        <v>0</v>
      </c>
      <c r="R186" s="276"/>
      <c r="S186" s="274">
        <v>2692.5</v>
      </c>
      <c r="T186" s="274"/>
      <c r="U186" s="276">
        <v>0</v>
      </c>
      <c r="V186" s="276"/>
      <c r="W186" s="276"/>
      <c r="X186" s="277">
        <f t="shared" si="16"/>
        <v>2005</v>
      </c>
      <c r="Y186" s="277">
        <f t="shared" si="17"/>
        <v>11</v>
      </c>
      <c r="Z186" s="278"/>
      <c r="AA186" s="278"/>
      <c r="AB186" s="278"/>
      <c r="AC186" s="278"/>
      <c r="AD186" s="278"/>
      <c r="AE186" s="278"/>
    </row>
    <row r="187" spans="1:31" s="260" customFormat="1" ht="11.25" customHeight="1" x14ac:dyDescent="0.2">
      <c r="A187" s="270"/>
      <c r="B187" s="271">
        <v>85</v>
      </c>
      <c r="C187" s="272" t="s">
        <v>163</v>
      </c>
      <c r="D187" s="272"/>
      <c r="E187" s="272"/>
      <c r="F187" s="272"/>
      <c r="G187" s="273">
        <v>38711</v>
      </c>
      <c r="H187" s="274">
        <v>5247.14</v>
      </c>
      <c r="I187" s="274"/>
      <c r="J187" s="272" t="s">
        <v>22</v>
      </c>
      <c r="K187" s="272"/>
      <c r="L187" s="275">
        <v>8</v>
      </c>
      <c r="M187" s="276">
        <v>0</v>
      </c>
      <c r="N187" s="276"/>
      <c r="O187" s="274">
        <v>5247.14</v>
      </c>
      <c r="P187" s="274"/>
      <c r="Q187" s="276">
        <v>0</v>
      </c>
      <c r="R187" s="276"/>
      <c r="S187" s="274">
        <v>5247.14</v>
      </c>
      <c r="T187" s="274"/>
      <c r="U187" s="276">
        <v>0</v>
      </c>
      <c r="V187" s="276"/>
      <c r="W187" s="276"/>
      <c r="X187" s="277">
        <f t="shared" si="16"/>
        <v>2005</v>
      </c>
      <c r="Y187" s="277">
        <f t="shared" si="17"/>
        <v>12</v>
      </c>
      <c r="Z187" s="278"/>
      <c r="AA187" s="278"/>
      <c r="AB187" s="278"/>
      <c r="AC187" s="278"/>
      <c r="AD187" s="278"/>
      <c r="AE187" s="278"/>
    </row>
    <row r="188" spans="1:31" s="260" customFormat="1" ht="11.25" customHeight="1" x14ac:dyDescent="0.2">
      <c r="A188" s="270"/>
      <c r="B188" s="271">
        <v>95</v>
      </c>
      <c r="C188" s="272" t="s">
        <v>162</v>
      </c>
      <c r="D188" s="272"/>
      <c r="E188" s="272"/>
      <c r="F188" s="272"/>
      <c r="G188" s="273">
        <v>38805</v>
      </c>
      <c r="H188" s="274">
        <v>2568.11</v>
      </c>
      <c r="I188" s="274"/>
      <c r="J188" s="272" t="s">
        <v>22</v>
      </c>
      <c r="K188" s="272"/>
      <c r="L188" s="275">
        <v>8</v>
      </c>
      <c r="M188" s="276">
        <v>0</v>
      </c>
      <c r="N188" s="276"/>
      <c r="O188" s="274">
        <v>2568.11</v>
      </c>
      <c r="P188" s="274"/>
      <c r="Q188" s="276">
        <v>0</v>
      </c>
      <c r="R188" s="276"/>
      <c r="S188" s="274">
        <v>2568.11</v>
      </c>
      <c r="T188" s="274"/>
      <c r="U188" s="276">
        <v>0</v>
      </c>
      <c r="V188" s="276"/>
      <c r="W188" s="276"/>
      <c r="X188" s="277">
        <f t="shared" si="16"/>
        <v>2006</v>
      </c>
      <c r="Y188" s="277">
        <f t="shared" si="17"/>
        <v>3</v>
      </c>
      <c r="Z188" s="278"/>
      <c r="AA188" s="278"/>
      <c r="AB188" s="278"/>
      <c r="AC188" s="278"/>
      <c r="AD188" s="278"/>
      <c r="AE188" s="278"/>
    </row>
    <row r="189" spans="1:31" s="260" customFormat="1" ht="11.25" customHeight="1" x14ac:dyDescent="0.2">
      <c r="A189" s="270"/>
      <c r="B189" s="271">
        <v>96</v>
      </c>
      <c r="C189" s="272" t="s">
        <v>165</v>
      </c>
      <c r="D189" s="272"/>
      <c r="E189" s="272"/>
      <c r="F189" s="272"/>
      <c r="G189" s="273">
        <v>38805</v>
      </c>
      <c r="H189" s="274">
        <v>2907.9</v>
      </c>
      <c r="I189" s="274"/>
      <c r="J189" s="272" t="s">
        <v>22</v>
      </c>
      <c r="K189" s="272"/>
      <c r="L189" s="275">
        <v>8</v>
      </c>
      <c r="M189" s="276">
        <v>0</v>
      </c>
      <c r="N189" s="276"/>
      <c r="O189" s="274">
        <v>2907.9</v>
      </c>
      <c r="P189" s="274"/>
      <c r="Q189" s="276">
        <v>0</v>
      </c>
      <c r="R189" s="276"/>
      <c r="S189" s="274">
        <v>2907.9</v>
      </c>
      <c r="T189" s="274"/>
      <c r="U189" s="276">
        <v>0</v>
      </c>
      <c r="V189" s="276"/>
      <c r="W189" s="276"/>
      <c r="X189" s="277">
        <f t="shared" si="16"/>
        <v>2006</v>
      </c>
      <c r="Y189" s="277">
        <f t="shared" si="17"/>
        <v>3</v>
      </c>
      <c r="Z189" s="278"/>
      <c r="AA189" s="278"/>
      <c r="AB189" s="278"/>
      <c r="AC189" s="278"/>
      <c r="AD189" s="278"/>
      <c r="AE189" s="278"/>
    </row>
    <row r="190" spans="1:31" s="260" customFormat="1" ht="11.25" customHeight="1" x14ac:dyDescent="0.2">
      <c r="A190" s="270"/>
      <c r="B190" s="271">
        <v>97</v>
      </c>
      <c r="C190" s="272" t="s">
        <v>166</v>
      </c>
      <c r="D190" s="272"/>
      <c r="E190" s="272"/>
      <c r="F190" s="272"/>
      <c r="G190" s="273">
        <v>38894</v>
      </c>
      <c r="H190" s="274">
        <v>1421.64</v>
      </c>
      <c r="I190" s="274"/>
      <c r="J190" s="272" t="s">
        <v>22</v>
      </c>
      <c r="K190" s="272"/>
      <c r="L190" s="275">
        <v>8</v>
      </c>
      <c r="M190" s="276">
        <v>0</v>
      </c>
      <c r="N190" s="276"/>
      <c r="O190" s="274">
        <v>1421.64</v>
      </c>
      <c r="P190" s="274"/>
      <c r="Q190" s="276">
        <v>0</v>
      </c>
      <c r="R190" s="276"/>
      <c r="S190" s="274">
        <v>1421.64</v>
      </c>
      <c r="T190" s="274"/>
      <c r="U190" s="276">
        <v>0</v>
      </c>
      <c r="V190" s="276"/>
      <c r="W190" s="276"/>
      <c r="X190" s="277">
        <f t="shared" si="16"/>
        <v>2006</v>
      </c>
      <c r="Y190" s="277">
        <f t="shared" si="17"/>
        <v>6</v>
      </c>
      <c r="Z190" s="278"/>
      <c r="AA190" s="278"/>
      <c r="AB190" s="278"/>
      <c r="AC190" s="278"/>
      <c r="AD190" s="278"/>
      <c r="AE190" s="278"/>
    </row>
    <row r="191" spans="1:31" s="260" customFormat="1" ht="11.25" customHeight="1" x14ac:dyDescent="0.2">
      <c r="A191" s="270"/>
      <c r="B191" s="271">
        <v>98</v>
      </c>
      <c r="C191" s="272" t="s">
        <v>163</v>
      </c>
      <c r="D191" s="272"/>
      <c r="E191" s="272"/>
      <c r="F191" s="272"/>
      <c r="G191" s="273">
        <v>38894</v>
      </c>
      <c r="H191" s="274">
        <v>5061.8999999999996</v>
      </c>
      <c r="I191" s="274"/>
      <c r="J191" s="272" t="s">
        <v>22</v>
      </c>
      <c r="K191" s="272"/>
      <c r="L191" s="275">
        <v>8</v>
      </c>
      <c r="M191" s="276">
        <v>0</v>
      </c>
      <c r="N191" s="276"/>
      <c r="O191" s="274">
        <v>5061.8999999999996</v>
      </c>
      <c r="P191" s="274"/>
      <c r="Q191" s="276">
        <v>0</v>
      </c>
      <c r="R191" s="276"/>
      <c r="S191" s="274">
        <v>5061.8999999999996</v>
      </c>
      <c r="T191" s="274"/>
      <c r="U191" s="276">
        <v>0</v>
      </c>
      <c r="V191" s="276"/>
      <c r="W191" s="276"/>
      <c r="X191" s="277">
        <f t="shared" si="16"/>
        <v>2006</v>
      </c>
      <c r="Y191" s="277">
        <f t="shared" si="17"/>
        <v>6</v>
      </c>
      <c r="Z191" s="278"/>
      <c r="AA191" s="278"/>
      <c r="AB191" s="278"/>
      <c r="AC191" s="278"/>
      <c r="AD191" s="278"/>
      <c r="AE191" s="278"/>
    </row>
    <row r="192" spans="1:31" s="260" customFormat="1" ht="11.25" customHeight="1" x14ac:dyDescent="0.2">
      <c r="A192" s="270"/>
      <c r="B192" s="271">
        <v>99</v>
      </c>
      <c r="C192" s="272" t="s">
        <v>167</v>
      </c>
      <c r="D192" s="272"/>
      <c r="E192" s="272"/>
      <c r="F192" s="272"/>
      <c r="G192" s="273">
        <v>38957</v>
      </c>
      <c r="H192" s="274">
        <v>5761.95</v>
      </c>
      <c r="I192" s="274"/>
      <c r="J192" s="272" t="s">
        <v>22</v>
      </c>
      <c r="K192" s="272"/>
      <c r="L192" s="275">
        <v>8</v>
      </c>
      <c r="M192" s="276">
        <v>0</v>
      </c>
      <c r="N192" s="276"/>
      <c r="O192" s="274">
        <v>5761.95</v>
      </c>
      <c r="P192" s="274"/>
      <c r="Q192" s="276">
        <v>0</v>
      </c>
      <c r="R192" s="276"/>
      <c r="S192" s="274">
        <v>5761.95</v>
      </c>
      <c r="T192" s="274"/>
      <c r="U192" s="276">
        <v>0</v>
      </c>
      <c r="V192" s="276"/>
      <c r="W192" s="276"/>
      <c r="X192" s="277">
        <f t="shared" si="16"/>
        <v>2006</v>
      </c>
      <c r="Y192" s="277">
        <f t="shared" si="17"/>
        <v>8</v>
      </c>
      <c r="Z192" s="278"/>
      <c r="AA192" s="278"/>
      <c r="AB192" s="278"/>
      <c r="AC192" s="278"/>
      <c r="AD192" s="278"/>
      <c r="AE192" s="278"/>
    </row>
    <row r="193" spans="1:31" s="260" customFormat="1" ht="11.25" customHeight="1" x14ac:dyDescent="0.2">
      <c r="A193" s="270"/>
      <c r="B193" s="271">
        <v>100</v>
      </c>
      <c r="C193" s="272" t="s">
        <v>162</v>
      </c>
      <c r="D193" s="272"/>
      <c r="E193" s="272"/>
      <c r="F193" s="272"/>
      <c r="G193" s="273">
        <v>38957</v>
      </c>
      <c r="H193" s="274">
        <v>2083.46</v>
      </c>
      <c r="I193" s="274"/>
      <c r="J193" s="272" t="s">
        <v>22</v>
      </c>
      <c r="K193" s="272"/>
      <c r="L193" s="275">
        <v>8</v>
      </c>
      <c r="M193" s="276">
        <v>0</v>
      </c>
      <c r="N193" s="276"/>
      <c r="O193" s="274">
        <v>2083.46</v>
      </c>
      <c r="P193" s="274"/>
      <c r="Q193" s="276">
        <v>0</v>
      </c>
      <c r="R193" s="276"/>
      <c r="S193" s="274">
        <v>2083.46</v>
      </c>
      <c r="T193" s="274"/>
      <c r="U193" s="276">
        <v>0</v>
      </c>
      <c r="V193" s="276"/>
      <c r="W193" s="276"/>
      <c r="X193" s="277">
        <f t="shared" si="16"/>
        <v>2006</v>
      </c>
      <c r="Y193" s="277">
        <f t="shared" si="17"/>
        <v>8</v>
      </c>
      <c r="Z193" s="278"/>
      <c r="AA193" s="278"/>
      <c r="AB193" s="278"/>
      <c r="AC193" s="278"/>
      <c r="AD193" s="278"/>
      <c r="AE193" s="278"/>
    </row>
    <row r="194" spans="1:31" s="260" customFormat="1" ht="11.25" customHeight="1" x14ac:dyDescent="0.2">
      <c r="A194" s="270"/>
      <c r="B194" s="271">
        <v>101</v>
      </c>
      <c r="C194" s="272" t="s">
        <v>165</v>
      </c>
      <c r="D194" s="272"/>
      <c r="E194" s="272"/>
      <c r="F194" s="272"/>
      <c r="G194" s="273">
        <v>39016</v>
      </c>
      <c r="H194" s="274">
        <v>2584.8000000000002</v>
      </c>
      <c r="I194" s="274"/>
      <c r="J194" s="272" t="s">
        <v>22</v>
      </c>
      <c r="K194" s="272"/>
      <c r="L194" s="275">
        <v>8</v>
      </c>
      <c r="M194" s="276">
        <v>0</v>
      </c>
      <c r="N194" s="276"/>
      <c r="O194" s="274">
        <v>2584.8000000000002</v>
      </c>
      <c r="P194" s="274"/>
      <c r="Q194" s="276">
        <v>0</v>
      </c>
      <c r="R194" s="276"/>
      <c r="S194" s="274">
        <v>2584.8000000000002</v>
      </c>
      <c r="T194" s="274"/>
      <c r="U194" s="276">
        <v>0</v>
      </c>
      <c r="V194" s="276"/>
      <c r="W194" s="276"/>
      <c r="X194" s="277">
        <f t="shared" si="16"/>
        <v>2006</v>
      </c>
      <c r="Y194" s="277">
        <f t="shared" si="17"/>
        <v>10</v>
      </c>
      <c r="Z194" s="278"/>
      <c r="AA194" s="278"/>
      <c r="AB194" s="278"/>
      <c r="AC194" s="278"/>
      <c r="AD194" s="278"/>
      <c r="AE194" s="278"/>
    </row>
    <row r="195" spans="1:31" s="260" customFormat="1" ht="11.25" customHeight="1" x14ac:dyDescent="0.2">
      <c r="A195" s="270"/>
      <c r="B195" s="271">
        <v>102</v>
      </c>
      <c r="C195" s="272" t="s">
        <v>163</v>
      </c>
      <c r="D195" s="272"/>
      <c r="E195" s="272"/>
      <c r="F195" s="272"/>
      <c r="G195" s="273">
        <v>39016</v>
      </c>
      <c r="H195" s="274">
        <v>5061.8999999999996</v>
      </c>
      <c r="I195" s="274"/>
      <c r="J195" s="272" t="s">
        <v>22</v>
      </c>
      <c r="K195" s="272"/>
      <c r="L195" s="275">
        <v>8</v>
      </c>
      <c r="M195" s="276">
        <v>0</v>
      </c>
      <c r="N195" s="276"/>
      <c r="O195" s="274">
        <v>5061.8999999999996</v>
      </c>
      <c r="P195" s="274"/>
      <c r="Q195" s="276">
        <v>0</v>
      </c>
      <c r="R195" s="276"/>
      <c r="S195" s="274">
        <v>5061.8999999999996</v>
      </c>
      <c r="T195" s="274"/>
      <c r="U195" s="276">
        <v>0</v>
      </c>
      <c r="V195" s="276"/>
      <c r="W195" s="276"/>
      <c r="X195" s="277">
        <f t="shared" si="16"/>
        <v>2006</v>
      </c>
      <c r="Y195" s="277">
        <f t="shared" si="17"/>
        <v>10</v>
      </c>
      <c r="Z195" s="278"/>
      <c r="AA195" s="278"/>
      <c r="AB195" s="278"/>
      <c r="AC195" s="278"/>
      <c r="AD195" s="278"/>
      <c r="AE195" s="278"/>
    </row>
    <row r="196" spans="1:31" s="260" customFormat="1" ht="11.25" customHeight="1" x14ac:dyDescent="0.2">
      <c r="A196" s="270"/>
      <c r="B196" s="271">
        <v>109</v>
      </c>
      <c r="C196" s="272" t="s">
        <v>168</v>
      </c>
      <c r="D196" s="272"/>
      <c r="E196" s="272"/>
      <c r="F196" s="272"/>
      <c r="G196" s="273">
        <v>39140</v>
      </c>
      <c r="H196" s="274">
        <v>4166.91</v>
      </c>
      <c r="I196" s="274"/>
      <c r="J196" s="272" t="s">
        <v>22</v>
      </c>
      <c r="K196" s="272"/>
      <c r="L196" s="275">
        <v>8</v>
      </c>
      <c r="M196" s="276">
        <v>0</v>
      </c>
      <c r="N196" s="276"/>
      <c r="O196" s="274">
        <v>4166.91</v>
      </c>
      <c r="P196" s="274"/>
      <c r="Q196" s="276">
        <v>0</v>
      </c>
      <c r="R196" s="276"/>
      <c r="S196" s="274">
        <v>4166.91</v>
      </c>
      <c r="T196" s="274"/>
      <c r="U196" s="276">
        <v>0</v>
      </c>
      <c r="V196" s="276"/>
      <c r="W196" s="276"/>
      <c r="X196" s="277">
        <f t="shared" si="16"/>
        <v>2007</v>
      </c>
      <c r="Y196" s="277">
        <f t="shared" si="17"/>
        <v>2</v>
      </c>
      <c r="Z196" s="278"/>
      <c r="AA196" s="278"/>
      <c r="AB196" s="278"/>
      <c r="AC196" s="278"/>
      <c r="AD196" s="278"/>
      <c r="AE196" s="278"/>
    </row>
    <row r="197" spans="1:31" s="260" customFormat="1" ht="11.25" customHeight="1" x14ac:dyDescent="0.2">
      <c r="A197" s="270"/>
      <c r="B197" s="271">
        <v>110</v>
      </c>
      <c r="C197" s="272" t="s">
        <v>163</v>
      </c>
      <c r="D197" s="272"/>
      <c r="E197" s="272"/>
      <c r="F197" s="272"/>
      <c r="G197" s="273">
        <v>39140</v>
      </c>
      <c r="H197" s="274">
        <v>5923.5</v>
      </c>
      <c r="I197" s="274"/>
      <c r="J197" s="272" t="s">
        <v>22</v>
      </c>
      <c r="K197" s="272"/>
      <c r="L197" s="275">
        <v>8</v>
      </c>
      <c r="M197" s="276">
        <v>0</v>
      </c>
      <c r="N197" s="276"/>
      <c r="O197" s="274">
        <v>5923.5</v>
      </c>
      <c r="P197" s="274"/>
      <c r="Q197" s="276">
        <v>0</v>
      </c>
      <c r="R197" s="276"/>
      <c r="S197" s="274">
        <v>5923.5</v>
      </c>
      <c r="T197" s="274"/>
      <c r="U197" s="276">
        <v>0</v>
      </c>
      <c r="V197" s="276"/>
      <c r="W197" s="276"/>
      <c r="X197" s="277">
        <f t="shared" si="16"/>
        <v>2007</v>
      </c>
      <c r="Y197" s="277">
        <f t="shared" si="17"/>
        <v>2</v>
      </c>
      <c r="Z197" s="278"/>
      <c r="AA197" s="278"/>
      <c r="AB197" s="278"/>
      <c r="AC197" s="278"/>
      <c r="AD197" s="278"/>
      <c r="AE197" s="278"/>
    </row>
    <row r="198" spans="1:31" s="260" customFormat="1" ht="11.25" customHeight="1" x14ac:dyDescent="0.2">
      <c r="A198" s="270"/>
      <c r="B198" s="271">
        <v>111</v>
      </c>
      <c r="C198" s="272" t="s">
        <v>164</v>
      </c>
      <c r="D198" s="272"/>
      <c r="E198" s="272"/>
      <c r="F198" s="272"/>
      <c r="G198" s="273">
        <v>39227</v>
      </c>
      <c r="H198" s="274">
        <v>6785.1</v>
      </c>
      <c r="I198" s="274"/>
      <c r="J198" s="272" t="s">
        <v>22</v>
      </c>
      <c r="K198" s="272"/>
      <c r="L198" s="275">
        <v>8</v>
      </c>
      <c r="M198" s="276">
        <v>0</v>
      </c>
      <c r="N198" s="276"/>
      <c r="O198" s="274">
        <v>6785.1</v>
      </c>
      <c r="P198" s="274"/>
      <c r="Q198" s="276">
        <v>0</v>
      </c>
      <c r="R198" s="276"/>
      <c r="S198" s="274">
        <v>6785.1</v>
      </c>
      <c r="T198" s="274"/>
      <c r="U198" s="276">
        <v>0</v>
      </c>
      <c r="V198" s="276"/>
      <c r="W198" s="276"/>
      <c r="X198" s="277">
        <f t="shared" si="16"/>
        <v>2007</v>
      </c>
      <c r="Y198" s="277">
        <f t="shared" si="17"/>
        <v>5</v>
      </c>
      <c r="Z198" s="278"/>
      <c r="AA198" s="278"/>
      <c r="AB198" s="278"/>
      <c r="AC198" s="278"/>
      <c r="AD198" s="278"/>
      <c r="AE198" s="278"/>
    </row>
    <row r="199" spans="1:31" s="260" customFormat="1" ht="11.25" customHeight="1" x14ac:dyDescent="0.2">
      <c r="A199" s="270"/>
      <c r="B199" s="271">
        <v>123</v>
      </c>
      <c r="C199" s="272" t="s">
        <v>169</v>
      </c>
      <c r="D199" s="272"/>
      <c r="E199" s="272"/>
      <c r="F199" s="272"/>
      <c r="G199" s="273">
        <v>39351</v>
      </c>
      <c r="H199" s="274">
        <v>6946.65</v>
      </c>
      <c r="I199" s="274"/>
      <c r="J199" s="272" t="s">
        <v>22</v>
      </c>
      <c r="K199" s="272"/>
      <c r="L199" s="275">
        <v>8</v>
      </c>
      <c r="M199" s="276">
        <v>0</v>
      </c>
      <c r="N199" s="276"/>
      <c r="O199" s="274">
        <v>6946.65</v>
      </c>
      <c r="P199" s="274"/>
      <c r="Q199" s="276">
        <v>0</v>
      </c>
      <c r="R199" s="276"/>
      <c r="S199" s="274">
        <v>6946.65</v>
      </c>
      <c r="T199" s="274"/>
      <c r="U199" s="276">
        <v>0</v>
      </c>
      <c r="V199" s="276"/>
      <c r="W199" s="276"/>
      <c r="X199" s="277">
        <f t="shared" si="16"/>
        <v>2007</v>
      </c>
      <c r="Y199" s="277">
        <f t="shared" si="17"/>
        <v>9</v>
      </c>
      <c r="Z199" s="278"/>
      <c r="AA199" s="278"/>
      <c r="AB199" s="278"/>
      <c r="AC199" s="278"/>
      <c r="AD199" s="278"/>
      <c r="AE199" s="278"/>
    </row>
    <row r="200" spans="1:31" s="260" customFormat="1" ht="11.25" customHeight="1" x14ac:dyDescent="0.2">
      <c r="A200" s="270"/>
      <c r="B200" s="271">
        <v>124</v>
      </c>
      <c r="C200" s="272" t="s">
        <v>170</v>
      </c>
      <c r="D200" s="272"/>
      <c r="E200" s="272"/>
      <c r="F200" s="272"/>
      <c r="G200" s="273">
        <v>39410</v>
      </c>
      <c r="H200" s="274">
        <v>5869.65</v>
      </c>
      <c r="I200" s="274"/>
      <c r="J200" s="272" t="s">
        <v>22</v>
      </c>
      <c r="K200" s="272"/>
      <c r="L200" s="275">
        <v>8</v>
      </c>
      <c r="M200" s="276">
        <v>0</v>
      </c>
      <c r="N200" s="276"/>
      <c r="O200" s="274">
        <v>5869.65</v>
      </c>
      <c r="P200" s="274"/>
      <c r="Q200" s="276">
        <v>0</v>
      </c>
      <c r="R200" s="276"/>
      <c r="S200" s="274">
        <v>5869.65</v>
      </c>
      <c r="T200" s="274"/>
      <c r="U200" s="276">
        <v>0</v>
      </c>
      <c r="V200" s="276"/>
      <c r="W200" s="276"/>
      <c r="X200" s="277">
        <f t="shared" si="16"/>
        <v>2007</v>
      </c>
      <c r="Y200" s="277">
        <f t="shared" si="17"/>
        <v>11</v>
      </c>
      <c r="Z200" s="278"/>
      <c r="AA200" s="278"/>
      <c r="AB200" s="278"/>
      <c r="AC200" s="278"/>
      <c r="AD200" s="278"/>
      <c r="AE200" s="278"/>
    </row>
    <row r="201" spans="1:31" s="260" customFormat="1" ht="11.25" customHeight="1" x14ac:dyDescent="0.2">
      <c r="A201" s="270"/>
      <c r="B201" s="271">
        <v>125</v>
      </c>
      <c r="C201" s="272" t="s">
        <v>171</v>
      </c>
      <c r="D201" s="272"/>
      <c r="E201" s="272"/>
      <c r="F201" s="272"/>
      <c r="G201" s="273">
        <v>39410</v>
      </c>
      <c r="H201" s="274">
        <v>3473.33</v>
      </c>
      <c r="I201" s="274"/>
      <c r="J201" s="272" t="s">
        <v>22</v>
      </c>
      <c r="K201" s="272"/>
      <c r="L201" s="275">
        <v>8</v>
      </c>
      <c r="M201" s="276">
        <v>0</v>
      </c>
      <c r="N201" s="276"/>
      <c r="O201" s="274">
        <v>3473.33</v>
      </c>
      <c r="P201" s="274"/>
      <c r="Q201" s="276">
        <v>0</v>
      </c>
      <c r="R201" s="276"/>
      <c r="S201" s="274">
        <v>3473.33</v>
      </c>
      <c r="T201" s="274"/>
      <c r="U201" s="276">
        <v>0</v>
      </c>
      <c r="V201" s="276"/>
      <c r="W201" s="276"/>
      <c r="X201" s="277">
        <f t="shared" si="16"/>
        <v>2007</v>
      </c>
      <c r="Y201" s="277">
        <f t="shared" si="17"/>
        <v>11</v>
      </c>
      <c r="Z201" s="278"/>
      <c r="AA201" s="278"/>
      <c r="AB201" s="278"/>
      <c r="AC201" s="278"/>
      <c r="AD201" s="278"/>
      <c r="AE201" s="278"/>
    </row>
    <row r="202" spans="1:31" s="260" customFormat="1" ht="11.25" customHeight="1" x14ac:dyDescent="0.2">
      <c r="A202" s="270"/>
      <c r="B202" s="271">
        <v>126</v>
      </c>
      <c r="C202" s="272" t="s">
        <v>170</v>
      </c>
      <c r="D202" s="272"/>
      <c r="E202" s="272"/>
      <c r="F202" s="272"/>
      <c r="G202" s="273">
        <v>39447</v>
      </c>
      <c r="H202" s="274">
        <v>5869.65</v>
      </c>
      <c r="I202" s="274"/>
      <c r="J202" s="272" t="s">
        <v>22</v>
      </c>
      <c r="K202" s="272"/>
      <c r="L202" s="275">
        <v>8</v>
      </c>
      <c r="M202" s="276">
        <v>0</v>
      </c>
      <c r="N202" s="276"/>
      <c r="O202" s="274">
        <v>5869.65</v>
      </c>
      <c r="P202" s="274"/>
      <c r="Q202" s="276">
        <v>0</v>
      </c>
      <c r="R202" s="276"/>
      <c r="S202" s="274">
        <v>5869.65</v>
      </c>
      <c r="T202" s="274"/>
      <c r="U202" s="276">
        <v>0</v>
      </c>
      <c r="V202" s="276"/>
      <c r="W202" s="276"/>
      <c r="X202" s="277">
        <f t="shared" si="16"/>
        <v>2007</v>
      </c>
      <c r="Y202" s="277">
        <f t="shared" si="17"/>
        <v>12</v>
      </c>
      <c r="Z202" s="278"/>
      <c r="AA202" s="278"/>
      <c r="AB202" s="278"/>
      <c r="AC202" s="278"/>
      <c r="AD202" s="278"/>
      <c r="AE202" s="278"/>
    </row>
    <row r="203" spans="1:31" s="260" customFormat="1" ht="11.25" customHeight="1" x14ac:dyDescent="0.2">
      <c r="A203" s="270"/>
      <c r="B203" s="271">
        <v>138</v>
      </c>
      <c r="C203" s="272" t="s">
        <v>171</v>
      </c>
      <c r="D203" s="272"/>
      <c r="E203" s="272"/>
      <c r="F203" s="272"/>
      <c r="G203" s="273">
        <v>39448</v>
      </c>
      <c r="H203" s="274">
        <v>3069.45</v>
      </c>
      <c r="I203" s="274"/>
      <c r="J203" s="272" t="s">
        <v>22</v>
      </c>
      <c r="K203" s="272"/>
      <c r="L203" s="275">
        <v>8</v>
      </c>
      <c r="M203" s="276">
        <v>0</v>
      </c>
      <c r="N203" s="276"/>
      <c r="O203" s="274">
        <v>3069.45</v>
      </c>
      <c r="P203" s="274"/>
      <c r="Q203" s="276">
        <v>0</v>
      </c>
      <c r="R203" s="276"/>
      <c r="S203" s="274">
        <v>3069.45</v>
      </c>
      <c r="T203" s="274"/>
      <c r="U203" s="276">
        <v>0</v>
      </c>
      <c r="V203" s="276"/>
      <c r="W203" s="276"/>
      <c r="X203" s="277">
        <f t="shared" si="16"/>
        <v>2008</v>
      </c>
      <c r="Y203" s="277">
        <f t="shared" si="17"/>
        <v>1</v>
      </c>
      <c r="Z203" s="278"/>
      <c r="AA203" s="278"/>
      <c r="AB203" s="278"/>
      <c r="AC203" s="278"/>
      <c r="AD203" s="278"/>
      <c r="AE203" s="278"/>
    </row>
    <row r="204" spans="1:31" s="260" customFormat="1" ht="11.25" customHeight="1" x14ac:dyDescent="0.2">
      <c r="A204" s="270"/>
      <c r="B204" s="271">
        <v>139</v>
      </c>
      <c r="C204" s="272" t="s">
        <v>172</v>
      </c>
      <c r="D204" s="272"/>
      <c r="E204" s="272"/>
      <c r="F204" s="272"/>
      <c r="G204" s="273">
        <v>39448</v>
      </c>
      <c r="H204" s="274">
        <v>4200.3</v>
      </c>
      <c r="I204" s="274"/>
      <c r="J204" s="272" t="s">
        <v>22</v>
      </c>
      <c r="K204" s="272"/>
      <c r="L204" s="275">
        <v>8</v>
      </c>
      <c r="M204" s="276">
        <v>0</v>
      </c>
      <c r="N204" s="276"/>
      <c r="O204" s="274">
        <v>4200.3</v>
      </c>
      <c r="P204" s="274"/>
      <c r="Q204" s="276">
        <v>0</v>
      </c>
      <c r="R204" s="276"/>
      <c r="S204" s="274">
        <v>4200.3</v>
      </c>
      <c r="T204" s="274"/>
      <c r="U204" s="276">
        <v>0</v>
      </c>
      <c r="V204" s="276"/>
      <c r="W204" s="276"/>
      <c r="X204" s="277">
        <f t="shared" si="16"/>
        <v>2008</v>
      </c>
      <c r="Y204" s="277">
        <f t="shared" si="17"/>
        <v>1</v>
      </c>
      <c r="Z204" s="278"/>
      <c r="AA204" s="278"/>
      <c r="AB204" s="278"/>
      <c r="AC204" s="278"/>
      <c r="AD204" s="278"/>
      <c r="AE204" s="278"/>
    </row>
    <row r="205" spans="1:31" s="260" customFormat="1" ht="11.25" customHeight="1" x14ac:dyDescent="0.2">
      <c r="A205" s="270"/>
      <c r="B205" s="271">
        <v>140</v>
      </c>
      <c r="C205" s="272" t="s">
        <v>169</v>
      </c>
      <c r="D205" s="272"/>
      <c r="E205" s="272"/>
      <c r="F205" s="272"/>
      <c r="G205" s="273">
        <v>39595</v>
      </c>
      <c r="H205" s="274">
        <v>7162.05</v>
      </c>
      <c r="I205" s="274"/>
      <c r="J205" s="272" t="s">
        <v>22</v>
      </c>
      <c r="K205" s="272"/>
      <c r="L205" s="275">
        <v>8</v>
      </c>
      <c r="M205" s="276">
        <v>0</v>
      </c>
      <c r="N205" s="276"/>
      <c r="O205" s="274">
        <v>7162.05</v>
      </c>
      <c r="P205" s="274"/>
      <c r="Q205" s="276">
        <v>0</v>
      </c>
      <c r="R205" s="276"/>
      <c r="S205" s="274">
        <v>7162.05</v>
      </c>
      <c r="T205" s="274"/>
      <c r="U205" s="276">
        <v>0</v>
      </c>
      <c r="V205" s="276"/>
      <c r="W205" s="276"/>
      <c r="X205" s="277">
        <f t="shared" si="16"/>
        <v>2008</v>
      </c>
      <c r="Y205" s="277">
        <f t="shared" si="17"/>
        <v>5</v>
      </c>
      <c r="Z205" s="278"/>
      <c r="AA205" s="278"/>
      <c r="AB205" s="278"/>
      <c r="AC205" s="278"/>
      <c r="AD205" s="278"/>
      <c r="AE205" s="278"/>
    </row>
    <row r="206" spans="1:31" s="260" customFormat="1" ht="11.25" customHeight="1" x14ac:dyDescent="0.2">
      <c r="A206" s="270"/>
      <c r="B206" s="271">
        <v>143</v>
      </c>
      <c r="C206" s="272" t="s">
        <v>173</v>
      </c>
      <c r="D206" s="272"/>
      <c r="E206" s="272"/>
      <c r="F206" s="272"/>
      <c r="G206" s="273">
        <v>39695</v>
      </c>
      <c r="H206" s="274">
        <v>6273.53</v>
      </c>
      <c r="I206" s="274"/>
      <c r="J206" s="272" t="s">
        <v>22</v>
      </c>
      <c r="K206" s="272"/>
      <c r="L206" s="275">
        <v>8</v>
      </c>
      <c r="M206" s="276">
        <v>0</v>
      </c>
      <c r="N206" s="276"/>
      <c r="O206" s="274">
        <v>6273.53</v>
      </c>
      <c r="P206" s="274"/>
      <c r="Q206" s="276">
        <v>0</v>
      </c>
      <c r="R206" s="276"/>
      <c r="S206" s="274">
        <v>6273.53</v>
      </c>
      <c r="T206" s="274"/>
      <c r="U206" s="276">
        <v>0</v>
      </c>
      <c r="V206" s="276"/>
      <c r="W206" s="276"/>
      <c r="X206" s="277">
        <f t="shared" si="16"/>
        <v>2008</v>
      </c>
      <c r="Y206" s="277">
        <f t="shared" si="17"/>
        <v>9</v>
      </c>
      <c r="Z206" s="278"/>
      <c r="AA206" s="278"/>
      <c r="AB206" s="278"/>
      <c r="AC206" s="278"/>
      <c r="AD206" s="278"/>
      <c r="AE206" s="278"/>
    </row>
    <row r="207" spans="1:31" s="260" customFormat="1" ht="11.25" customHeight="1" x14ac:dyDescent="0.2">
      <c r="A207" s="270"/>
      <c r="B207" s="271">
        <v>144</v>
      </c>
      <c r="C207" s="272" t="s">
        <v>173</v>
      </c>
      <c r="D207" s="272"/>
      <c r="E207" s="272"/>
      <c r="F207" s="272"/>
      <c r="G207" s="273">
        <v>39722</v>
      </c>
      <c r="H207" s="274">
        <v>7081.28</v>
      </c>
      <c r="I207" s="274"/>
      <c r="J207" s="272" t="s">
        <v>22</v>
      </c>
      <c r="K207" s="272"/>
      <c r="L207" s="275">
        <v>8</v>
      </c>
      <c r="M207" s="276">
        <v>0</v>
      </c>
      <c r="N207" s="276"/>
      <c r="O207" s="274">
        <v>7081.28</v>
      </c>
      <c r="P207" s="274"/>
      <c r="Q207" s="276">
        <v>0</v>
      </c>
      <c r="R207" s="276"/>
      <c r="S207" s="274">
        <v>7081.28</v>
      </c>
      <c r="T207" s="274"/>
      <c r="U207" s="276">
        <v>0</v>
      </c>
      <c r="V207" s="276"/>
      <c r="W207" s="276"/>
      <c r="X207" s="277">
        <f t="shared" si="16"/>
        <v>2008</v>
      </c>
      <c r="Y207" s="277">
        <f t="shared" si="17"/>
        <v>10</v>
      </c>
      <c r="Z207" s="278"/>
      <c r="AA207" s="278"/>
      <c r="AB207" s="278"/>
      <c r="AC207" s="278"/>
      <c r="AD207" s="278"/>
      <c r="AE207" s="278"/>
    </row>
    <row r="208" spans="1:31" s="260" customFormat="1" ht="11.25" customHeight="1" x14ac:dyDescent="0.2">
      <c r="A208" s="270"/>
      <c r="B208" s="271">
        <v>149</v>
      </c>
      <c r="C208" s="272" t="s">
        <v>174</v>
      </c>
      <c r="D208" s="272"/>
      <c r="E208" s="272"/>
      <c r="F208" s="272"/>
      <c r="G208" s="273">
        <v>39963</v>
      </c>
      <c r="H208" s="274">
        <v>1227.3699999999999</v>
      </c>
      <c r="I208" s="274"/>
      <c r="J208" s="272" t="s">
        <v>22</v>
      </c>
      <c r="K208" s="272"/>
      <c r="L208" s="275">
        <v>8</v>
      </c>
      <c r="M208" s="276">
        <v>0</v>
      </c>
      <c r="N208" s="276"/>
      <c r="O208" s="274">
        <v>1227.3699999999999</v>
      </c>
      <c r="P208" s="274"/>
      <c r="Q208" s="276">
        <v>0</v>
      </c>
      <c r="R208" s="276"/>
      <c r="S208" s="274">
        <v>1227.3699999999999</v>
      </c>
      <c r="T208" s="274"/>
      <c r="U208" s="276">
        <v>0</v>
      </c>
      <c r="V208" s="276"/>
      <c r="W208" s="276"/>
      <c r="X208" s="277">
        <f t="shared" si="16"/>
        <v>2009</v>
      </c>
      <c r="Y208" s="277">
        <f t="shared" si="17"/>
        <v>5</v>
      </c>
      <c r="Z208" s="278"/>
      <c r="AA208" s="278"/>
      <c r="AB208" s="278"/>
      <c r="AC208" s="278"/>
      <c r="AD208" s="278"/>
      <c r="AE208" s="278"/>
    </row>
    <row r="209" spans="1:31" s="260" customFormat="1" ht="11.25" customHeight="1" x14ac:dyDescent="0.2">
      <c r="A209" s="270"/>
      <c r="B209" s="271">
        <v>150</v>
      </c>
      <c r="C209" s="272" t="s">
        <v>175</v>
      </c>
      <c r="D209" s="272"/>
      <c r="E209" s="272"/>
      <c r="F209" s="272"/>
      <c r="G209" s="273">
        <v>39963</v>
      </c>
      <c r="H209" s="274">
        <v>1712.92</v>
      </c>
      <c r="I209" s="274"/>
      <c r="J209" s="272" t="s">
        <v>22</v>
      </c>
      <c r="K209" s="272"/>
      <c r="L209" s="275">
        <v>8</v>
      </c>
      <c r="M209" s="276">
        <v>0</v>
      </c>
      <c r="N209" s="276"/>
      <c r="O209" s="274">
        <v>1712.92</v>
      </c>
      <c r="P209" s="274"/>
      <c r="Q209" s="276">
        <v>0</v>
      </c>
      <c r="R209" s="276"/>
      <c r="S209" s="274">
        <v>1712.92</v>
      </c>
      <c r="T209" s="274"/>
      <c r="U209" s="276">
        <v>0</v>
      </c>
      <c r="V209" s="276"/>
      <c r="W209" s="276"/>
      <c r="X209" s="277">
        <f t="shared" si="16"/>
        <v>2009</v>
      </c>
      <c r="Y209" s="277">
        <f t="shared" si="17"/>
        <v>5</v>
      </c>
      <c r="Z209" s="278"/>
      <c r="AA209" s="278"/>
      <c r="AB209" s="278"/>
      <c r="AC209" s="278"/>
      <c r="AD209" s="278"/>
      <c r="AE209" s="278"/>
    </row>
    <row r="210" spans="1:31" s="260" customFormat="1" ht="11.25" customHeight="1" x14ac:dyDescent="0.2">
      <c r="A210" s="270"/>
      <c r="B210" s="271">
        <v>151</v>
      </c>
      <c r="C210" s="272" t="s">
        <v>176</v>
      </c>
      <c r="D210" s="272"/>
      <c r="E210" s="272"/>
      <c r="F210" s="272"/>
      <c r="G210" s="273">
        <v>39963</v>
      </c>
      <c r="H210" s="274">
        <v>2872.82</v>
      </c>
      <c r="I210" s="274"/>
      <c r="J210" s="272" t="s">
        <v>22</v>
      </c>
      <c r="K210" s="272"/>
      <c r="L210" s="275">
        <v>8</v>
      </c>
      <c r="M210" s="276">
        <v>0</v>
      </c>
      <c r="N210" s="276"/>
      <c r="O210" s="274">
        <v>2872.82</v>
      </c>
      <c r="P210" s="274"/>
      <c r="Q210" s="276">
        <v>0</v>
      </c>
      <c r="R210" s="276"/>
      <c r="S210" s="274">
        <v>2872.82</v>
      </c>
      <c r="T210" s="274"/>
      <c r="U210" s="276">
        <v>0</v>
      </c>
      <c r="V210" s="276"/>
      <c r="W210" s="276"/>
      <c r="X210" s="277">
        <f t="shared" si="16"/>
        <v>2009</v>
      </c>
      <c r="Y210" s="277">
        <f t="shared" si="17"/>
        <v>5</v>
      </c>
      <c r="Z210" s="278"/>
      <c r="AA210" s="278"/>
      <c r="AB210" s="278"/>
      <c r="AC210" s="278"/>
      <c r="AD210" s="278"/>
      <c r="AE210" s="278"/>
    </row>
    <row r="211" spans="1:31" s="260" customFormat="1" ht="11.25" customHeight="1" x14ac:dyDescent="0.2">
      <c r="A211" s="270"/>
      <c r="B211" s="271">
        <v>152</v>
      </c>
      <c r="C211" s="272" t="s">
        <v>174</v>
      </c>
      <c r="D211" s="272"/>
      <c r="E211" s="272"/>
      <c r="F211" s="272"/>
      <c r="G211" s="273">
        <v>39994</v>
      </c>
      <c r="H211" s="274">
        <v>1227.3699999999999</v>
      </c>
      <c r="I211" s="274"/>
      <c r="J211" s="272" t="s">
        <v>22</v>
      </c>
      <c r="K211" s="272"/>
      <c r="L211" s="275">
        <v>8</v>
      </c>
      <c r="M211" s="276">
        <v>0</v>
      </c>
      <c r="N211" s="276"/>
      <c r="O211" s="274">
        <v>1227.3699999999999</v>
      </c>
      <c r="P211" s="274"/>
      <c r="Q211" s="276">
        <v>0</v>
      </c>
      <c r="R211" s="276"/>
      <c r="S211" s="274">
        <v>1227.3699999999999</v>
      </c>
      <c r="T211" s="274"/>
      <c r="U211" s="276">
        <v>0</v>
      </c>
      <c r="V211" s="276"/>
      <c r="W211" s="276"/>
      <c r="X211" s="277">
        <f t="shared" si="16"/>
        <v>2009</v>
      </c>
      <c r="Y211" s="277">
        <f t="shared" si="17"/>
        <v>6</v>
      </c>
      <c r="Z211" s="278"/>
      <c r="AA211" s="278"/>
      <c r="AB211" s="278"/>
      <c r="AC211" s="278"/>
      <c r="AD211" s="278"/>
      <c r="AE211" s="278"/>
    </row>
    <row r="212" spans="1:31" s="260" customFormat="1" ht="11.25" customHeight="1" x14ac:dyDescent="0.2">
      <c r="A212" s="270"/>
      <c r="B212" s="271">
        <v>153</v>
      </c>
      <c r="C212" s="272" t="s">
        <v>177</v>
      </c>
      <c r="D212" s="272"/>
      <c r="E212" s="272"/>
      <c r="F212" s="272"/>
      <c r="G212" s="273">
        <v>39994</v>
      </c>
      <c r="H212" s="274">
        <v>1712.92</v>
      </c>
      <c r="I212" s="274"/>
      <c r="J212" s="272" t="s">
        <v>22</v>
      </c>
      <c r="K212" s="272"/>
      <c r="L212" s="275">
        <v>8</v>
      </c>
      <c r="M212" s="276">
        <v>0</v>
      </c>
      <c r="N212" s="276"/>
      <c r="O212" s="274">
        <v>1712.92</v>
      </c>
      <c r="P212" s="274"/>
      <c r="Q212" s="276">
        <v>0</v>
      </c>
      <c r="R212" s="276"/>
      <c r="S212" s="274">
        <v>1712.92</v>
      </c>
      <c r="T212" s="274"/>
      <c r="U212" s="276">
        <v>0</v>
      </c>
      <c r="V212" s="276"/>
      <c r="W212" s="276"/>
      <c r="X212" s="277">
        <f t="shared" si="16"/>
        <v>2009</v>
      </c>
      <c r="Y212" s="277">
        <f t="shared" si="17"/>
        <v>6</v>
      </c>
      <c r="Z212" s="278"/>
      <c r="AA212" s="278"/>
      <c r="AB212" s="278"/>
      <c r="AC212" s="278"/>
      <c r="AD212" s="278"/>
      <c r="AE212" s="278"/>
    </row>
    <row r="213" spans="1:31" s="260" customFormat="1" ht="11.25" customHeight="1" x14ac:dyDescent="0.2">
      <c r="A213" s="270"/>
      <c r="B213" s="271">
        <v>154</v>
      </c>
      <c r="C213" s="272" t="s">
        <v>176</v>
      </c>
      <c r="D213" s="272"/>
      <c r="E213" s="272"/>
      <c r="F213" s="272"/>
      <c r="G213" s="273">
        <v>39994</v>
      </c>
      <c r="H213" s="274">
        <v>2872.32</v>
      </c>
      <c r="I213" s="274"/>
      <c r="J213" s="272" t="s">
        <v>22</v>
      </c>
      <c r="K213" s="272"/>
      <c r="L213" s="275">
        <v>8</v>
      </c>
      <c r="M213" s="276">
        <v>0</v>
      </c>
      <c r="N213" s="276"/>
      <c r="O213" s="274">
        <v>2872.32</v>
      </c>
      <c r="P213" s="274"/>
      <c r="Q213" s="276">
        <v>0</v>
      </c>
      <c r="R213" s="276"/>
      <c r="S213" s="274">
        <v>2872.32</v>
      </c>
      <c r="T213" s="274"/>
      <c r="U213" s="276">
        <v>0</v>
      </c>
      <c r="V213" s="276"/>
      <c r="W213" s="276"/>
      <c r="X213" s="277">
        <f t="shared" si="16"/>
        <v>2009</v>
      </c>
      <c r="Y213" s="277">
        <f t="shared" si="17"/>
        <v>6</v>
      </c>
      <c r="Z213" s="278"/>
      <c r="AA213" s="278"/>
      <c r="AB213" s="278"/>
      <c r="AC213" s="278"/>
      <c r="AD213" s="278"/>
      <c r="AE213" s="278"/>
    </row>
    <row r="214" spans="1:31" s="260" customFormat="1" ht="11.25" customHeight="1" x14ac:dyDescent="0.2">
      <c r="A214" s="270"/>
      <c r="B214" s="271">
        <v>157</v>
      </c>
      <c r="C214" s="272" t="s">
        <v>161</v>
      </c>
      <c r="D214" s="272"/>
      <c r="E214" s="272"/>
      <c r="F214" s="272"/>
      <c r="G214" s="273">
        <v>39995</v>
      </c>
      <c r="H214" s="274">
        <v>6675</v>
      </c>
      <c r="I214" s="274"/>
      <c r="J214" s="272" t="s">
        <v>22</v>
      </c>
      <c r="K214" s="272"/>
      <c r="L214" s="275">
        <v>8</v>
      </c>
      <c r="M214" s="276">
        <v>0</v>
      </c>
      <c r="N214" s="276"/>
      <c r="O214" s="274">
        <v>6675</v>
      </c>
      <c r="P214" s="274"/>
      <c r="Q214" s="276">
        <v>0</v>
      </c>
      <c r="R214" s="276"/>
      <c r="S214" s="274">
        <v>6675</v>
      </c>
      <c r="T214" s="274"/>
      <c r="U214" s="276">
        <v>0</v>
      </c>
      <c r="V214" s="276"/>
      <c r="W214" s="276"/>
      <c r="X214" s="277">
        <f t="shared" si="16"/>
        <v>2009</v>
      </c>
      <c r="Y214" s="277">
        <f t="shared" si="17"/>
        <v>7</v>
      </c>
      <c r="Z214" s="278"/>
      <c r="AA214" s="278"/>
      <c r="AB214" s="278"/>
      <c r="AC214" s="278"/>
      <c r="AD214" s="278"/>
      <c r="AE214" s="278"/>
    </row>
    <row r="215" spans="1:31" s="260" customFormat="1" ht="11.25" customHeight="1" x14ac:dyDescent="0.2">
      <c r="A215" s="270"/>
      <c r="B215" s="271">
        <v>158</v>
      </c>
      <c r="C215" s="272" t="s">
        <v>173</v>
      </c>
      <c r="D215" s="272"/>
      <c r="E215" s="272"/>
      <c r="F215" s="272"/>
      <c r="G215" s="273">
        <v>40010</v>
      </c>
      <c r="H215" s="274">
        <v>6447.03</v>
      </c>
      <c r="I215" s="274"/>
      <c r="J215" s="272" t="s">
        <v>22</v>
      </c>
      <c r="K215" s="272"/>
      <c r="L215" s="275">
        <v>8</v>
      </c>
      <c r="M215" s="276">
        <v>0</v>
      </c>
      <c r="N215" s="276"/>
      <c r="O215" s="274">
        <v>6447.03</v>
      </c>
      <c r="P215" s="274"/>
      <c r="Q215" s="276">
        <v>0</v>
      </c>
      <c r="R215" s="276"/>
      <c r="S215" s="274">
        <v>6447.03</v>
      </c>
      <c r="T215" s="274"/>
      <c r="U215" s="276">
        <v>0</v>
      </c>
      <c r="V215" s="276"/>
      <c r="W215" s="276"/>
      <c r="X215" s="277">
        <f t="shared" si="16"/>
        <v>2009</v>
      </c>
      <c r="Y215" s="277">
        <f t="shared" si="17"/>
        <v>7</v>
      </c>
      <c r="Z215" s="278"/>
      <c r="AA215" s="278"/>
      <c r="AB215" s="278"/>
      <c r="AC215" s="278"/>
      <c r="AD215" s="278"/>
      <c r="AE215" s="278"/>
    </row>
    <row r="216" spans="1:31" s="260" customFormat="1" ht="15" customHeight="1" x14ac:dyDescent="0.2">
      <c r="A216" s="270"/>
      <c r="B216" s="271">
        <v>159</v>
      </c>
      <c r="C216" s="272" t="s">
        <v>178</v>
      </c>
      <c r="D216" s="272"/>
      <c r="E216" s="272"/>
      <c r="F216" s="272"/>
      <c r="G216" s="273">
        <v>40086</v>
      </c>
      <c r="H216" s="274">
        <v>8524.1</v>
      </c>
      <c r="I216" s="274"/>
      <c r="J216" s="272" t="s">
        <v>22</v>
      </c>
      <c r="K216" s="272"/>
      <c r="L216" s="275">
        <v>8</v>
      </c>
      <c r="M216" s="276">
        <v>0</v>
      </c>
      <c r="N216" s="276"/>
      <c r="O216" s="274">
        <v>8524.1</v>
      </c>
      <c r="P216" s="274"/>
      <c r="Q216" s="276">
        <v>0</v>
      </c>
      <c r="R216" s="276"/>
      <c r="S216" s="274">
        <v>8524.1</v>
      </c>
      <c r="T216" s="274"/>
      <c r="U216" s="276">
        <v>0</v>
      </c>
      <c r="V216" s="276"/>
      <c r="W216" s="276"/>
      <c r="X216" s="277">
        <f t="shared" si="16"/>
        <v>2009</v>
      </c>
      <c r="Y216" s="277">
        <f t="shared" si="17"/>
        <v>9</v>
      </c>
      <c r="Z216" s="278"/>
      <c r="AA216" s="278"/>
      <c r="AB216" s="278"/>
      <c r="AC216" s="278"/>
      <c r="AD216" s="278"/>
      <c r="AE216" s="278"/>
    </row>
    <row r="217" spans="1:31" s="260" customFormat="1" ht="11.25" customHeight="1" x14ac:dyDescent="0.2">
      <c r="A217" s="270"/>
      <c r="B217" s="271">
        <v>163</v>
      </c>
      <c r="C217" s="272" t="s">
        <v>179</v>
      </c>
      <c r="D217" s="272"/>
      <c r="E217" s="272"/>
      <c r="F217" s="272"/>
      <c r="G217" s="273">
        <v>40098</v>
      </c>
      <c r="H217" s="274">
        <v>2724.48</v>
      </c>
      <c r="I217" s="274"/>
      <c r="J217" s="272" t="s">
        <v>22</v>
      </c>
      <c r="K217" s="272"/>
      <c r="L217" s="275">
        <v>8</v>
      </c>
      <c r="M217" s="276">
        <v>0</v>
      </c>
      <c r="N217" s="276"/>
      <c r="O217" s="274">
        <v>2724.48</v>
      </c>
      <c r="P217" s="274"/>
      <c r="Q217" s="276">
        <v>0</v>
      </c>
      <c r="R217" s="276"/>
      <c r="S217" s="274">
        <v>2724.48</v>
      </c>
      <c r="T217" s="274"/>
      <c r="U217" s="276">
        <v>0</v>
      </c>
      <c r="V217" s="276"/>
      <c r="W217" s="276"/>
      <c r="X217" s="277">
        <f t="shared" si="16"/>
        <v>2009</v>
      </c>
      <c r="Y217" s="277">
        <f t="shared" si="17"/>
        <v>10</v>
      </c>
      <c r="Z217" s="278"/>
      <c r="AA217" s="278"/>
      <c r="AB217" s="278"/>
      <c r="AC217" s="278"/>
      <c r="AD217" s="278"/>
      <c r="AE217" s="278"/>
    </row>
    <row r="218" spans="1:31" s="260" customFormat="1" ht="11.25" customHeight="1" x14ac:dyDescent="0.2">
      <c r="A218" s="270"/>
      <c r="B218" s="271">
        <v>166</v>
      </c>
      <c r="C218" s="272" t="s">
        <v>180</v>
      </c>
      <c r="D218" s="272"/>
      <c r="E218" s="272"/>
      <c r="F218" s="272"/>
      <c r="G218" s="273">
        <v>40237</v>
      </c>
      <c r="H218" s="274">
        <v>5287.1</v>
      </c>
      <c r="I218" s="274"/>
      <c r="J218" s="272" t="s">
        <v>22</v>
      </c>
      <c r="K218" s="272"/>
      <c r="L218" s="275">
        <v>8</v>
      </c>
      <c r="M218" s="276">
        <v>0</v>
      </c>
      <c r="N218" s="276"/>
      <c r="O218" s="274">
        <v>5287.1</v>
      </c>
      <c r="P218" s="274"/>
      <c r="Q218" s="276">
        <v>0</v>
      </c>
      <c r="R218" s="276"/>
      <c r="S218" s="274">
        <v>5287.1</v>
      </c>
      <c r="T218" s="274"/>
      <c r="U218" s="276">
        <v>0</v>
      </c>
      <c r="V218" s="276"/>
      <c r="W218" s="276"/>
      <c r="X218" s="277">
        <f t="shared" si="16"/>
        <v>2010</v>
      </c>
      <c r="Y218" s="277">
        <f t="shared" si="17"/>
        <v>2</v>
      </c>
      <c r="Z218" s="278"/>
      <c r="AA218" s="278"/>
      <c r="AB218" s="278"/>
      <c r="AC218" s="278"/>
      <c r="AD218" s="278"/>
      <c r="AE218" s="278"/>
    </row>
    <row r="219" spans="1:31" s="260" customFormat="1" ht="11.25" customHeight="1" x14ac:dyDescent="0.2">
      <c r="A219" s="270"/>
      <c r="B219" s="271">
        <v>167</v>
      </c>
      <c r="C219" s="272" t="s">
        <v>181</v>
      </c>
      <c r="D219" s="272"/>
      <c r="E219" s="272"/>
      <c r="F219" s="272"/>
      <c r="G219" s="273">
        <v>40268</v>
      </c>
      <c r="H219" s="274">
        <v>3324.4</v>
      </c>
      <c r="I219" s="274"/>
      <c r="J219" s="272" t="s">
        <v>22</v>
      </c>
      <c r="K219" s="272"/>
      <c r="L219" s="275">
        <v>8</v>
      </c>
      <c r="M219" s="276">
        <v>0</v>
      </c>
      <c r="N219" s="276"/>
      <c r="O219" s="274">
        <v>3324.4</v>
      </c>
      <c r="P219" s="274"/>
      <c r="Q219" s="276">
        <v>0</v>
      </c>
      <c r="R219" s="276"/>
      <c r="S219" s="274">
        <v>3324.4</v>
      </c>
      <c r="T219" s="274"/>
      <c r="U219" s="276">
        <v>0</v>
      </c>
      <c r="V219" s="276"/>
      <c r="W219" s="276"/>
      <c r="X219" s="277">
        <f t="shared" si="16"/>
        <v>2010</v>
      </c>
      <c r="Y219" s="277">
        <f t="shared" si="17"/>
        <v>3</v>
      </c>
      <c r="Z219" s="278"/>
      <c r="AA219" s="278"/>
      <c r="AB219" s="278"/>
      <c r="AC219" s="278"/>
      <c r="AD219" s="278"/>
      <c r="AE219" s="278"/>
    </row>
    <row r="220" spans="1:31" s="260" customFormat="1" ht="11.25" customHeight="1" x14ac:dyDescent="0.2">
      <c r="A220" s="270"/>
      <c r="B220" s="271">
        <v>173</v>
      </c>
      <c r="C220" s="272" t="s">
        <v>182</v>
      </c>
      <c r="D220" s="272"/>
      <c r="E220" s="272"/>
      <c r="F220" s="272"/>
      <c r="G220" s="273">
        <v>40512</v>
      </c>
      <c r="H220" s="274">
        <v>15628.46</v>
      </c>
      <c r="I220" s="274"/>
      <c r="J220" s="272" t="s">
        <v>22</v>
      </c>
      <c r="K220" s="272"/>
      <c r="L220" s="275">
        <v>8</v>
      </c>
      <c r="M220" s="276">
        <v>0</v>
      </c>
      <c r="N220" s="276"/>
      <c r="O220" s="274">
        <v>15628.46</v>
      </c>
      <c r="P220" s="274"/>
      <c r="Q220" s="276">
        <v>0</v>
      </c>
      <c r="R220" s="276"/>
      <c r="S220" s="274">
        <v>15628.46</v>
      </c>
      <c r="T220" s="274"/>
      <c r="U220" s="276">
        <v>0</v>
      </c>
      <c r="V220" s="276"/>
      <c r="W220" s="276"/>
      <c r="X220" s="277">
        <f t="shared" si="16"/>
        <v>2010</v>
      </c>
      <c r="Y220" s="277">
        <f t="shared" si="17"/>
        <v>11</v>
      </c>
      <c r="Z220" s="278"/>
      <c r="AA220" s="278"/>
      <c r="AB220" s="278"/>
      <c r="AC220" s="278"/>
      <c r="AD220" s="278"/>
      <c r="AE220" s="278"/>
    </row>
    <row r="221" spans="1:31" s="260" customFormat="1" ht="11.25" customHeight="1" x14ac:dyDescent="0.2">
      <c r="A221" s="270"/>
      <c r="B221" s="271">
        <v>176</v>
      </c>
      <c r="C221" s="272" t="s">
        <v>183</v>
      </c>
      <c r="D221" s="272"/>
      <c r="E221" s="272"/>
      <c r="F221" s="272"/>
      <c r="G221" s="273">
        <v>40648</v>
      </c>
      <c r="H221" s="274">
        <v>5128.59</v>
      </c>
      <c r="I221" s="274"/>
      <c r="J221" s="272" t="s">
        <v>22</v>
      </c>
      <c r="K221" s="272"/>
      <c r="L221" s="275">
        <v>8</v>
      </c>
      <c r="M221" s="276">
        <v>0</v>
      </c>
      <c r="N221" s="276"/>
      <c r="O221" s="274">
        <v>5128.59</v>
      </c>
      <c r="P221" s="274"/>
      <c r="Q221" s="276">
        <v>0</v>
      </c>
      <c r="R221" s="276"/>
      <c r="S221" s="274">
        <v>5128.59</v>
      </c>
      <c r="T221" s="274"/>
      <c r="U221" s="276">
        <v>0</v>
      </c>
      <c r="V221" s="276"/>
      <c r="W221" s="276"/>
      <c r="X221" s="277">
        <f t="shared" si="16"/>
        <v>2011</v>
      </c>
      <c r="Y221" s="277">
        <f t="shared" si="17"/>
        <v>4</v>
      </c>
      <c r="Z221" s="278"/>
      <c r="AA221" s="278"/>
      <c r="AB221" s="278"/>
      <c r="AC221" s="278"/>
      <c r="AD221" s="278"/>
      <c r="AE221" s="278"/>
    </row>
    <row r="222" spans="1:31" s="260" customFormat="1" ht="11.25" customHeight="1" x14ac:dyDescent="0.2">
      <c r="A222" s="270"/>
      <c r="B222" s="271">
        <v>177</v>
      </c>
      <c r="C222" s="272" t="s">
        <v>184</v>
      </c>
      <c r="D222" s="272"/>
      <c r="E222" s="272"/>
      <c r="F222" s="272"/>
      <c r="G222" s="273">
        <v>40648</v>
      </c>
      <c r="H222" s="274">
        <v>3487.33</v>
      </c>
      <c r="I222" s="274"/>
      <c r="J222" s="272" t="s">
        <v>22</v>
      </c>
      <c r="K222" s="272"/>
      <c r="L222" s="275">
        <v>8</v>
      </c>
      <c r="M222" s="276">
        <v>0</v>
      </c>
      <c r="N222" s="276"/>
      <c r="O222" s="274">
        <v>3487.33</v>
      </c>
      <c r="P222" s="274"/>
      <c r="Q222" s="276">
        <v>0</v>
      </c>
      <c r="R222" s="276"/>
      <c r="S222" s="274">
        <v>3487.33</v>
      </c>
      <c r="T222" s="274"/>
      <c r="U222" s="276">
        <v>0</v>
      </c>
      <c r="V222" s="276"/>
      <c r="W222" s="276"/>
      <c r="X222" s="277">
        <f t="shared" si="16"/>
        <v>2011</v>
      </c>
      <c r="Y222" s="277">
        <f t="shared" si="17"/>
        <v>4</v>
      </c>
      <c r="Z222" s="278"/>
      <c r="AA222" s="278"/>
      <c r="AB222" s="278"/>
      <c r="AC222" s="278"/>
      <c r="AD222" s="278"/>
      <c r="AE222" s="278"/>
    </row>
    <row r="223" spans="1:31" s="260" customFormat="1" ht="11.25" customHeight="1" x14ac:dyDescent="0.2">
      <c r="A223" s="270"/>
      <c r="B223" s="271">
        <v>178</v>
      </c>
      <c r="C223" s="272" t="s">
        <v>184</v>
      </c>
      <c r="D223" s="272"/>
      <c r="E223" s="272"/>
      <c r="F223" s="272"/>
      <c r="G223" s="273">
        <v>40648</v>
      </c>
      <c r="H223" s="274">
        <v>3781.01</v>
      </c>
      <c r="I223" s="274"/>
      <c r="J223" s="272" t="s">
        <v>22</v>
      </c>
      <c r="K223" s="272"/>
      <c r="L223" s="275">
        <v>8</v>
      </c>
      <c r="M223" s="276">
        <v>0</v>
      </c>
      <c r="N223" s="276"/>
      <c r="O223" s="274">
        <v>3781.01</v>
      </c>
      <c r="P223" s="274"/>
      <c r="Q223" s="276">
        <v>0</v>
      </c>
      <c r="R223" s="276"/>
      <c r="S223" s="274">
        <v>3781.01</v>
      </c>
      <c r="T223" s="274"/>
      <c r="U223" s="276">
        <v>0</v>
      </c>
      <c r="V223" s="276"/>
      <c r="W223" s="276"/>
      <c r="X223" s="277">
        <f t="shared" si="16"/>
        <v>2011</v>
      </c>
      <c r="Y223" s="277">
        <f t="shared" si="17"/>
        <v>4</v>
      </c>
      <c r="Z223" s="278"/>
      <c r="AA223" s="278"/>
      <c r="AB223" s="278"/>
      <c r="AC223" s="278"/>
      <c r="AD223" s="278"/>
      <c r="AE223" s="278"/>
    </row>
    <row r="224" spans="1:31" s="260" customFormat="1" ht="11.25" customHeight="1" x14ac:dyDescent="0.2">
      <c r="A224" s="270"/>
      <c r="B224" s="271">
        <v>179</v>
      </c>
      <c r="C224" s="272" t="s">
        <v>184</v>
      </c>
      <c r="D224" s="272"/>
      <c r="E224" s="272"/>
      <c r="F224" s="272"/>
      <c r="G224" s="273">
        <v>40714</v>
      </c>
      <c r="H224" s="274">
        <v>3487.33</v>
      </c>
      <c r="I224" s="274"/>
      <c r="J224" s="272" t="s">
        <v>22</v>
      </c>
      <c r="K224" s="272"/>
      <c r="L224" s="275">
        <v>8</v>
      </c>
      <c r="M224" s="276">
        <v>0</v>
      </c>
      <c r="N224" s="276"/>
      <c r="O224" s="274">
        <v>3487.33</v>
      </c>
      <c r="P224" s="274"/>
      <c r="Q224" s="276">
        <v>0</v>
      </c>
      <c r="R224" s="276"/>
      <c r="S224" s="274">
        <v>3487.33</v>
      </c>
      <c r="T224" s="274"/>
      <c r="U224" s="276">
        <v>0</v>
      </c>
      <c r="V224" s="276"/>
      <c r="W224" s="276"/>
      <c r="X224" s="277">
        <f t="shared" si="16"/>
        <v>2011</v>
      </c>
      <c r="Y224" s="277">
        <f t="shared" si="17"/>
        <v>6</v>
      </c>
      <c r="Z224" s="278"/>
      <c r="AA224" s="278"/>
      <c r="AB224" s="278"/>
      <c r="AC224" s="278"/>
      <c r="AD224" s="278"/>
      <c r="AE224" s="278"/>
    </row>
    <row r="225" spans="1:31" s="260" customFormat="1" ht="11.25" customHeight="1" x14ac:dyDescent="0.2">
      <c r="A225" s="270"/>
      <c r="B225" s="271">
        <v>180</v>
      </c>
      <c r="C225" s="272" t="s">
        <v>183</v>
      </c>
      <c r="D225" s="272"/>
      <c r="E225" s="272"/>
      <c r="F225" s="272"/>
      <c r="G225" s="273">
        <v>40714</v>
      </c>
      <c r="H225" s="274">
        <v>5128.59</v>
      </c>
      <c r="I225" s="274"/>
      <c r="J225" s="272" t="s">
        <v>22</v>
      </c>
      <c r="K225" s="272"/>
      <c r="L225" s="275">
        <v>8</v>
      </c>
      <c r="M225" s="276">
        <v>0</v>
      </c>
      <c r="N225" s="276"/>
      <c r="O225" s="274">
        <v>5128.59</v>
      </c>
      <c r="P225" s="274"/>
      <c r="Q225" s="276">
        <v>0</v>
      </c>
      <c r="R225" s="276"/>
      <c r="S225" s="274">
        <v>5128.59</v>
      </c>
      <c r="T225" s="274"/>
      <c r="U225" s="276">
        <v>0</v>
      </c>
      <c r="V225" s="276"/>
      <c r="W225" s="276"/>
      <c r="X225" s="277">
        <f t="shared" si="16"/>
        <v>2011</v>
      </c>
      <c r="Y225" s="277">
        <f t="shared" si="17"/>
        <v>6</v>
      </c>
      <c r="Z225" s="278"/>
      <c r="AA225" s="278"/>
      <c r="AB225" s="278"/>
      <c r="AC225" s="278"/>
      <c r="AD225" s="278"/>
      <c r="AE225" s="278"/>
    </row>
    <row r="226" spans="1:31" s="260" customFormat="1" ht="11.25" customHeight="1" x14ac:dyDescent="0.2">
      <c r="A226" s="270"/>
      <c r="B226" s="271">
        <v>181</v>
      </c>
      <c r="C226" s="272" t="s">
        <v>185</v>
      </c>
      <c r="D226" s="272"/>
      <c r="E226" s="272"/>
      <c r="F226" s="272"/>
      <c r="G226" s="273">
        <v>40714</v>
      </c>
      <c r="H226" s="274">
        <v>8011.71</v>
      </c>
      <c r="I226" s="274"/>
      <c r="J226" s="272" t="s">
        <v>22</v>
      </c>
      <c r="K226" s="272"/>
      <c r="L226" s="275">
        <v>8</v>
      </c>
      <c r="M226" s="276">
        <v>0</v>
      </c>
      <c r="N226" s="276"/>
      <c r="O226" s="274">
        <v>8011.71</v>
      </c>
      <c r="P226" s="274"/>
      <c r="Q226" s="276">
        <v>0</v>
      </c>
      <c r="R226" s="276"/>
      <c r="S226" s="274">
        <v>8011.71</v>
      </c>
      <c r="T226" s="274"/>
      <c r="U226" s="276">
        <v>0</v>
      </c>
      <c r="V226" s="276"/>
      <c r="W226" s="276"/>
      <c r="X226" s="277">
        <f t="shared" si="16"/>
        <v>2011</v>
      </c>
      <c r="Y226" s="277">
        <f t="shared" si="17"/>
        <v>6</v>
      </c>
      <c r="Z226" s="278"/>
      <c r="AA226" s="278"/>
      <c r="AB226" s="278"/>
      <c r="AC226" s="278"/>
      <c r="AD226" s="278"/>
      <c r="AE226" s="278"/>
    </row>
    <row r="227" spans="1:31" s="260" customFormat="1" ht="11.25" customHeight="1" x14ac:dyDescent="0.2">
      <c r="A227" s="270"/>
      <c r="B227" s="271">
        <v>184</v>
      </c>
      <c r="C227" s="272" t="s">
        <v>186</v>
      </c>
      <c r="D227" s="272"/>
      <c r="E227" s="272"/>
      <c r="F227" s="272"/>
      <c r="G227" s="273">
        <v>40817</v>
      </c>
      <c r="H227" s="274">
        <v>5273.74</v>
      </c>
      <c r="I227" s="274"/>
      <c r="J227" s="272" t="s">
        <v>22</v>
      </c>
      <c r="K227" s="272"/>
      <c r="L227" s="275">
        <v>8</v>
      </c>
      <c r="M227" s="276">
        <v>0</v>
      </c>
      <c r="N227" s="276"/>
      <c r="O227" s="274">
        <v>5273.74</v>
      </c>
      <c r="P227" s="274"/>
      <c r="Q227" s="276">
        <v>0</v>
      </c>
      <c r="R227" s="276"/>
      <c r="S227" s="274">
        <v>5273.74</v>
      </c>
      <c r="T227" s="274"/>
      <c r="U227" s="276">
        <v>0</v>
      </c>
      <c r="V227" s="276"/>
      <c r="W227" s="276"/>
      <c r="X227" s="277">
        <f t="shared" si="16"/>
        <v>2011</v>
      </c>
      <c r="Y227" s="277">
        <f t="shared" si="17"/>
        <v>10</v>
      </c>
      <c r="Z227" s="278"/>
      <c r="AA227" s="278"/>
      <c r="AB227" s="278"/>
      <c r="AC227" s="278"/>
      <c r="AD227" s="278"/>
      <c r="AE227" s="278"/>
    </row>
    <row r="228" spans="1:31" s="260" customFormat="1" ht="11.25" customHeight="1" x14ac:dyDescent="0.2">
      <c r="A228" s="270"/>
      <c r="B228" s="271">
        <v>185</v>
      </c>
      <c r="C228" s="272" t="s">
        <v>159</v>
      </c>
      <c r="D228" s="272"/>
      <c r="E228" s="272"/>
      <c r="F228" s="272"/>
      <c r="G228" s="273">
        <v>40817</v>
      </c>
      <c r="H228" s="274">
        <v>3736.17</v>
      </c>
      <c r="I228" s="274"/>
      <c r="J228" s="272" t="s">
        <v>22</v>
      </c>
      <c r="K228" s="272"/>
      <c r="L228" s="275">
        <v>8</v>
      </c>
      <c r="M228" s="276">
        <v>0</v>
      </c>
      <c r="N228" s="276"/>
      <c r="O228" s="274">
        <v>3736.17</v>
      </c>
      <c r="P228" s="274"/>
      <c r="Q228" s="276">
        <v>0</v>
      </c>
      <c r="R228" s="276"/>
      <c r="S228" s="274">
        <v>3736.17</v>
      </c>
      <c r="T228" s="274"/>
      <c r="U228" s="276">
        <v>0</v>
      </c>
      <c r="V228" s="276"/>
      <c r="W228" s="276"/>
      <c r="X228" s="277">
        <f t="shared" si="16"/>
        <v>2011</v>
      </c>
      <c r="Y228" s="277">
        <f t="shared" si="17"/>
        <v>10</v>
      </c>
      <c r="Z228" s="278"/>
      <c r="AA228" s="278"/>
      <c r="AB228" s="278"/>
      <c r="AC228" s="278"/>
      <c r="AD228" s="278"/>
      <c r="AE228" s="278"/>
    </row>
    <row r="229" spans="1:31" s="260" customFormat="1" ht="11.25" customHeight="1" x14ac:dyDescent="0.2">
      <c r="A229" s="270"/>
      <c r="B229" s="271">
        <v>186</v>
      </c>
      <c r="C229" s="272" t="s">
        <v>160</v>
      </c>
      <c r="D229" s="272"/>
      <c r="E229" s="272"/>
      <c r="F229" s="272"/>
      <c r="G229" s="273">
        <v>40817</v>
      </c>
      <c r="H229" s="274">
        <v>3978.95</v>
      </c>
      <c r="I229" s="274"/>
      <c r="J229" s="272" t="s">
        <v>22</v>
      </c>
      <c r="K229" s="272"/>
      <c r="L229" s="275">
        <v>8</v>
      </c>
      <c r="M229" s="276">
        <v>0</v>
      </c>
      <c r="N229" s="276"/>
      <c r="O229" s="274">
        <v>3978.95</v>
      </c>
      <c r="P229" s="274"/>
      <c r="Q229" s="276">
        <v>0</v>
      </c>
      <c r="R229" s="276"/>
      <c r="S229" s="274">
        <v>3978.95</v>
      </c>
      <c r="T229" s="274"/>
      <c r="U229" s="276">
        <v>0</v>
      </c>
      <c r="V229" s="276"/>
      <c r="W229" s="276"/>
      <c r="X229" s="277">
        <f t="shared" si="16"/>
        <v>2011</v>
      </c>
      <c r="Y229" s="277">
        <f t="shared" si="17"/>
        <v>10</v>
      </c>
      <c r="Z229" s="278"/>
      <c r="AA229" s="278"/>
      <c r="AB229" s="278"/>
      <c r="AC229" s="278"/>
      <c r="AD229" s="278"/>
      <c r="AE229" s="278"/>
    </row>
    <row r="230" spans="1:31" s="260" customFormat="1" ht="11.25" customHeight="1" x14ac:dyDescent="0.2">
      <c r="A230" s="270"/>
      <c r="B230" s="271">
        <v>187</v>
      </c>
      <c r="C230" s="272" t="s">
        <v>187</v>
      </c>
      <c r="D230" s="272"/>
      <c r="E230" s="272"/>
      <c r="F230" s="272"/>
      <c r="G230" s="273">
        <v>40854</v>
      </c>
      <c r="H230" s="274">
        <v>13158.5</v>
      </c>
      <c r="I230" s="274"/>
      <c r="J230" s="272" t="s">
        <v>22</v>
      </c>
      <c r="K230" s="272"/>
      <c r="L230" s="275">
        <v>8</v>
      </c>
      <c r="M230" s="276">
        <v>0</v>
      </c>
      <c r="N230" s="276"/>
      <c r="O230" s="274">
        <v>13158.5</v>
      </c>
      <c r="P230" s="274"/>
      <c r="Q230" s="276">
        <v>0</v>
      </c>
      <c r="R230" s="276"/>
      <c r="S230" s="274">
        <v>13158.5</v>
      </c>
      <c r="T230" s="274"/>
      <c r="U230" s="276">
        <v>0</v>
      </c>
      <c r="V230" s="276"/>
      <c r="W230" s="276"/>
      <c r="X230" s="277">
        <f t="shared" si="16"/>
        <v>2011</v>
      </c>
      <c r="Y230" s="277">
        <f t="shared" si="17"/>
        <v>11</v>
      </c>
      <c r="Z230" s="278"/>
      <c r="AA230" s="278"/>
      <c r="AB230" s="278"/>
      <c r="AC230" s="278"/>
      <c r="AD230" s="278"/>
      <c r="AE230" s="278"/>
    </row>
    <row r="231" spans="1:31" s="260" customFormat="1" ht="11.25" customHeight="1" x14ac:dyDescent="0.2">
      <c r="A231" s="270"/>
      <c r="B231" s="271">
        <v>188</v>
      </c>
      <c r="C231" s="272" t="s">
        <v>160</v>
      </c>
      <c r="D231" s="272"/>
      <c r="E231" s="272"/>
      <c r="F231" s="272"/>
      <c r="G231" s="273">
        <v>40854</v>
      </c>
      <c r="H231" s="274">
        <v>3851.64</v>
      </c>
      <c r="I231" s="274"/>
      <c r="J231" s="272" t="s">
        <v>22</v>
      </c>
      <c r="K231" s="272"/>
      <c r="L231" s="275">
        <v>8</v>
      </c>
      <c r="M231" s="276">
        <v>0</v>
      </c>
      <c r="N231" s="276"/>
      <c r="O231" s="274">
        <v>3851.64</v>
      </c>
      <c r="P231" s="274"/>
      <c r="Q231" s="276">
        <v>0</v>
      </c>
      <c r="R231" s="276"/>
      <c r="S231" s="274">
        <v>3851.64</v>
      </c>
      <c r="T231" s="274"/>
      <c r="U231" s="276">
        <v>0</v>
      </c>
      <c r="V231" s="276"/>
      <c r="W231" s="276"/>
      <c r="X231" s="277">
        <f t="shared" si="16"/>
        <v>2011</v>
      </c>
      <c r="Y231" s="277">
        <f t="shared" si="17"/>
        <v>11</v>
      </c>
      <c r="Z231" s="278"/>
      <c r="AA231" s="278"/>
      <c r="AB231" s="278"/>
      <c r="AC231" s="278"/>
      <c r="AD231" s="278"/>
      <c r="AE231" s="278"/>
    </row>
    <row r="232" spans="1:31" s="260" customFormat="1" ht="11.25" customHeight="1" x14ac:dyDescent="0.2">
      <c r="A232" s="270"/>
      <c r="B232" s="271">
        <v>193</v>
      </c>
      <c r="C232" s="272" t="s">
        <v>186</v>
      </c>
      <c r="D232" s="272"/>
      <c r="E232" s="272"/>
      <c r="F232" s="272"/>
      <c r="G232" s="273">
        <v>41243</v>
      </c>
      <c r="H232" s="274">
        <v>5067.8599999999997</v>
      </c>
      <c r="I232" s="274"/>
      <c r="J232" s="272" t="s">
        <v>22</v>
      </c>
      <c r="K232" s="272"/>
      <c r="L232" s="275">
        <v>8</v>
      </c>
      <c r="M232" s="276">
        <v>0</v>
      </c>
      <c r="N232" s="276"/>
      <c r="O232" s="274">
        <v>4539.9399999999996</v>
      </c>
      <c r="P232" s="274"/>
      <c r="Q232" s="276">
        <v>527.91999999999996</v>
      </c>
      <c r="R232" s="276"/>
      <c r="S232" s="274">
        <v>5067.8599999999997</v>
      </c>
      <c r="T232" s="274"/>
      <c r="U232" s="276">
        <v>0</v>
      </c>
      <c r="V232" s="276"/>
      <c r="W232" s="276"/>
      <c r="X232" s="277">
        <f t="shared" si="16"/>
        <v>2012</v>
      </c>
      <c r="Y232" s="277">
        <f t="shared" si="17"/>
        <v>11</v>
      </c>
      <c r="Z232" s="278"/>
      <c r="AA232" s="278"/>
      <c r="AB232" s="278"/>
      <c r="AC232" s="278"/>
      <c r="AD232" s="278"/>
      <c r="AE232" s="278"/>
    </row>
    <row r="233" spans="1:31" s="260" customFormat="1" ht="11.25" customHeight="1" x14ac:dyDescent="0.2">
      <c r="A233" s="270"/>
      <c r="B233" s="271">
        <v>194</v>
      </c>
      <c r="C233" s="272" t="s">
        <v>160</v>
      </c>
      <c r="D233" s="272"/>
      <c r="E233" s="272"/>
      <c r="F233" s="272"/>
      <c r="G233" s="273">
        <v>41243</v>
      </c>
      <c r="H233" s="274">
        <v>4206.67</v>
      </c>
      <c r="I233" s="274"/>
      <c r="J233" s="272" t="s">
        <v>22</v>
      </c>
      <c r="K233" s="272"/>
      <c r="L233" s="275">
        <v>8</v>
      </c>
      <c r="M233" s="276">
        <v>0</v>
      </c>
      <c r="N233" s="276"/>
      <c r="O233" s="274">
        <v>3768.45</v>
      </c>
      <c r="P233" s="274"/>
      <c r="Q233" s="276">
        <v>438.22</v>
      </c>
      <c r="R233" s="276"/>
      <c r="S233" s="274">
        <v>4206.67</v>
      </c>
      <c r="T233" s="274"/>
      <c r="U233" s="276">
        <v>0</v>
      </c>
      <c r="V233" s="276"/>
      <c r="W233" s="276"/>
      <c r="X233" s="277">
        <f t="shared" ref="X233:X271" si="18">YEAR(G233)</f>
        <v>2012</v>
      </c>
      <c r="Y233" s="277">
        <f t="shared" ref="Y233:Y271" si="19">MONTH(G233)</f>
        <v>11</v>
      </c>
      <c r="Z233" s="278"/>
      <c r="AA233" s="278"/>
      <c r="AB233" s="278"/>
      <c r="AC233" s="278"/>
      <c r="AD233" s="278"/>
      <c r="AE233" s="278"/>
    </row>
    <row r="234" spans="1:31" s="260" customFormat="1" ht="11.25" customHeight="1" x14ac:dyDescent="0.2">
      <c r="A234" s="270"/>
      <c r="B234" s="271">
        <v>199</v>
      </c>
      <c r="C234" s="272" t="s">
        <v>188</v>
      </c>
      <c r="D234" s="272"/>
      <c r="E234" s="272"/>
      <c r="F234" s="272"/>
      <c r="G234" s="273">
        <v>41364</v>
      </c>
      <c r="H234" s="274">
        <v>3763.01</v>
      </c>
      <c r="I234" s="274"/>
      <c r="J234" s="272" t="s">
        <v>22</v>
      </c>
      <c r="K234" s="272"/>
      <c r="L234" s="275">
        <v>8</v>
      </c>
      <c r="M234" s="276">
        <v>0</v>
      </c>
      <c r="N234" s="276"/>
      <c r="O234" s="274">
        <v>3214.26</v>
      </c>
      <c r="P234" s="274"/>
      <c r="Q234" s="276">
        <v>470.38</v>
      </c>
      <c r="R234" s="276"/>
      <c r="S234" s="274">
        <v>3684.64</v>
      </c>
      <c r="T234" s="274"/>
      <c r="U234" s="276">
        <v>78.37</v>
      </c>
      <c r="V234" s="276"/>
      <c r="W234" s="276"/>
      <c r="X234" s="277">
        <f t="shared" si="18"/>
        <v>2013</v>
      </c>
      <c r="Y234" s="277">
        <f t="shared" si="19"/>
        <v>3</v>
      </c>
      <c r="Z234" s="278"/>
      <c r="AA234" s="278"/>
      <c r="AB234" s="278"/>
      <c r="AC234" s="278"/>
      <c r="AD234" s="278"/>
      <c r="AE234" s="278"/>
    </row>
    <row r="235" spans="1:31" s="260" customFormat="1" ht="11.25" customHeight="1" x14ac:dyDescent="0.2">
      <c r="A235" s="270"/>
      <c r="B235" s="271">
        <v>204</v>
      </c>
      <c r="C235" s="272" t="s">
        <v>189</v>
      </c>
      <c r="D235" s="272"/>
      <c r="E235" s="272"/>
      <c r="F235" s="272"/>
      <c r="G235" s="273">
        <v>41518</v>
      </c>
      <c r="H235" s="274">
        <v>10627.2</v>
      </c>
      <c r="I235" s="274"/>
      <c r="J235" s="272" t="s">
        <v>22</v>
      </c>
      <c r="K235" s="272"/>
      <c r="L235" s="275">
        <v>8</v>
      </c>
      <c r="M235" s="276">
        <v>0</v>
      </c>
      <c r="N235" s="276"/>
      <c r="O235" s="274">
        <v>8413.2000000000007</v>
      </c>
      <c r="P235" s="274"/>
      <c r="Q235" s="274">
        <v>1328.4</v>
      </c>
      <c r="R235" s="274"/>
      <c r="S235" s="274">
        <v>9741.6</v>
      </c>
      <c r="T235" s="274"/>
      <c r="U235" s="276">
        <v>885.6</v>
      </c>
      <c r="V235" s="276"/>
      <c r="W235" s="276"/>
      <c r="X235" s="277">
        <f t="shared" si="18"/>
        <v>2013</v>
      </c>
      <c r="Y235" s="277">
        <f t="shared" si="19"/>
        <v>9</v>
      </c>
      <c r="Z235" s="278"/>
      <c r="AA235" s="278"/>
      <c r="AB235" s="278"/>
      <c r="AC235" s="278"/>
      <c r="AD235" s="278"/>
      <c r="AE235" s="278"/>
    </row>
    <row r="236" spans="1:31" s="260" customFormat="1" ht="11.25" customHeight="1" x14ac:dyDescent="0.2">
      <c r="A236" s="270"/>
      <c r="B236" s="271">
        <v>205</v>
      </c>
      <c r="C236" s="272" t="s">
        <v>190</v>
      </c>
      <c r="D236" s="272"/>
      <c r="E236" s="272"/>
      <c r="F236" s="272"/>
      <c r="G236" s="273">
        <v>41518</v>
      </c>
      <c r="H236" s="274">
        <v>9892.7999999999993</v>
      </c>
      <c r="I236" s="274"/>
      <c r="J236" s="272" t="s">
        <v>22</v>
      </c>
      <c r="K236" s="272"/>
      <c r="L236" s="275">
        <v>8</v>
      </c>
      <c r="M236" s="276">
        <v>0</v>
      </c>
      <c r="N236" s="276"/>
      <c r="O236" s="274">
        <v>7831.8</v>
      </c>
      <c r="P236" s="274"/>
      <c r="Q236" s="274">
        <v>1236.5999999999999</v>
      </c>
      <c r="R236" s="274"/>
      <c r="S236" s="274">
        <v>9068.4</v>
      </c>
      <c r="T236" s="274"/>
      <c r="U236" s="276">
        <v>824.4</v>
      </c>
      <c r="V236" s="276"/>
      <c r="W236" s="276"/>
      <c r="X236" s="277">
        <f t="shared" si="18"/>
        <v>2013</v>
      </c>
      <c r="Y236" s="277">
        <f t="shared" si="19"/>
        <v>9</v>
      </c>
      <c r="Z236" s="278"/>
      <c r="AA236" s="278"/>
      <c r="AB236" s="278"/>
      <c r="AC236" s="278"/>
      <c r="AD236" s="278"/>
      <c r="AE236" s="278"/>
    </row>
    <row r="237" spans="1:31" s="260" customFormat="1" ht="11.25" customHeight="1" x14ac:dyDescent="0.2">
      <c r="A237" s="270"/>
      <c r="B237" s="271">
        <v>206</v>
      </c>
      <c r="C237" s="272" t="s">
        <v>191</v>
      </c>
      <c r="D237" s="272"/>
      <c r="E237" s="272"/>
      <c r="F237" s="272"/>
      <c r="G237" s="273">
        <v>41518</v>
      </c>
      <c r="H237" s="274">
        <v>5958.78</v>
      </c>
      <c r="I237" s="274"/>
      <c r="J237" s="272" t="s">
        <v>22</v>
      </c>
      <c r="K237" s="272"/>
      <c r="L237" s="275">
        <v>8</v>
      </c>
      <c r="M237" s="276">
        <v>0</v>
      </c>
      <c r="N237" s="276"/>
      <c r="O237" s="274">
        <v>4717.38</v>
      </c>
      <c r="P237" s="274"/>
      <c r="Q237" s="276">
        <v>744.85</v>
      </c>
      <c r="R237" s="276"/>
      <c r="S237" s="274">
        <v>5462.23</v>
      </c>
      <c r="T237" s="274"/>
      <c r="U237" s="276">
        <v>496.55</v>
      </c>
      <c r="V237" s="276"/>
      <c r="W237" s="276"/>
      <c r="X237" s="277">
        <f t="shared" si="18"/>
        <v>2013</v>
      </c>
      <c r="Y237" s="277">
        <f t="shared" si="19"/>
        <v>9</v>
      </c>
      <c r="Z237" s="278"/>
      <c r="AA237" s="278"/>
      <c r="AB237" s="278"/>
      <c r="AC237" s="278"/>
      <c r="AD237" s="278"/>
      <c r="AE237" s="278"/>
    </row>
    <row r="238" spans="1:31" s="260" customFormat="1" ht="11.25" customHeight="1" x14ac:dyDescent="0.2">
      <c r="A238" s="270"/>
      <c r="B238" s="271">
        <v>214</v>
      </c>
      <c r="C238" s="272" t="s">
        <v>184</v>
      </c>
      <c r="D238" s="272"/>
      <c r="E238" s="272"/>
      <c r="F238" s="272"/>
      <c r="G238" s="273">
        <v>41759</v>
      </c>
      <c r="H238" s="274">
        <v>3947.53</v>
      </c>
      <c r="I238" s="274"/>
      <c r="J238" s="272" t="s">
        <v>22</v>
      </c>
      <c r="K238" s="272"/>
      <c r="L238" s="275">
        <v>10</v>
      </c>
      <c r="M238" s="276">
        <v>0</v>
      </c>
      <c r="N238" s="276"/>
      <c r="O238" s="274">
        <v>2269.81</v>
      </c>
      <c r="P238" s="274"/>
      <c r="Q238" s="276">
        <v>394.75</v>
      </c>
      <c r="R238" s="276"/>
      <c r="S238" s="274">
        <v>2664.56</v>
      </c>
      <c r="T238" s="274"/>
      <c r="U238" s="274">
        <v>1282.97</v>
      </c>
      <c r="V238" s="274"/>
      <c r="W238" s="274"/>
      <c r="X238" s="277">
        <f t="shared" si="18"/>
        <v>2014</v>
      </c>
      <c r="Y238" s="277">
        <f t="shared" si="19"/>
        <v>4</v>
      </c>
      <c r="Z238" s="278"/>
      <c r="AA238" s="278"/>
      <c r="AB238" s="278"/>
      <c r="AC238" s="278"/>
      <c r="AD238" s="278"/>
      <c r="AE238" s="278"/>
    </row>
    <row r="239" spans="1:31" s="260" customFormat="1" ht="11.25" customHeight="1" x14ac:dyDescent="0.2">
      <c r="A239" s="270"/>
      <c r="B239" s="271">
        <v>215</v>
      </c>
      <c r="C239" s="272" t="s">
        <v>192</v>
      </c>
      <c r="D239" s="272"/>
      <c r="E239" s="272"/>
      <c r="F239" s="272"/>
      <c r="G239" s="273">
        <v>41759</v>
      </c>
      <c r="H239" s="274">
        <v>10376.31</v>
      </c>
      <c r="I239" s="274"/>
      <c r="J239" s="272" t="s">
        <v>22</v>
      </c>
      <c r="K239" s="272"/>
      <c r="L239" s="275">
        <v>10</v>
      </c>
      <c r="M239" s="276">
        <v>0</v>
      </c>
      <c r="N239" s="276"/>
      <c r="O239" s="274">
        <v>5966.37</v>
      </c>
      <c r="P239" s="274"/>
      <c r="Q239" s="274">
        <v>1037.6300000000001</v>
      </c>
      <c r="R239" s="274"/>
      <c r="S239" s="274">
        <v>7004</v>
      </c>
      <c r="T239" s="274"/>
      <c r="U239" s="274">
        <v>3372.31</v>
      </c>
      <c r="V239" s="274"/>
      <c r="W239" s="274"/>
      <c r="X239" s="277">
        <f t="shared" si="18"/>
        <v>2014</v>
      </c>
      <c r="Y239" s="277">
        <f t="shared" si="19"/>
        <v>4</v>
      </c>
      <c r="Z239" s="278"/>
      <c r="AA239" s="278"/>
      <c r="AB239" s="278"/>
      <c r="AC239" s="278"/>
      <c r="AD239" s="278"/>
      <c r="AE239" s="278"/>
    </row>
    <row r="240" spans="1:31" s="260" customFormat="1" ht="11.25" customHeight="1" x14ac:dyDescent="0.2">
      <c r="A240" s="270"/>
      <c r="B240" s="271">
        <v>216</v>
      </c>
      <c r="C240" s="272" t="s">
        <v>185</v>
      </c>
      <c r="D240" s="272"/>
      <c r="E240" s="272"/>
      <c r="F240" s="272"/>
      <c r="G240" s="273">
        <v>41759</v>
      </c>
      <c r="H240" s="274">
        <v>8836.61</v>
      </c>
      <c r="I240" s="274"/>
      <c r="J240" s="272" t="s">
        <v>22</v>
      </c>
      <c r="K240" s="272"/>
      <c r="L240" s="275">
        <v>10</v>
      </c>
      <c r="M240" s="276">
        <v>0</v>
      </c>
      <c r="N240" s="276"/>
      <c r="O240" s="274">
        <v>5081.05</v>
      </c>
      <c r="P240" s="274"/>
      <c r="Q240" s="276">
        <v>883.66</v>
      </c>
      <c r="R240" s="276"/>
      <c r="S240" s="274">
        <v>5964.71</v>
      </c>
      <c r="T240" s="274"/>
      <c r="U240" s="274">
        <v>2871.9</v>
      </c>
      <c r="V240" s="274"/>
      <c r="W240" s="274"/>
      <c r="X240" s="277">
        <f t="shared" si="18"/>
        <v>2014</v>
      </c>
      <c r="Y240" s="277">
        <f t="shared" si="19"/>
        <v>4</v>
      </c>
      <c r="Z240" s="278"/>
      <c r="AA240" s="278"/>
      <c r="AB240" s="278"/>
      <c r="AC240" s="278"/>
      <c r="AD240" s="278"/>
      <c r="AE240" s="278"/>
    </row>
    <row r="241" spans="1:31" s="260" customFormat="1" ht="11.25" customHeight="1" x14ac:dyDescent="0.2">
      <c r="A241" s="270"/>
      <c r="B241" s="271">
        <v>220</v>
      </c>
      <c r="C241" s="272" t="s">
        <v>193</v>
      </c>
      <c r="D241" s="272"/>
      <c r="E241" s="272"/>
      <c r="F241" s="272"/>
      <c r="G241" s="273">
        <v>41913</v>
      </c>
      <c r="H241" s="274">
        <v>4050</v>
      </c>
      <c r="I241" s="274"/>
      <c r="J241" s="272" t="s">
        <v>22</v>
      </c>
      <c r="K241" s="272"/>
      <c r="L241" s="275">
        <v>10</v>
      </c>
      <c r="M241" s="276">
        <v>0</v>
      </c>
      <c r="N241" s="276"/>
      <c r="O241" s="274">
        <v>2126.25</v>
      </c>
      <c r="P241" s="274"/>
      <c r="Q241" s="276">
        <v>405</v>
      </c>
      <c r="R241" s="276"/>
      <c r="S241" s="274">
        <v>2531.25</v>
      </c>
      <c r="T241" s="274"/>
      <c r="U241" s="274">
        <v>1518.75</v>
      </c>
      <c r="V241" s="274"/>
      <c r="W241" s="274"/>
      <c r="X241" s="277">
        <f t="shared" si="18"/>
        <v>2014</v>
      </c>
      <c r="Y241" s="277">
        <f t="shared" si="19"/>
        <v>10</v>
      </c>
      <c r="Z241" s="278"/>
      <c r="AA241" s="278"/>
      <c r="AB241" s="278"/>
      <c r="AC241" s="278"/>
      <c r="AD241" s="278"/>
      <c r="AE241" s="278"/>
    </row>
    <row r="242" spans="1:31" s="260" customFormat="1" ht="11.25" customHeight="1" x14ac:dyDescent="0.2">
      <c r="A242" s="270"/>
      <c r="B242" s="271">
        <v>221</v>
      </c>
      <c r="C242" s="272" t="s">
        <v>194</v>
      </c>
      <c r="D242" s="272"/>
      <c r="E242" s="272"/>
      <c r="F242" s="272"/>
      <c r="G242" s="273">
        <v>41913</v>
      </c>
      <c r="H242" s="274">
        <v>3618</v>
      </c>
      <c r="I242" s="274"/>
      <c r="J242" s="272" t="s">
        <v>22</v>
      </c>
      <c r="K242" s="272"/>
      <c r="L242" s="275">
        <v>10</v>
      </c>
      <c r="M242" s="276">
        <v>0</v>
      </c>
      <c r="N242" s="276"/>
      <c r="O242" s="274">
        <v>1899.45</v>
      </c>
      <c r="P242" s="274"/>
      <c r="Q242" s="276">
        <v>361.8</v>
      </c>
      <c r="R242" s="276"/>
      <c r="S242" s="274">
        <v>2261.25</v>
      </c>
      <c r="T242" s="274"/>
      <c r="U242" s="274">
        <v>1356.75</v>
      </c>
      <c r="V242" s="274"/>
      <c r="W242" s="274"/>
      <c r="X242" s="277">
        <f t="shared" si="18"/>
        <v>2014</v>
      </c>
      <c r="Y242" s="277">
        <f t="shared" si="19"/>
        <v>10</v>
      </c>
      <c r="Z242" s="278"/>
      <c r="AA242" s="278"/>
      <c r="AB242" s="278"/>
      <c r="AC242" s="278"/>
      <c r="AD242" s="278"/>
      <c r="AE242" s="278"/>
    </row>
    <row r="243" spans="1:31" s="260" customFormat="1" ht="11.25" customHeight="1" x14ac:dyDescent="0.2">
      <c r="A243" s="270"/>
      <c r="B243" s="271">
        <v>222</v>
      </c>
      <c r="C243" s="272" t="s">
        <v>188</v>
      </c>
      <c r="D243" s="272"/>
      <c r="E243" s="272"/>
      <c r="F243" s="272"/>
      <c r="G243" s="273">
        <v>41913</v>
      </c>
      <c r="H243" s="274">
        <v>4752</v>
      </c>
      <c r="I243" s="274"/>
      <c r="J243" s="272" t="s">
        <v>22</v>
      </c>
      <c r="K243" s="272"/>
      <c r="L243" s="275">
        <v>10</v>
      </c>
      <c r="M243" s="276">
        <v>0</v>
      </c>
      <c r="N243" s="276"/>
      <c r="O243" s="274">
        <v>2494.8000000000002</v>
      </c>
      <c r="P243" s="274"/>
      <c r="Q243" s="276">
        <v>475.2</v>
      </c>
      <c r="R243" s="276"/>
      <c r="S243" s="274">
        <v>2970</v>
      </c>
      <c r="T243" s="274"/>
      <c r="U243" s="274">
        <v>1782</v>
      </c>
      <c r="V243" s="274"/>
      <c r="W243" s="274"/>
      <c r="X243" s="277">
        <f t="shared" si="18"/>
        <v>2014</v>
      </c>
      <c r="Y243" s="277">
        <f t="shared" si="19"/>
        <v>10</v>
      </c>
      <c r="Z243" s="278"/>
      <c r="AA243" s="278"/>
      <c r="AB243" s="278"/>
      <c r="AC243" s="278"/>
      <c r="AD243" s="278"/>
      <c r="AE243" s="278"/>
    </row>
    <row r="244" spans="1:31" s="260" customFormat="1" ht="11.25" customHeight="1" x14ac:dyDescent="0.2">
      <c r="A244" s="270"/>
      <c r="B244" s="271">
        <v>223</v>
      </c>
      <c r="C244" s="272" t="s">
        <v>188</v>
      </c>
      <c r="D244" s="272"/>
      <c r="E244" s="272"/>
      <c r="F244" s="272"/>
      <c r="G244" s="273">
        <v>41989</v>
      </c>
      <c r="H244" s="274">
        <v>4400</v>
      </c>
      <c r="I244" s="274"/>
      <c r="J244" s="272" t="s">
        <v>22</v>
      </c>
      <c r="K244" s="272"/>
      <c r="L244" s="275">
        <v>10</v>
      </c>
      <c r="M244" s="276">
        <v>0</v>
      </c>
      <c r="N244" s="276"/>
      <c r="O244" s="274">
        <v>2236.67</v>
      </c>
      <c r="P244" s="274"/>
      <c r="Q244" s="276">
        <v>440</v>
      </c>
      <c r="R244" s="276"/>
      <c r="S244" s="274">
        <v>2676.67</v>
      </c>
      <c r="T244" s="274"/>
      <c r="U244" s="274">
        <v>1723.33</v>
      </c>
      <c r="V244" s="274"/>
      <c r="W244" s="274"/>
      <c r="X244" s="277">
        <f t="shared" si="18"/>
        <v>2014</v>
      </c>
      <c r="Y244" s="277">
        <f t="shared" si="19"/>
        <v>12</v>
      </c>
      <c r="Z244" s="278"/>
      <c r="AA244" s="278"/>
      <c r="AB244" s="278"/>
      <c r="AC244" s="278"/>
      <c r="AD244" s="278"/>
      <c r="AE244" s="278"/>
    </row>
    <row r="245" spans="1:31" s="260" customFormat="1" ht="11.25" customHeight="1" x14ac:dyDescent="0.2">
      <c r="A245" s="270"/>
      <c r="B245" s="271">
        <v>229</v>
      </c>
      <c r="C245" s="272" t="s">
        <v>189</v>
      </c>
      <c r="D245" s="272"/>
      <c r="E245" s="272"/>
      <c r="F245" s="272"/>
      <c r="G245" s="273">
        <v>42063</v>
      </c>
      <c r="H245" s="274">
        <v>8100</v>
      </c>
      <c r="I245" s="274"/>
      <c r="J245" s="272" t="s">
        <v>22</v>
      </c>
      <c r="K245" s="272"/>
      <c r="L245" s="275">
        <v>10</v>
      </c>
      <c r="M245" s="276">
        <v>0</v>
      </c>
      <c r="N245" s="276"/>
      <c r="O245" s="274">
        <v>3982.5</v>
      </c>
      <c r="P245" s="274"/>
      <c r="Q245" s="276">
        <v>810</v>
      </c>
      <c r="R245" s="276"/>
      <c r="S245" s="274">
        <v>4792.5</v>
      </c>
      <c r="T245" s="274"/>
      <c r="U245" s="274">
        <v>3307.5</v>
      </c>
      <c r="V245" s="274"/>
      <c r="W245" s="274"/>
      <c r="X245" s="277">
        <f t="shared" si="18"/>
        <v>2015</v>
      </c>
      <c r="Y245" s="277">
        <f t="shared" si="19"/>
        <v>2</v>
      </c>
      <c r="Z245" s="278"/>
      <c r="AA245" s="278"/>
      <c r="AB245" s="278"/>
      <c r="AC245" s="278"/>
      <c r="AD245" s="278"/>
      <c r="AE245" s="278"/>
    </row>
    <row r="246" spans="1:31" s="260" customFormat="1" ht="11.25" customHeight="1" x14ac:dyDescent="0.2">
      <c r="A246" s="270"/>
      <c r="B246" s="271">
        <v>230</v>
      </c>
      <c r="C246" s="272" t="s">
        <v>188</v>
      </c>
      <c r="D246" s="272"/>
      <c r="E246" s="272"/>
      <c r="F246" s="272"/>
      <c r="G246" s="273">
        <v>42063</v>
      </c>
      <c r="H246" s="274">
        <v>4752</v>
      </c>
      <c r="I246" s="274"/>
      <c r="J246" s="272" t="s">
        <v>22</v>
      </c>
      <c r="K246" s="272"/>
      <c r="L246" s="275">
        <v>10</v>
      </c>
      <c r="M246" s="276">
        <v>0</v>
      </c>
      <c r="N246" s="276"/>
      <c r="O246" s="274">
        <v>2336.4</v>
      </c>
      <c r="P246" s="274"/>
      <c r="Q246" s="276">
        <v>475.2</v>
      </c>
      <c r="R246" s="276"/>
      <c r="S246" s="274">
        <v>2811.6</v>
      </c>
      <c r="T246" s="274"/>
      <c r="U246" s="274">
        <v>1940.4</v>
      </c>
      <c r="V246" s="274"/>
      <c r="W246" s="274"/>
      <c r="X246" s="277">
        <f t="shared" si="18"/>
        <v>2015</v>
      </c>
      <c r="Y246" s="277">
        <f t="shared" si="19"/>
        <v>2</v>
      </c>
      <c r="Z246" s="278"/>
      <c r="AA246" s="278"/>
      <c r="AB246" s="278"/>
      <c r="AC246" s="278"/>
      <c r="AD246" s="278"/>
      <c r="AE246" s="278"/>
    </row>
    <row r="247" spans="1:31" s="260" customFormat="1" ht="11.25" customHeight="1" x14ac:dyDescent="0.2">
      <c r="A247" s="270"/>
      <c r="B247" s="271">
        <v>231</v>
      </c>
      <c r="C247" s="272" t="s">
        <v>195</v>
      </c>
      <c r="D247" s="272"/>
      <c r="E247" s="272"/>
      <c r="F247" s="272"/>
      <c r="G247" s="273">
        <v>42063</v>
      </c>
      <c r="H247" s="274">
        <v>16740</v>
      </c>
      <c r="I247" s="274"/>
      <c r="J247" s="272" t="s">
        <v>22</v>
      </c>
      <c r="K247" s="272"/>
      <c r="L247" s="275">
        <v>10</v>
      </c>
      <c r="M247" s="276">
        <v>0</v>
      </c>
      <c r="N247" s="276"/>
      <c r="O247" s="274">
        <v>8230.5</v>
      </c>
      <c r="P247" s="274"/>
      <c r="Q247" s="274">
        <v>1674</v>
      </c>
      <c r="R247" s="274"/>
      <c r="S247" s="274">
        <v>9904.5</v>
      </c>
      <c r="T247" s="274"/>
      <c r="U247" s="274">
        <v>6835.5</v>
      </c>
      <c r="V247" s="274"/>
      <c r="W247" s="274"/>
      <c r="X247" s="277">
        <f t="shared" si="18"/>
        <v>2015</v>
      </c>
      <c r="Y247" s="277">
        <f t="shared" si="19"/>
        <v>2</v>
      </c>
      <c r="Z247" s="278"/>
      <c r="AA247" s="278"/>
      <c r="AB247" s="278"/>
      <c r="AC247" s="278"/>
      <c r="AD247" s="278"/>
      <c r="AE247" s="278"/>
    </row>
    <row r="248" spans="1:31" s="260" customFormat="1" ht="11.25" customHeight="1" x14ac:dyDescent="0.2">
      <c r="A248" s="270"/>
      <c r="B248" s="271">
        <v>232</v>
      </c>
      <c r="C248" s="272" t="s">
        <v>196</v>
      </c>
      <c r="D248" s="272"/>
      <c r="E248" s="272"/>
      <c r="F248" s="272"/>
      <c r="G248" s="273">
        <v>42156</v>
      </c>
      <c r="H248" s="274">
        <v>2384.8000000000002</v>
      </c>
      <c r="I248" s="274"/>
      <c r="J248" s="272" t="s">
        <v>22</v>
      </c>
      <c r="K248" s="272"/>
      <c r="L248" s="275">
        <v>10</v>
      </c>
      <c r="M248" s="276">
        <v>0</v>
      </c>
      <c r="N248" s="276"/>
      <c r="O248" s="274">
        <v>1093.03</v>
      </c>
      <c r="P248" s="274"/>
      <c r="Q248" s="276">
        <v>238.48</v>
      </c>
      <c r="R248" s="276"/>
      <c r="S248" s="274">
        <v>1331.51</v>
      </c>
      <c r="T248" s="274"/>
      <c r="U248" s="274">
        <v>1053.29</v>
      </c>
      <c r="V248" s="274"/>
      <c r="W248" s="274"/>
      <c r="X248" s="277">
        <f t="shared" si="18"/>
        <v>2015</v>
      </c>
      <c r="Y248" s="277">
        <f t="shared" si="19"/>
        <v>6</v>
      </c>
      <c r="Z248" s="278"/>
      <c r="AA248" s="278"/>
      <c r="AB248" s="278"/>
      <c r="AC248" s="278"/>
      <c r="AD248" s="278"/>
      <c r="AE248" s="278"/>
    </row>
    <row r="249" spans="1:31" s="260" customFormat="1" ht="11.25" customHeight="1" x14ac:dyDescent="0.2">
      <c r="A249" s="270"/>
      <c r="B249" s="271">
        <v>235</v>
      </c>
      <c r="C249" s="272" t="s">
        <v>197</v>
      </c>
      <c r="D249" s="272"/>
      <c r="E249" s="272"/>
      <c r="F249" s="272"/>
      <c r="G249" s="273">
        <v>42309</v>
      </c>
      <c r="H249" s="274">
        <v>2384.8000000000002</v>
      </c>
      <c r="I249" s="274"/>
      <c r="J249" s="272" t="s">
        <v>22</v>
      </c>
      <c r="K249" s="272"/>
      <c r="L249" s="275">
        <v>10</v>
      </c>
      <c r="M249" s="276">
        <v>0</v>
      </c>
      <c r="N249" s="276"/>
      <c r="O249" s="276">
        <v>993.67</v>
      </c>
      <c r="P249" s="276"/>
      <c r="Q249" s="276">
        <v>238.48</v>
      </c>
      <c r="R249" s="276"/>
      <c r="S249" s="274">
        <v>1232.1500000000001</v>
      </c>
      <c r="T249" s="274"/>
      <c r="U249" s="274">
        <v>1152.6500000000001</v>
      </c>
      <c r="V249" s="274"/>
      <c r="W249" s="274"/>
      <c r="X249" s="277">
        <f t="shared" si="18"/>
        <v>2015</v>
      </c>
      <c r="Y249" s="277">
        <f t="shared" si="19"/>
        <v>11</v>
      </c>
      <c r="Z249" s="278"/>
      <c r="AA249" s="278"/>
      <c r="AB249" s="278"/>
      <c r="AC249" s="278"/>
      <c r="AD249" s="278"/>
      <c r="AE249" s="278"/>
    </row>
    <row r="250" spans="1:31" s="260" customFormat="1" ht="11.25" customHeight="1" x14ac:dyDescent="0.2">
      <c r="A250" s="270"/>
      <c r="B250" s="271">
        <v>236</v>
      </c>
      <c r="C250" s="272" t="s">
        <v>198</v>
      </c>
      <c r="D250" s="272"/>
      <c r="E250" s="272"/>
      <c r="F250" s="272"/>
      <c r="G250" s="273">
        <v>42278</v>
      </c>
      <c r="H250" s="274">
        <v>3631.4</v>
      </c>
      <c r="I250" s="274"/>
      <c r="J250" s="272" t="s">
        <v>22</v>
      </c>
      <c r="K250" s="272"/>
      <c r="L250" s="275">
        <v>10</v>
      </c>
      <c r="M250" s="276">
        <v>0</v>
      </c>
      <c r="N250" s="276"/>
      <c r="O250" s="274">
        <v>1543.35</v>
      </c>
      <c r="P250" s="274"/>
      <c r="Q250" s="276">
        <v>363.14</v>
      </c>
      <c r="R250" s="276"/>
      <c r="S250" s="274">
        <v>1906.49</v>
      </c>
      <c r="T250" s="274"/>
      <c r="U250" s="274">
        <v>1724.91</v>
      </c>
      <c r="V250" s="274"/>
      <c r="W250" s="274"/>
      <c r="X250" s="277">
        <f t="shared" si="18"/>
        <v>2015</v>
      </c>
      <c r="Y250" s="277">
        <f t="shared" si="19"/>
        <v>10</v>
      </c>
      <c r="Z250" s="278"/>
      <c r="AA250" s="278"/>
      <c r="AB250" s="278"/>
      <c r="AC250" s="278"/>
      <c r="AD250" s="278"/>
      <c r="AE250" s="278"/>
    </row>
    <row r="251" spans="1:31" s="260" customFormat="1" ht="11.25" customHeight="1" x14ac:dyDescent="0.2">
      <c r="A251" s="270"/>
      <c r="B251" s="271">
        <v>237</v>
      </c>
      <c r="C251" s="272" t="s">
        <v>199</v>
      </c>
      <c r="D251" s="272"/>
      <c r="E251" s="272"/>
      <c r="F251" s="272"/>
      <c r="G251" s="273">
        <v>42278</v>
      </c>
      <c r="H251" s="274">
        <v>4769.1499999999996</v>
      </c>
      <c r="I251" s="274"/>
      <c r="J251" s="272" t="s">
        <v>22</v>
      </c>
      <c r="K251" s="272"/>
      <c r="L251" s="275">
        <v>10</v>
      </c>
      <c r="M251" s="276">
        <v>0</v>
      </c>
      <c r="N251" s="276"/>
      <c r="O251" s="274">
        <v>2026.91</v>
      </c>
      <c r="P251" s="274"/>
      <c r="Q251" s="276">
        <v>476.92</v>
      </c>
      <c r="R251" s="276"/>
      <c r="S251" s="274">
        <v>2503.83</v>
      </c>
      <c r="T251" s="274"/>
      <c r="U251" s="274">
        <v>2265.3200000000002</v>
      </c>
      <c r="V251" s="274"/>
      <c r="W251" s="274"/>
      <c r="X251" s="277">
        <f t="shared" si="18"/>
        <v>2015</v>
      </c>
      <c r="Y251" s="277">
        <f t="shared" si="19"/>
        <v>10</v>
      </c>
      <c r="Z251" s="278"/>
      <c r="AA251" s="278"/>
      <c r="AB251" s="278"/>
      <c r="AC251" s="278"/>
      <c r="AD251" s="278"/>
      <c r="AE251" s="278"/>
    </row>
    <row r="252" spans="1:31" s="260" customFormat="1" ht="11.25" customHeight="1" x14ac:dyDescent="0.2">
      <c r="A252" s="270"/>
      <c r="B252" s="271">
        <v>238</v>
      </c>
      <c r="C252" s="272" t="s">
        <v>200</v>
      </c>
      <c r="D252" s="272"/>
      <c r="E252" s="272"/>
      <c r="F252" s="272"/>
      <c r="G252" s="273">
        <v>42309</v>
      </c>
      <c r="H252" s="274">
        <v>4065</v>
      </c>
      <c r="I252" s="274"/>
      <c r="J252" s="272" t="s">
        <v>22</v>
      </c>
      <c r="K252" s="272"/>
      <c r="L252" s="275">
        <v>10</v>
      </c>
      <c r="M252" s="276">
        <v>0</v>
      </c>
      <c r="N252" s="276"/>
      <c r="O252" s="274">
        <v>1693.75</v>
      </c>
      <c r="P252" s="274"/>
      <c r="Q252" s="276">
        <v>406.5</v>
      </c>
      <c r="R252" s="276"/>
      <c r="S252" s="274">
        <v>2100.25</v>
      </c>
      <c r="T252" s="274"/>
      <c r="U252" s="274">
        <v>1964.75</v>
      </c>
      <c r="V252" s="274"/>
      <c r="W252" s="274"/>
      <c r="X252" s="277">
        <f t="shared" si="18"/>
        <v>2015</v>
      </c>
      <c r="Y252" s="277">
        <f t="shared" si="19"/>
        <v>11</v>
      </c>
      <c r="Z252" s="278"/>
      <c r="AA252" s="278"/>
      <c r="AB252" s="278"/>
      <c r="AC252" s="278"/>
      <c r="AD252" s="278"/>
      <c r="AE252" s="278"/>
    </row>
    <row r="253" spans="1:31" s="260" customFormat="1" ht="11.25" customHeight="1" x14ac:dyDescent="0.2">
      <c r="A253" s="270"/>
      <c r="B253" s="271">
        <v>241</v>
      </c>
      <c r="C253" s="272" t="s">
        <v>197</v>
      </c>
      <c r="D253" s="272"/>
      <c r="E253" s="272"/>
      <c r="F253" s="272"/>
      <c r="G253" s="273">
        <v>42369</v>
      </c>
      <c r="H253" s="274">
        <v>2384.8000000000002</v>
      </c>
      <c r="I253" s="274"/>
      <c r="J253" s="272" t="s">
        <v>22</v>
      </c>
      <c r="K253" s="272"/>
      <c r="L253" s="275">
        <v>10</v>
      </c>
      <c r="M253" s="276">
        <v>0</v>
      </c>
      <c r="N253" s="276"/>
      <c r="O253" s="276">
        <v>973.79</v>
      </c>
      <c r="P253" s="276"/>
      <c r="Q253" s="276">
        <v>238.48</v>
      </c>
      <c r="R253" s="276"/>
      <c r="S253" s="274">
        <v>1212.27</v>
      </c>
      <c r="T253" s="274"/>
      <c r="U253" s="274">
        <v>1172.53</v>
      </c>
      <c r="V253" s="274"/>
      <c r="W253" s="274"/>
      <c r="X253" s="277">
        <f t="shared" si="18"/>
        <v>2015</v>
      </c>
      <c r="Y253" s="277">
        <f t="shared" si="19"/>
        <v>12</v>
      </c>
      <c r="Z253" s="278"/>
      <c r="AA253" s="278"/>
      <c r="AB253" s="278"/>
      <c r="AC253" s="278"/>
      <c r="AD253" s="278"/>
      <c r="AE253" s="278"/>
    </row>
    <row r="254" spans="1:31" s="260" customFormat="1" ht="11.25" customHeight="1" x14ac:dyDescent="0.2">
      <c r="A254" s="270"/>
      <c r="B254" s="271">
        <v>242</v>
      </c>
      <c r="C254" s="272" t="s">
        <v>197</v>
      </c>
      <c r="D254" s="272"/>
      <c r="E254" s="272"/>
      <c r="F254" s="272"/>
      <c r="G254" s="273">
        <v>42369</v>
      </c>
      <c r="H254" s="274">
        <v>2384.8000000000002</v>
      </c>
      <c r="I254" s="274"/>
      <c r="J254" s="272" t="s">
        <v>22</v>
      </c>
      <c r="K254" s="272"/>
      <c r="L254" s="275">
        <v>10</v>
      </c>
      <c r="M254" s="276">
        <v>0</v>
      </c>
      <c r="N254" s="276"/>
      <c r="O254" s="276">
        <v>973.79</v>
      </c>
      <c r="P254" s="276"/>
      <c r="Q254" s="276">
        <v>238.48</v>
      </c>
      <c r="R254" s="276"/>
      <c r="S254" s="274">
        <v>1212.27</v>
      </c>
      <c r="T254" s="274"/>
      <c r="U254" s="274">
        <v>1172.53</v>
      </c>
      <c r="V254" s="274"/>
      <c r="W254" s="274"/>
      <c r="X254" s="277">
        <f t="shared" si="18"/>
        <v>2015</v>
      </c>
      <c r="Y254" s="277">
        <f t="shared" si="19"/>
        <v>12</v>
      </c>
      <c r="Z254" s="278"/>
      <c r="AA254" s="278"/>
      <c r="AB254" s="278"/>
      <c r="AC254" s="278"/>
      <c r="AD254" s="278"/>
      <c r="AE254" s="278"/>
    </row>
    <row r="255" spans="1:31" s="260" customFormat="1" ht="11.25" customHeight="1" x14ac:dyDescent="0.2">
      <c r="A255" s="270"/>
      <c r="B255" s="271">
        <v>243</v>
      </c>
      <c r="C255" s="272" t="s">
        <v>201</v>
      </c>
      <c r="D255" s="272"/>
      <c r="E255" s="272"/>
      <c r="F255" s="272"/>
      <c r="G255" s="273">
        <v>42396</v>
      </c>
      <c r="H255" s="274">
        <v>3631.4</v>
      </c>
      <c r="I255" s="274"/>
      <c r="J255" s="272" t="s">
        <v>22</v>
      </c>
      <c r="K255" s="272"/>
      <c r="L255" s="275">
        <v>10</v>
      </c>
      <c r="M255" s="276">
        <v>0</v>
      </c>
      <c r="N255" s="276"/>
      <c r="O255" s="274">
        <v>1452.56</v>
      </c>
      <c r="P255" s="274"/>
      <c r="Q255" s="276">
        <v>363.14</v>
      </c>
      <c r="R255" s="276"/>
      <c r="S255" s="274">
        <v>1815.7</v>
      </c>
      <c r="T255" s="274"/>
      <c r="U255" s="274">
        <v>1815.7</v>
      </c>
      <c r="V255" s="274"/>
      <c r="W255" s="274"/>
      <c r="X255" s="277">
        <f t="shared" si="18"/>
        <v>2016</v>
      </c>
      <c r="Y255" s="277">
        <f t="shared" si="19"/>
        <v>1</v>
      </c>
      <c r="Z255" s="278"/>
      <c r="AA255" s="278"/>
      <c r="AB255" s="278"/>
      <c r="AC255" s="278"/>
      <c r="AD255" s="278"/>
      <c r="AE255" s="278"/>
    </row>
    <row r="256" spans="1:31" s="260" customFormat="1" ht="11.25" customHeight="1" x14ac:dyDescent="0.2">
      <c r="A256" s="270"/>
      <c r="B256" s="271">
        <v>244</v>
      </c>
      <c r="C256" s="272" t="s">
        <v>202</v>
      </c>
      <c r="D256" s="272"/>
      <c r="E256" s="272"/>
      <c r="F256" s="272"/>
      <c r="G256" s="273">
        <v>42396</v>
      </c>
      <c r="H256" s="274">
        <v>4065</v>
      </c>
      <c r="I256" s="274"/>
      <c r="J256" s="272" t="s">
        <v>22</v>
      </c>
      <c r="K256" s="272"/>
      <c r="L256" s="275">
        <v>10</v>
      </c>
      <c r="M256" s="276">
        <v>0</v>
      </c>
      <c r="N256" s="276"/>
      <c r="O256" s="274">
        <v>1626</v>
      </c>
      <c r="P256" s="274"/>
      <c r="Q256" s="276">
        <v>406.5</v>
      </c>
      <c r="R256" s="276"/>
      <c r="S256" s="274">
        <v>2032.5</v>
      </c>
      <c r="T256" s="274"/>
      <c r="U256" s="274">
        <v>2032.5</v>
      </c>
      <c r="V256" s="274"/>
      <c r="W256" s="274"/>
      <c r="X256" s="277">
        <f t="shared" si="18"/>
        <v>2016</v>
      </c>
      <c r="Y256" s="277">
        <f t="shared" si="19"/>
        <v>1</v>
      </c>
      <c r="Z256" s="278"/>
      <c r="AA256" s="278"/>
      <c r="AB256" s="278"/>
      <c r="AC256" s="278"/>
      <c r="AD256" s="278"/>
      <c r="AE256" s="278"/>
    </row>
    <row r="257" spans="1:31" s="260" customFormat="1" ht="11.25" customHeight="1" x14ac:dyDescent="0.2">
      <c r="A257" s="270"/>
      <c r="B257" s="271">
        <v>245</v>
      </c>
      <c r="C257" s="272" t="s">
        <v>203</v>
      </c>
      <c r="D257" s="272"/>
      <c r="E257" s="272"/>
      <c r="F257" s="272"/>
      <c r="G257" s="273">
        <v>42426</v>
      </c>
      <c r="H257" s="274">
        <v>4769.6000000000004</v>
      </c>
      <c r="I257" s="274"/>
      <c r="J257" s="272" t="s">
        <v>22</v>
      </c>
      <c r="K257" s="272"/>
      <c r="L257" s="275">
        <v>10</v>
      </c>
      <c r="M257" s="276">
        <v>0</v>
      </c>
      <c r="N257" s="276"/>
      <c r="O257" s="274">
        <v>1868.09</v>
      </c>
      <c r="P257" s="274"/>
      <c r="Q257" s="276">
        <v>476.96</v>
      </c>
      <c r="R257" s="276"/>
      <c r="S257" s="274">
        <v>2345.0500000000002</v>
      </c>
      <c r="T257" s="274"/>
      <c r="U257" s="274">
        <v>2424.5500000000002</v>
      </c>
      <c r="V257" s="274"/>
      <c r="W257" s="274"/>
      <c r="X257" s="277">
        <f t="shared" si="18"/>
        <v>2016</v>
      </c>
      <c r="Y257" s="277">
        <f t="shared" si="19"/>
        <v>2</v>
      </c>
      <c r="Z257" s="278"/>
      <c r="AA257" s="278"/>
      <c r="AB257" s="278"/>
      <c r="AC257" s="278"/>
      <c r="AD257" s="278"/>
      <c r="AE257" s="278"/>
    </row>
    <row r="258" spans="1:31" s="260" customFormat="1" ht="11.25" customHeight="1" x14ac:dyDescent="0.2">
      <c r="A258" s="270"/>
      <c r="B258" s="271">
        <v>248</v>
      </c>
      <c r="C258" s="272" t="s">
        <v>202</v>
      </c>
      <c r="D258" s="272"/>
      <c r="E258" s="272"/>
      <c r="F258" s="272"/>
      <c r="G258" s="273">
        <v>42513</v>
      </c>
      <c r="H258" s="274">
        <v>4254.7</v>
      </c>
      <c r="I258" s="274"/>
      <c r="J258" s="272" t="s">
        <v>22</v>
      </c>
      <c r="K258" s="272"/>
      <c r="L258" s="275">
        <v>10</v>
      </c>
      <c r="M258" s="276">
        <v>0</v>
      </c>
      <c r="N258" s="276"/>
      <c r="O258" s="274">
        <v>1560.06</v>
      </c>
      <c r="P258" s="274"/>
      <c r="Q258" s="276">
        <v>425.47</v>
      </c>
      <c r="R258" s="276"/>
      <c r="S258" s="274">
        <v>1985.53</v>
      </c>
      <c r="T258" s="274"/>
      <c r="U258" s="274">
        <v>2269.17</v>
      </c>
      <c r="V258" s="274"/>
      <c r="W258" s="274"/>
      <c r="X258" s="277">
        <f t="shared" si="18"/>
        <v>2016</v>
      </c>
      <c r="Y258" s="277">
        <f t="shared" si="19"/>
        <v>5</v>
      </c>
      <c r="Z258" s="278"/>
      <c r="AA258" s="278"/>
      <c r="AB258" s="278"/>
      <c r="AC258" s="278"/>
      <c r="AD258" s="278"/>
      <c r="AE258" s="278"/>
    </row>
    <row r="259" spans="1:31" s="260" customFormat="1" ht="11.25" customHeight="1" x14ac:dyDescent="0.2">
      <c r="A259" s="270"/>
      <c r="B259" s="271">
        <v>249</v>
      </c>
      <c r="C259" s="272" t="s">
        <v>202</v>
      </c>
      <c r="D259" s="272"/>
      <c r="E259" s="272"/>
      <c r="F259" s="272"/>
      <c r="G259" s="273">
        <v>42485</v>
      </c>
      <c r="H259" s="274">
        <v>4065</v>
      </c>
      <c r="I259" s="274"/>
      <c r="J259" s="272" t="s">
        <v>22</v>
      </c>
      <c r="K259" s="272"/>
      <c r="L259" s="275">
        <v>10</v>
      </c>
      <c r="M259" s="276">
        <v>0</v>
      </c>
      <c r="N259" s="276"/>
      <c r="O259" s="274">
        <v>1524.38</v>
      </c>
      <c r="P259" s="274"/>
      <c r="Q259" s="276">
        <v>406.5</v>
      </c>
      <c r="R259" s="276"/>
      <c r="S259" s="274">
        <v>1930.88</v>
      </c>
      <c r="T259" s="274"/>
      <c r="U259" s="274">
        <v>2134.12</v>
      </c>
      <c r="V259" s="274"/>
      <c r="W259" s="274"/>
      <c r="X259" s="277">
        <f t="shared" si="18"/>
        <v>2016</v>
      </c>
      <c r="Y259" s="277">
        <f t="shared" si="19"/>
        <v>4</v>
      </c>
      <c r="Z259" s="278"/>
      <c r="AA259" s="278"/>
      <c r="AB259" s="278"/>
      <c r="AC259" s="278"/>
      <c r="AD259" s="278"/>
      <c r="AE259" s="278"/>
    </row>
    <row r="260" spans="1:31" s="260" customFormat="1" ht="11.25" customHeight="1" x14ac:dyDescent="0.2">
      <c r="A260" s="270"/>
      <c r="B260" s="271">
        <v>250</v>
      </c>
      <c r="C260" s="272" t="s">
        <v>204</v>
      </c>
      <c r="D260" s="272"/>
      <c r="E260" s="272"/>
      <c r="F260" s="272"/>
      <c r="G260" s="273">
        <v>42542</v>
      </c>
      <c r="H260" s="274">
        <v>5040.6000000000004</v>
      </c>
      <c r="I260" s="274"/>
      <c r="J260" s="272" t="s">
        <v>22</v>
      </c>
      <c r="K260" s="272"/>
      <c r="L260" s="275">
        <v>10</v>
      </c>
      <c r="M260" s="276">
        <v>0</v>
      </c>
      <c r="N260" s="276"/>
      <c r="O260" s="274">
        <v>1806.22</v>
      </c>
      <c r="P260" s="274"/>
      <c r="Q260" s="276">
        <v>504.06</v>
      </c>
      <c r="R260" s="276"/>
      <c r="S260" s="274">
        <v>2310.2800000000002</v>
      </c>
      <c r="T260" s="274"/>
      <c r="U260" s="274">
        <v>2730.32</v>
      </c>
      <c r="V260" s="274"/>
      <c r="W260" s="274"/>
      <c r="X260" s="277">
        <f t="shared" si="18"/>
        <v>2016</v>
      </c>
      <c r="Y260" s="277">
        <f t="shared" si="19"/>
        <v>6</v>
      </c>
      <c r="Z260" s="278"/>
      <c r="AA260" s="278"/>
      <c r="AB260" s="278"/>
      <c r="AC260" s="278"/>
      <c r="AD260" s="278"/>
      <c r="AE260" s="278"/>
    </row>
    <row r="261" spans="1:31" s="260" customFormat="1" ht="11.25" customHeight="1" x14ac:dyDescent="0.2">
      <c r="A261" s="270"/>
      <c r="B261" s="271">
        <v>251</v>
      </c>
      <c r="C261" s="272" t="s">
        <v>205</v>
      </c>
      <c r="D261" s="272"/>
      <c r="E261" s="272"/>
      <c r="F261" s="272"/>
      <c r="G261" s="273">
        <v>42564</v>
      </c>
      <c r="H261" s="274">
        <v>3631.39</v>
      </c>
      <c r="I261" s="274"/>
      <c r="J261" s="272" t="s">
        <v>22</v>
      </c>
      <c r="K261" s="272"/>
      <c r="L261" s="275">
        <v>10</v>
      </c>
      <c r="M261" s="276">
        <v>0</v>
      </c>
      <c r="N261" s="276"/>
      <c r="O261" s="274">
        <v>1270.99</v>
      </c>
      <c r="P261" s="274"/>
      <c r="Q261" s="276">
        <v>363.14</v>
      </c>
      <c r="R261" s="276"/>
      <c r="S261" s="274">
        <v>1634.13</v>
      </c>
      <c r="T261" s="274"/>
      <c r="U261" s="274">
        <v>1997.26</v>
      </c>
      <c r="V261" s="274"/>
      <c r="W261" s="274"/>
      <c r="X261" s="277">
        <f t="shared" si="18"/>
        <v>2016</v>
      </c>
      <c r="Y261" s="277">
        <f t="shared" si="19"/>
        <v>7</v>
      </c>
      <c r="Z261" s="278"/>
      <c r="AA261" s="278"/>
      <c r="AB261" s="278"/>
      <c r="AC261" s="278"/>
      <c r="AD261" s="278"/>
      <c r="AE261" s="278"/>
    </row>
    <row r="262" spans="1:31" s="260" customFormat="1" ht="11.25" customHeight="1" x14ac:dyDescent="0.2">
      <c r="A262" s="270"/>
      <c r="B262" s="271">
        <v>252</v>
      </c>
      <c r="C262" s="272" t="s">
        <v>201</v>
      </c>
      <c r="D262" s="272"/>
      <c r="E262" s="272"/>
      <c r="F262" s="272"/>
      <c r="G262" s="273">
        <v>42573</v>
      </c>
      <c r="H262" s="274">
        <v>4065</v>
      </c>
      <c r="I262" s="274"/>
      <c r="J262" s="272" t="s">
        <v>22</v>
      </c>
      <c r="K262" s="272"/>
      <c r="L262" s="275">
        <v>10</v>
      </c>
      <c r="M262" s="276">
        <v>0</v>
      </c>
      <c r="N262" s="276"/>
      <c r="O262" s="274">
        <v>1422.75</v>
      </c>
      <c r="P262" s="274"/>
      <c r="Q262" s="276">
        <v>406.5</v>
      </c>
      <c r="R262" s="276"/>
      <c r="S262" s="274">
        <v>1829.25</v>
      </c>
      <c r="T262" s="274"/>
      <c r="U262" s="274">
        <v>2235.75</v>
      </c>
      <c r="V262" s="274"/>
      <c r="W262" s="274"/>
      <c r="X262" s="277">
        <f t="shared" si="18"/>
        <v>2016</v>
      </c>
      <c r="Y262" s="277">
        <f t="shared" si="19"/>
        <v>7</v>
      </c>
      <c r="Z262" s="278"/>
      <c r="AA262" s="278"/>
      <c r="AB262" s="278"/>
      <c r="AC262" s="278"/>
      <c r="AD262" s="278"/>
      <c r="AE262" s="278"/>
    </row>
    <row r="263" spans="1:31" s="260" customFormat="1" ht="11.25" customHeight="1" x14ac:dyDescent="0.2">
      <c r="A263" s="270"/>
      <c r="B263" s="271">
        <v>253</v>
      </c>
      <c r="C263" s="272" t="s">
        <v>202</v>
      </c>
      <c r="D263" s="272"/>
      <c r="E263" s="272"/>
      <c r="F263" s="272"/>
      <c r="G263" s="273">
        <v>42643</v>
      </c>
      <c r="H263" s="274">
        <v>4065</v>
      </c>
      <c r="I263" s="274"/>
      <c r="J263" s="272" t="s">
        <v>22</v>
      </c>
      <c r="K263" s="272"/>
      <c r="L263" s="275">
        <v>10</v>
      </c>
      <c r="M263" s="276">
        <v>0</v>
      </c>
      <c r="N263" s="276"/>
      <c r="O263" s="274">
        <v>1355</v>
      </c>
      <c r="P263" s="274"/>
      <c r="Q263" s="276">
        <v>406.5</v>
      </c>
      <c r="R263" s="276"/>
      <c r="S263" s="274">
        <v>1761.5</v>
      </c>
      <c r="T263" s="274"/>
      <c r="U263" s="274">
        <v>2303.5</v>
      </c>
      <c r="V263" s="274"/>
      <c r="W263" s="274"/>
      <c r="X263" s="277">
        <f t="shared" si="18"/>
        <v>2016</v>
      </c>
      <c r="Y263" s="277">
        <f t="shared" si="19"/>
        <v>9</v>
      </c>
      <c r="Z263" s="278"/>
      <c r="AA263" s="278"/>
      <c r="AB263" s="278"/>
      <c r="AC263" s="278"/>
      <c r="AD263" s="278"/>
      <c r="AE263" s="278"/>
    </row>
    <row r="264" spans="1:31" s="260" customFormat="1" ht="11.25" customHeight="1" x14ac:dyDescent="0.2">
      <c r="A264" s="270"/>
      <c r="B264" s="271">
        <v>254</v>
      </c>
      <c r="C264" s="272" t="s">
        <v>202</v>
      </c>
      <c r="D264" s="272"/>
      <c r="E264" s="272"/>
      <c r="F264" s="272"/>
      <c r="G264" s="273">
        <v>42643</v>
      </c>
      <c r="H264" s="274">
        <v>4065</v>
      </c>
      <c r="I264" s="274"/>
      <c r="J264" s="272" t="s">
        <v>22</v>
      </c>
      <c r="K264" s="272"/>
      <c r="L264" s="275">
        <v>10</v>
      </c>
      <c r="M264" s="276">
        <v>0</v>
      </c>
      <c r="N264" s="276"/>
      <c r="O264" s="274">
        <v>1355</v>
      </c>
      <c r="P264" s="274"/>
      <c r="Q264" s="276">
        <v>406.5</v>
      </c>
      <c r="R264" s="276"/>
      <c r="S264" s="274">
        <v>1761.5</v>
      </c>
      <c r="T264" s="274"/>
      <c r="U264" s="274">
        <v>2303.5</v>
      </c>
      <c r="V264" s="274"/>
      <c r="W264" s="274"/>
      <c r="X264" s="277">
        <f t="shared" si="18"/>
        <v>2016</v>
      </c>
      <c r="Y264" s="277">
        <f t="shared" si="19"/>
        <v>9</v>
      </c>
      <c r="Z264" s="278"/>
      <c r="AA264" s="278"/>
      <c r="AB264" s="278"/>
      <c r="AC264" s="278"/>
      <c r="AD264" s="278"/>
      <c r="AE264" s="278"/>
    </row>
    <row r="265" spans="1:31" s="260" customFormat="1" ht="11.25" customHeight="1" x14ac:dyDescent="0.2">
      <c r="A265" s="270"/>
      <c r="B265" s="271">
        <v>258</v>
      </c>
      <c r="C265" s="272" t="s">
        <v>203</v>
      </c>
      <c r="D265" s="272"/>
      <c r="E265" s="272"/>
      <c r="F265" s="272"/>
      <c r="G265" s="273">
        <v>42677</v>
      </c>
      <c r="H265" s="274">
        <v>4769.6000000000004</v>
      </c>
      <c r="I265" s="274"/>
      <c r="J265" s="272" t="s">
        <v>22</v>
      </c>
      <c r="K265" s="272"/>
      <c r="L265" s="275">
        <v>10</v>
      </c>
      <c r="M265" s="276">
        <v>0</v>
      </c>
      <c r="N265" s="276"/>
      <c r="O265" s="274">
        <v>1510.37</v>
      </c>
      <c r="P265" s="274"/>
      <c r="Q265" s="276">
        <v>476.96</v>
      </c>
      <c r="R265" s="276"/>
      <c r="S265" s="274">
        <v>1987.33</v>
      </c>
      <c r="T265" s="274"/>
      <c r="U265" s="274">
        <v>2782.27</v>
      </c>
      <c r="V265" s="274"/>
      <c r="W265" s="274"/>
      <c r="X265" s="277">
        <f t="shared" si="18"/>
        <v>2016</v>
      </c>
      <c r="Y265" s="277">
        <f t="shared" si="19"/>
        <v>11</v>
      </c>
      <c r="Z265" s="278"/>
      <c r="AA265" s="278"/>
      <c r="AB265" s="278"/>
      <c r="AC265" s="278"/>
      <c r="AD265" s="278"/>
      <c r="AE265" s="278"/>
    </row>
    <row r="266" spans="1:31" s="260" customFormat="1" ht="11.25" customHeight="1" x14ac:dyDescent="0.2">
      <c r="A266" s="270"/>
      <c r="B266" s="271">
        <v>259</v>
      </c>
      <c r="C266" s="272" t="s">
        <v>202</v>
      </c>
      <c r="D266" s="272"/>
      <c r="E266" s="272"/>
      <c r="F266" s="272"/>
      <c r="G266" s="273">
        <v>42716</v>
      </c>
      <c r="H266" s="274">
        <v>4065</v>
      </c>
      <c r="I266" s="274"/>
      <c r="J266" s="272" t="s">
        <v>22</v>
      </c>
      <c r="K266" s="272"/>
      <c r="L266" s="275">
        <v>10</v>
      </c>
      <c r="M266" s="276">
        <v>0</v>
      </c>
      <c r="N266" s="276"/>
      <c r="O266" s="274">
        <v>1253.3800000000001</v>
      </c>
      <c r="P266" s="274"/>
      <c r="Q266" s="276">
        <v>406.5</v>
      </c>
      <c r="R266" s="276"/>
      <c r="S266" s="274">
        <v>1659.88</v>
      </c>
      <c r="T266" s="274"/>
      <c r="U266" s="274">
        <v>2405.12</v>
      </c>
      <c r="V266" s="274"/>
      <c r="W266" s="274"/>
      <c r="X266" s="277">
        <f t="shared" si="18"/>
        <v>2016</v>
      </c>
      <c r="Y266" s="277">
        <f t="shared" si="19"/>
        <v>12</v>
      </c>
      <c r="Z266" s="278"/>
      <c r="AA266" s="278"/>
      <c r="AB266" s="278"/>
      <c r="AC266" s="278"/>
      <c r="AD266" s="278"/>
      <c r="AE266" s="278"/>
    </row>
    <row r="267" spans="1:31" s="260" customFormat="1" ht="11.25" customHeight="1" x14ac:dyDescent="0.2">
      <c r="A267" s="270"/>
      <c r="B267" s="271">
        <v>263</v>
      </c>
      <c r="C267" s="272" t="s">
        <v>206</v>
      </c>
      <c r="D267" s="272"/>
      <c r="E267" s="272"/>
      <c r="F267" s="272"/>
      <c r="G267" s="273">
        <v>42758</v>
      </c>
      <c r="H267" s="274">
        <v>3338.72</v>
      </c>
      <c r="I267" s="274"/>
      <c r="J267" s="272" t="s">
        <v>22</v>
      </c>
      <c r="K267" s="272"/>
      <c r="L267" s="275">
        <v>10</v>
      </c>
      <c r="M267" s="276">
        <v>0</v>
      </c>
      <c r="N267" s="276"/>
      <c r="O267" s="274">
        <v>1001.61</v>
      </c>
      <c r="P267" s="274"/>
      <c r="Q267" s="276">
        <v>333.87</v>
      </c>
      <c r="R267" s="276"/>
      <c r="S267" s="274">
        <v>1335.48</v>
      </c>
      <c r="T267" s="274"/>
      <c r="U267" s="274">
        <v>2003.24</v>
      </c>
      <c r="V267" s="274"/>
      <c r="W267" s="274"/>
      <c r="X267" s="277">
        <f t="shared" si="18"/>
        <v>2017</v>
      </c>
      <c r="Y267" s="277">
        <f t="shared" si="19"/>
        <v>1</v>
      </c>
      <c r="Z267" s="278"/>
      <c r="AA267" s="278"/>
      <c r="AB267" s="278"/>
      <c r="AC267" s="278"/>
      <c r="AD267" s="278"/>
      <c r="AE267" s="278"/>
    </row>
    <row r="268" spans="1:31" s="260" customFormat="1" ht="11.25" customHeight="1" x14ac:dyDescent="0.2">
      <c r="A268" s="270"/>
      <c r="B268" s="271">
        <v>264</v>
      </c>
      <c r="C268" s="272" t="s">
        <v>207</v>
      </c>
      <c r="D268" s="272"/>
      <c r="E268" s="272"/>
      <c r="F268" s="272"/>
      <c r="G268" s="273">
        <v>42769</v>
      </c>
      <c r="H268" s="274">
        <v>2851.2</v>
      </c>
      <c r="I268" s="274"/>
      <c r="J268" s="272" t="s">
        <v>22</v>
      </c>
      <c r="K268" s="272"/>
      <c r="L268" s="275">
        <v>10</v>
      </c>
      <c r="M268" s="276">
        <v>0</v>
      </c>
      <c r="N268" s="276"/>
      <c r="O268" s="276">
        <v>831.6</v>
      </c>
      <c r="P268" s="276"/>
      <c r="Q268" s="276">
        <v>285.12</v>
      </c>
      <c r="R268" s="276"/>
      <c r="S268" s="274">
        <v>1116.72</v>
      </c>
      <c r="T268" s="274"/>
      <c r="U268" s="274">
        <v>1734.48</v>
      </c>
      <c r="V268" s="274"/>
      <c r="W268" s="274"/>
      <c r="X268" s="277">
        <f t="shared" si="18"/>
        <v>2017</v>
      </c>
      <c r="Y268" s="277">
        <f t="shared" si="19"/>
        <v>2</v>
      </c>
      <c r="Z268" s="278"/>
      <c r="AA268" s="278"/>
      <c r="AB268" s="278"/>
      <c r="AC268" s="278"/>
      <c r="AD268" s="278"/>
      <c r="AE268" s="278"/>
    </row>
    <row r="269" spans="1:31" s="260" customFormat="1" ht="11.25" customHeight="1" x14ac:dyDescent="0.2">
      <c r="A269" s="270"/>
      <c r="B269" s="271">
        <v>265</v>
      </c>
      <c r="C269" s="272" t="s">
        <v>208</v>
      </c>
      <c r="D269" s="272"/>
      <c r="E269" s="272"/>
      <c r="F269" s="272"/>
      <c r="G269" s="273">
        <v>42818</v>
      </c>
      <c r="H269" s="274">
        <v>3252</v>
      </c>
      <c r="I269" s="274"/>
      <c r="J269" s="272" t="s">
        <v>22</v>
      </c>
      <c r="K269" s="272"/>
      <c r="L269" s="275">
        <v>10</v>
      </c>
      <c r="M269" s="276">
        <v>0</v>
      </c>
      <c r="N269" s="276"/>
      <c r="O269" s="276">
        <v>921.4</v>
      </c>
      <c r="P269" s="276"/>
      <c r="Q269" s="276">
        <v>325.2</v>
      </c>
      <c r="R269" s="276"/>
      <c r="S269" s="274">
        <v>1246.5999999999999</v>
      </c>
      <c r="T269" s="274"/>
      <c r="U269" s="274">
        <v>2005.4</v>
      </c>
      <c r="V269" s="274"/>
      <c r="W269" s="274"/>
      <c r="X269" s="277">
        <f t="shared" si="18"/>
        <v>2017</v>
      </c>
      <c r="Y269" s="277">
        <f t="shared" si="19"/>
        <v>3</v>
      </c>
      <c r="Z269" s="278"/>
      <c r="AA269" s="278"/>
      <c r="AB269" s="278"/>
      <c r="AC269" s="278"/>
      <c r="AD269" s="278"/>
      <c r="AE269" s="278"/>
    </row>
    <row r="270" spans="1:31" s="260" customFormat="1" ht="11.25" customHeight="1" x14ac:dyDescent="0.2">
      <c r="A270" s="270"/>
      <c r="B270" s="271">
        <v>274</v>
      </c>
      <c r="C270" s="272" t="s">
        <v>208</v>
      </c>
      <c r="D270" s="272"/>
      <c r="E270" s="272"/>
      <c r="F270" s="272"/>
      <c r="G270" s="273">
        <v>42810</v>
      </c>
      <c r="H270" s="274">
        <v>2551.7399999999998</v>
      </c>
      <c r="I270" s="274"/>
      <c r="J270" s="272" t="s">
        <v>22</v>
      </c>
      <c r="K270" s="272"/>
      <c r="L270" s="275">
        <v>10</v>
      </c>
      <c r="M270" s="276">
        <v>0</v>
      </c>
      <c r="N270" s="276"/>
      <c r="O270" s="276">
        <v>722.99</v>
      </c>
      <c r="P270" s="276"/>
      <c r="Q270" s="276">
        <v>255.17</v>
      </c>
      <c r="R270" s="276"/>
      <c r="S270" s="276">
        <v>978.16</v>
      </c>
      <c r="T270" s="276"/>
      <c r="U270" s="274">
        <v>1573.58</v>
      </c>
      <c r="V270" s="274"/>
      <c r="W270" s="274"/>
      <c r="X270" s="277">
        <f t="shared" si="18"/>
        <v>2017</v>
      </c>
      <c r="Y270" s="277">
        <f t="shared" si="19"/>
        <v>3</v>
      </c>
      <c r="Z270" s="278"/>
      <c r="AA270" s="278"/>
      <c r="AB270" s="278"/>
      <c r="AC270" s="278"/>
      <c r="AD270" s="278"/>
      <c r="AE270" s="278"/>
    </row>
    <row r="271" spans="1:31" s="260" customFormat="1" ht="11.25" customHeight="1" x14ac:dyDescent="0.2">
      <c r="A271" s="270"/>
      <c r="B271" s="271">
        <v>275</v>
      </c>
      <c r="C271" s="272" t="s">
        <v>202</v>
      </c>
      <c r="D271" s="272"/>
      <c r="E271" s="272"/>
      <c r="F271" s="272"/>
      <c r="G271" s="273">
        <v>42838</v>
      </c>
      <c r="H271" s="274">
        <v>4065</v>
      </c>
      <c r="I271" s="274"/>
      <c r="J271" s="272" t="s">
        <v>22</v>
      </c>
      <c r="K271" s="272"/>
      <c r="L271" s="275">
        <v>10</v>
      </c>
      <c r="M271" s="276">
        <v>0</v>
      </c>
      <c r="N271" s="276"/>
      <c r="O271" s="274">
        <v>1117.8800000000001</v>
      </c>
      <c r="P271" s="274"/>
      <c r="Q271" s="276">
        <v>406.5</v>
      </c>
      <c r="R271" s="276"/>
      <c r="S271" s="274">
        <v>1524.38</v>
      </c>
      <c r="T271" s="274"/>
      <c r="U271" s="274">
        <v>2540.62</v>
      </c>
      <c r="V271" s="274"/>
      <c r="W271" s="274"/>
      <c r="X271" s="277">
        <f t="shared" si="18"/>
        <v>2017</v>
      </c>
      <c r="Y271" s="277">
        <f t="shared" si="19"/>
        <v>4</v>
      </c>
      <c r="Z271" s="278"/>
      <c r="AA271" s="278"/>
      <c r="AB271" s="278"/>
      <c r="AC271" s="278"/>
      <c r="AD271" s="278"/>
      <c r="AE271" s="278"/>
    </row>
    <row r="272" spans="1:31" s="260" customFormat="1" ht="15" customHeight="1" x14ac:dyDescent="0.2">
      <c r="A272" s="270"/>
      <c r="B272" s="272"/>
      <c r="C272" s="272" t="s">
        <v>209</v>
      </c>
      <c r="D272" s="272"/>
      <c r="E272" s="272"/>
      <c r="F272" s="272"/>
      <c r="G272" s="272"/>
      <c r="H272" s="274">
        <v>3486.14</v>
      </c>
      <c r="I272" s="274"/>
      <c r="J272" s="272" t="s">
        <v>22</v>
      </c>
      <c r="K272" s="272"/>
      <c r="L272" s="275">
        <v>10</v>
      </c>
      <c r="M272" s="276">
        <v>0</v>
      </c>
      <c r="N272" s="276"/>
      <c r="O272" s="276">
        <v>958.68</v>
      </c>
      <c r="P272" s="276"/>
      <c r="Q272" s="276">
        <v>348.61</v>
      </c>
      <c r="R272" s="276"/>
      <c r="S272" s="274">
        <v>1307.29</v>
      </c>
      <c r="T272" s="274"/>
      <c r="U272" s="274">
        <v>2178.85</v>
      </c>
      <c r="V272" s="274"/>
      <c r="W272" s="274"/>
      <c r="X272" s="277">
        <v>2017</v>
      </c>
      <c r="Y272" s="277">
        <v>4</v>
      </c>
      <c r="Z272" s="278"/>
      <c r="AA272" s="278"/>
      <c r="AB272" s="278"/>
      <c r="AC272" s="278"/>
      <c r="AD272" s="278"/>
      <c r="AE272" s="278"/>
    </row>
    <row r="273" spans="1:31" s="260" customFormat="1" ht="11.25" customHeight="1" x14ac:dyDescent="0.2">
      <c r="A273" s="270"/>
      <c r="B273" s="272"/>
      <c r="C273" s="272" t="s">
        <v>210</v>
      </c>
      <c r="D273" s="272"/>
      <c r="E273" s="272"/>
      <c r="F273" s="272"/>
      <c r="G273" s="272"/>
      <c r="H273" s="274">
        <v>5001.3999999999996</v>
      </c>
      <c r="I273" s="274"/>
      <c r="J273" s="272" t="s">
        <v>22</v>
      </c>
      <c r="K273" s="272"/>
      <c r="L273" s="275">
        <v>10</v>
      </c>
      <c r="M273" s="276">
        <v>0</v>
      </c>
      <c r="N273" s="276"/>
      <c r="O273" s="274">
        <v>1292.03</v>
      </c>
      <c r="P273" s="274"/>
      <c r="Q273" s="276">
        <v>500.14</v>
      </c>
      <c r="R273" s="276"/>
      <c r="S273" s="274">
        <v>1792.17</v>
      </c>
      <c r="T273" s="274"/>
      <c r="U273" s="274">
        <v>3209.23</v>
      </c>
      <c r="V273" s="274"/>
      <c r="W273" s="274"/>
      <c r="X273" s="277">
        <v>2017</v>
      </c>
      <c r="Y273" s="277">
        <v>6</v>
      </c>
      <c r="Z273" s="278"/>
      <c r="AA273" s="278"/>
      <c r="AB273" s="278"/>
      <c r="AC273" s="278"/>
      <c r="AD273" s="278"/>
      <c r="AE273" s="278"/>
    </row>
    <row r="274" spans="1:31" s="260" customFormat="1" ht="11.25" customHeight="1" x14ac:dyDescent="0.2">
      <c r="A274" s="270"/>
      <c r="B274" s="272"/>
      <c r="C274" s="272" t="s">
        <v>211</v>
      </c>
      <c r="D274" s="272"/>
      <c r="E274" s="272"/>
      <c r="F274" s="272"/>
      <c r="G274" s="272"/>
      <c r="H274" s="274">
        <v>4471.5</v>
      </c>
      <c r="I274" s="274"/>
      <c r="J274" s="272" t="s">
        <v>22</v>
      </c>
      <c r="K274" s="272"/>
      <c r="L274" s="275">
        <v>10</v>
      </c>
      <c r="M274" s="276">
        <v>0</v>
      </c>
      <c r="N274" s="276"/>
      <c r="O274" s="274">
        <v>1155.1400000000001</v>
      </c>
      <c r="P274" s="274"/>
      <c r="Q274" s="276">
        <v>447.15</v>
      </c>
      <c r="R274" s="276"/>
      <c r="S274" s="274">
        <v>1602.29</v>
      </c>
      <c r="T274" s="274"/>
      <c r="U274" s="274">
        <v>2869.21</v>
      </c>
      <c r="V274" s="274"/>
      <c r="W274" s="274"/>
      <c r="X274" s="277">
        <v>2017</v>
      </c>
      <c r="Y274" s="277">
        <v>6</v>
      </c>
      <c r="Z274" s="278"/>
      <c r="AA274" s="278"/>
      <c r="AB274" s="278"/>
      <c r="AC274" s="278"/>
      <c r="AD274" s="278"/>
      <c r="AE274" s="278"/>
    </row>
    <row r="275" spans="1:31" s="260" customFormat="1" ht="11.25" customHeight="1" x14ac:dyDescent="0.2">
      <c r="A275" s="270"/>
      <c r="B275" s="272"/>
      <c r="C275" s="272" t="s">
        <v>212</v>
      </c>
      <c r="D275" s="272"/>
      <c r="E275" s="272"/>
      <c r="F275" s="272"/>
      <c r="G275" s="272"/>
      <c r="H275" s="274">
        <v>5205.54</v>
      </c>
      <c r="I275" s="274"/>
      <c r="J275" s="272" t="s">
        <v>22</v>
      </c>
      <c r="K275" s="272"/>
      <c r="L275" s="275">
        <v>10</v>
      </c>
      <c r="M275" s="276">
        <v>0</v>
      </c>
      <c r="N275" s="276"/>
      <c r="O275" s="274">
        <v>1301.3800000000001</v>
      </c>
      <c r="P275" s="274"/>
      <c r="Q275" s="276">
        <v>520.54999999999995</v>
      </c>
      <c r="R275" s="276"/>
      <c r="S275" s="274">
        <v>1821.93</v>
      </c>
      <c r="T275" s="274"/>
      <c r="U275" s="274">
        <v>3383.61</v>
      </c>
      <c r="V275" s="274"/>
      <c r="W275" s="274"/>
      <c r="X275" s="277">
        <v>2017</v>
      </c>
      <c r="Y275" s="277">
        <v>7</v>
      </c>
      <c r="Z275" s="278"/>
      <c r="AA275" s="278"/>
      <c r="AB275" s="278"/>
      <c r="AC275" s="278"/>
      <c r="AD275" s="278"/>
      <c r="AE275" s="278"/>
    </row>
    <row r="276" spans="1:31" s="260" customFormat="1" ht="11.25" customHeight="1" x14ac:dyDescent="0.2">
      <c r="A276" s="270"/>
      <c r="B276" s="272"/>
      <c r="C276" s="272" t="s">
        <v>213</v>
      </c>
      <c r="D276" s="272"/>
      <c r="E276" s="272"/>
      <c r="F276" s="272"/>
      <c r="G276" s="272"/>
      <c r="H276" s="274">
        <v>2926.8</v>
      </c>
      <c r="I276" s="274"/>
      <c r="J276" s="272" t="s">
        <v>22</v>
      </c>
      <c r="K276" s="272"/>
      <c r="L276" s="275">
        <v>10</v>
      </c>
      <c r="M276" s="276">
        <v>0</v>
      </c>
      <c r="N276" s="276"/>
      <c r="O276" s="276">
        <v>731.7</v>
      </c>
      <c r="P276" s="276"/>
      <c r="Q276" s="276">
        <v>292.68</v>
      </c>
      <c r="R276" s="276"/>
      <c r="S276" s="274">
        <v>1024.3800000000001</v>
      </c>
      <c r="T276" s="274"/>
      <c r="U276" s="274">
        <v>1902.42</v>
      </c>
      <c r="V276" s="274"/>
      <c r="W276" s="274"/>
      <c r="X276" s="277">
        <v>2017</v>
      </c>
      <c r="Y276" s="277">
        <v>7</v>
      </c>
      <c r="Z276" s="278"/>
      <c r="AA276" s="278"/>
      <c r="AB276" s="278"/>
      <c r="AC276" s="278"/>
      <c r="AD276" s="278"/>
      <c r="AE276" s="278"/>
    </row>
    <row r="277" spans="1:31" s="260" customFormat="1" ht="11.25" customHeight="1" x14ac:dyDescent="0.2">
      <c r="A277" s="270"/>
      <c r="B277" s="272"/>
      <c r="C277" s="272" t="s">
        <v>214</v>
      </c>
      <c r="D277" s="272"/>
      <c r="E277" s="272"/>
      <c r="F277" s="272"/>
      <c r="G277" s="272"/>
      <c r="H277" s="274">
        <v>2960.01</v>
      </c>
      <c r="I277" s="274"/>
      <c r="J277" s="272" t="s">
        <v>22</v>
      </c>
      <c r="K277" s="272"/>
      <c r="L277" s="275">
        <v>10</v>
      </c>
      <c r="M277" s="276">
        <v>0</v>
      </c>
      <c r="N277" s="276"/>
      <c r="O277" s="276">
        <v>715.33</v>
      </c>
      <c r="P277" s="276"/>
      <c r="Q277" s="276">
        <v>296</v>
      </c>
      <c r="R277" s="276"/>
      <c r="S277" s="274">
        <v>1011.33</v>
      </c>
      <c r="T277" s="274"/>
      <c r="U277" s="274">
        <v>1948.68</v>
      </c>
      <c r="V277" s="274"/>
      <c r="W277" s="274"/>
      <c r="X277" s="277">
        <v>2017</v>
      </c>
      <c r="Y277" s="277">
        <v>8</v>
      </c>
      <c r="Z277" s="278"/>
      <c r="AA277" s="278"/>
      <c r="AB277" s="278"/>
      <c r="AC277" s="278"/>
      <c r="AD277" s="278"/>
      <c r="AE277" s="278"/>
    </row>
    <row r="278" spans="1:31" s="260" customFormat="1" ht="11.25" customHeight="1" x14ac:dyDescent="0.2">
      <c r="A278" s="270"/>
      <c r="B278" s="272"/>
      <c r="C278" s="272" t="s">
        <v>215</v>
      </c>
      <c r="D278" s="272"/>
      <c r="E278" s="272"/>
      <c r="F278" s="272"/>
      <c r="G278" s="272"/>
      <c r="H278" s="274">
        <v>2551.7399999999998</v>
      </c>
      <c r="I278" s="274"/>
      <c r="J278" s="272" t="s">
        <v>22</v>
      </c>
      <c r="K278" s="272"/>
      <c r="L278" s="275">
        <v>10</v>
      </c>
      <c r="M278" s="276">
        <v>0</v>
      </c>
      <c r="N278" s="276"/>
      <c r="O278" s="276">
        <v>595.4</v>
      </c>
      <c r="P278" s="276"/>
      <c r="Q278" s="276">
        <v>255.17</v>
      </c>
      <c r="R278" s="276"/>
      <c r="S278" s="276">
        <v>850.57</v>
      </c>
      <c r="T278" s="276"/>
      <c r="U278" s="274">
        <v>1701.17</v>
      </c>
      <c r="V278" s="274"/>
      <c r="W278" s="274"/>
      <c r="X278" s="277">
        <v>2017</v>
      </c>
      <c r="Y278" s="277">
        <v>9</v>
      </c>
      <c r="Z278" s="278"/>
      <c r="AA278" s="278"/>
      <c r="AB278" s="278"/>
      <c r="AC278" s="278"/>
      <c r="AD278" s="278"/>
      <c r="AE278" s="278"/>
    </row>
    <row r="279" spans="1:31" s="260" customFormat="1" ht="11.25" customHeight="1" x14ac:dyDescent="0.2">
      <c r="A279" s="270"/>
      <c r="B279" s="272"/>
      <c r="C279" s="272" t="s">
        <v>216</v>
      </c>
      <c r="D279" s="272"/>
      <c r="E279" s="272"/>
      <c r="F279" s="272"/>
      <c r="G279" s="272"/>
      <c r="H279" s="274">
        <v>7961.42</v>
      </c>
      <c r="I279" s="274"/>
      <c r="J279" s="272" t="s">
        <v>22</v>
      </c>
      <c r="K279" s="272"/>
      <c r="L279" s="275">
        <v>10</v>
      </c>
      <c r="M279" s="276">
        <v>0</v>
      </c>
      <c r="N279" s="276"/>
      <c r="O279" s="274">
        <v>1791.32</v>
      </c>
      <c r="P279" s="274"/>
      <c r="Q279" s="276">
        <v>796.14</v>
      </c>
      <c r="R279" s="276"/>
      <c r="S279" s="274">
        <v>2587.46</v>
      </c>
      <c r="T279" s="274"/>
      <c r="U279" s="274">
        <v>5373.96</v>
      </c>
      <c r="V279" s="274"/>
      <c r="W279" s="274"/>
      <c r="X279" s="277">
        <v>2017</v>
      </c>
      <c r="Y279" s="277">
        <v>10</v>
      </c>
      <c r="Z279" s="278"/>
      <c r="AA279" s="278"/>
      <c r="AB279" s="278"/>
      <c r="AC279" s="278"/>
      <c r="AD279" s="278"/>
      <c r="AE279" s="278"/>
    </row>
    <row r="280" spans="1:31" s="260" customFormat="1" ht="11.25" customHeight="1" x14ac:dyDescent="0.2">
      <c r="A280" s="270"/>
      <c r="B280" s="272"/>
      <c r="C280" s="272" t="s">
        <v>217</v>
      </c>
      <c r="D280" s="272"/>
      <c r="E280" s="272"/>
      <c r="F280" s="272"/>
      <c r="G280" s="272"/>
      <c r="H280" s="274">
        <v>4697.51</v>
      </c>
      <c r="I280" s="274"/>
      <c r="J280" s="272" t="s">
        <v>22</v>
      </c>
      <c r="K280" s="272"/>
      <c r="L280" s="275">
        <v>10</v>
      </c>
      <c r="M280" s="276">
        <v>0</v>
      </c>
      <c r="N280" s="276"/>
      <c r="O280" s="276">
        <v>978.65</v>
      </c>
      <c r="P280" s="276"/>
      <c r="Q280" s="276">
        <v>469.75</v>
      </c>
      <c r="R280" s="276"/>
      <c r="S280" s="274">
        <v>1448.4</v>
      </c>
      <c r="T280" s="274"/>
      <c r="U280" s="274">
        <v>3249.11</v>
      </c>
      <c r="V280" s="274"/>
      <c r="W280" s="274"/>
      <c r="X280" s="277">
        <v>2017</v>
      </c>
      <c r="Y280" s="277">
        <v>12</v>
      </c>
      <c r="Z280" s="278"/>
      <c r="AA280" s="278"/>
      <c r="AB280" s="278"/>
      <c r="AC280" s="278"/>
      <c r="AD280" s="278"/>
      <c r="AE280" s="278"/>
    </row>
    <row r="281" spans="1:31" ht="15.95" customHeight="1" x14ac:dyDescent="0.2">
      <c r="A281" s="2"/>
      <c r="B281" s="27" t="s">
        <v>218</v>
      </c>
      <c r="C281" s="23"/>
      <c r="D281" s="23"/>
      <c r="E281" s="23"/>
      <c r="F281" s="23"/>
      <c r="G281" s="23"/>
      <c r="H281" s="19">
        <f>SUM(H168:H280)</f>
        <v>547428.77000000014</v>
      </c>
      <c r="I281" s="19"/>
      <c r="J281" s="24" t="s">
        <v>42</v>
      </c>
      <c r="K281" s="24"/>
      <c r="L281" s="2"/>
      <c r="M281" s="25">
        <v>0</v>
      </c>
      <c r="N281" s="25"/>
      <c r="O281" s="19">
        <f>SUM(O168:O280)</f>
        <v>421054.27000000008</v>
      </c>
      <c r="P281" s="19"/>
      <c r="Q281" s="19">
        <f>SUM(Q168:Q280)</f>
        <v>24484.869999999992</v>
      </c>
      <c r="R281" s="19"/>
      <c r="S281" s="19">
        <f>SUM(S168:S280)</f>
        <v>445539.14000000007</v>
      </c>
      <c r="T281" s="19"/>
      <c r="U281" s="19">
        <f>SUM(U168:U280)</f>
        <v>101889.63</v>
      </c>
      <c r="V281" s="19"/>
      <c r="W281" s="19"/>
      <c r="X281" s="208"/>
    </row>
    <row r="282" spans="1:31" ht="18" customHeight="1" x14ac:dyDescent="0.2">
      <c r="A282" s="8"/>
      <c r="B282" s="23"/>
      <c r="C282" s="23"/>
      <c r="D282" s="23"/>
      <c r="E282" s="23"/>
      <c r="F282" s="23"/>
      <c r="G282" s="23"/>
      <c r="H282" s="26"/>
      <c r="I282" s="26"/>
      <c r="J282" s="26"/>
      <c r="K282" s="26"/>
      <c r="L282" s="8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09"/>
    </row>
    <row r="283" spans="1:31" s="260" customFormat="1" ht="12" customHeight="1" x14ac:dyDescent="0.2">
      <c r="A283" s="270"/>
      <c r="C283" s="272" t="s">
        <v>219</v>
      </c>
      <c r="D283" s="272"/>
      <c r="E283" s="272"/>
      <c r="F283" s="272"/>
      <c r="G283" s="272"/>
      <c r="H283" s="274">
        <v>3967.76</v>
      </c>
      <c r="I283" s="274"/>
      <c r="J283" s="272" t="s">
        <v>22</v>
      </c>
      <c r="K283" s="272"/>
      <c r="L283" s="275">
        <v>8</v>
      </c>
      <c r="M283" s="276">
        <v>0</v>
      </c>
      <c r="N283" s="276"/>
      <c r="O283" s="274">
        <v>3967.76</v>
      </c>
      <c r="P283" s="274"/>
      <c r="Q283" s="276">
        <v>0</v>
      </c>
      <c r="R283" s="276"/>
      <c r="S283" s="274">
        <v>3967.76</v>
      </c>
      <c r="T283" s="274"/>
      <c r="U283" s="276">
        <v>0</v>
      </c>
      <c r="V283" s="276"/>
      <c r="W283" s="276"/>
      <c r="X283" s="277">
        <v>2002</v>
      </c>
      <c r="Y283" s="277">
        <v>8</v>
      </c>
      <c r="Z283" s="278"/>
      <c r="AA283" s="278"/>
      <c r="AB283" s="278"/>
      <c r="AC283" s="278"/>
      <c r="AD283" s="278"/>
      <c r="AE283" s="278"/>
    </row>
    <row r="284" spans="1:31" s="260" customFormat="1" ht="11.25" customHeight="1" x14ac:dyDescent="0.2">
      <c r="A284" s="270"/>
      <c r="C284" s="272" t="s">
        <v>220</v>
      </c>
      <c r="D284" s="272"/>
      <c r="E284" s="272"/>
      <c r="F284" s="272"/>
      <c r="G284" s="272"/>
      <c r="H284" s="274">
        <v>3560.7</v>
      </c>
      <c r="I284" s="274"/>
      <c r="J284" s="272" t="s">
        <v>22</v>
      </c>
      <c r="K284" s="272"/>
      <c r="L284" s="275">
        <v>8</v>
      </c>
      <c r="M284" s="276">
        <v>0</v>
      </c>
      <c r="N284" s="276"/>
      <c r="O284" s="274">
        <v>3560.7</v>
      </c>
      <c r="P284" s="274"/>
      <c r="Q284" s="276">
        <v>0</v>
      </c>
      <c r="R284" s="276"/>
      <c r="S284" s="274">
        <v>3560.7</v>
      </c>
      <c r="T284" s="274"/>
      <c r="U284" s="276">
        <v>0</v>
      </c>
      <c r="V284" s="276"/>
      <c r="W284" s="276"/>
      <c r="X284" s="277">
        <v>2009</v>
      </c>
      <c r="Y284" s="278">
        <v>9</v>
      </c>
      <c r="Z284" s="278"/>
      <c r="AA284" s="278"/>
      <c r="AB284" s="278"/>
      <c r="AC284" s="278"/>
      <c r="AD284" s="278"/>
      <c r="AE284" s="278"/>
    </row>
    <row r="285" spans="1:31" s="260" customFormat="1" ht="11.25" customHeight="1" x14ac:dyDescent="0.2">
      <c r="A285" s="270"/>
      <c r="C285" s="272" t="s">
        <v>221</v>
      </c>
      <c r="D285" s="272"/>
      <c r="E285" s="272"/>
      <c r="F285" s="272"/>
      <c r="G285" s="272"/>
      <c r="H285" s="274">
        <v>2018.23</v>
      </c>
      <c r="I285" s="274"/>
      <c r="J285" s="272" t="s">
        <v>22</v>
      </c>
      <c r="K285" s="272"/>
      <c r="L285" s="275">
        <v>8</v>
      </c>
      <c r="M285" s="276">
        <v>0</v>
      </c>
      <c r="N285" s="276"/>
      <c r="O285" s="274">
        <v>2018.23</v>
      </c>
      <c r="P285" s="274"/>
      <c r="Q285" s="276">
        <v>0</v>
      </c>
      <c r="R285" s="276"/>
      <c r="S285" s="274">
        <v>2018.23</v>
      </c>
      <c r="T285" s="274"/>
      <c r="U285" s="276">
        <v>0</v>
      </c>
      <c r="V285" s="276"/>
      <c r="W285" s="276"/>
      <c r="X285" s="277">
        <v>2010</v>
      </c>
      <c r="Y285" s="278">
        <v>11</v>
      </c>
      <c r="Z285" s="278"/>
      <c r="AA285" s="278"/>
      <c r="AB285" s="278"/>
      <c r="AC285" s="278"/>
      <c r="AD285" s="278"/>
      <c r="AE285" s="278"/>
    </row>
    <row r="286" spans="1:31" ht="15.95" customHeight="1" x14ac:dyDescent="0.2">
      <c r="A286" s="2"/>
      <c r="B286" s="27" t="s">
        <v>222</v>
      </c>
      <c r="C286" s="23"/>
      <c r="D286" s="23"/>
      <c r="E286" s="23"/>
      <c r="F286" s="23"/>
      <c r="G286" s="23"/>
      <c r="H286" s="19">
        <f>SUM(H283:H285)</f>
        <v>9546.69</v>
      </c>
      <c r="I286" s="19"/>
      <c r="J286" s="24" t="s">
        <v>42</v>
      </c>
      <c r="K286" s="24"/>
      <c r="L286" s="2"/>
      <c r="M286" s="25">
        <v>0</v>
      </c>
      <c r="N286" s="25"/>
      <c r="O286" s="19">
        <f>SUM(O283:O285)</f>
        <v>9546.69</v>
      </c>
      <c r="P286" s="19"/>
      <c r="Q286" s="19">
        <f>SUM(Q283:Q285)</f>
        <v>0</v>
      </c>
      <c r="R286" s="25"/>
      <c r="S286" s="19">
        <f>SUM(S283:S285)</f>
        <v>9546.69</v>
      </c>
      <c r="T286" s="19"/>
      <c r="U286" s="19">
        <f>SUM(U283:U285)</f>
        <v>0</v>
      </c>
      <c r="V286" s="25"/>
      <c r="W286" s="25"/>
      <c r="X286" s="208"/>
    </row>
    <row r="287" spans="1:31" ht="18" customHeight="1" x14ac:dyDescent="0.2">
      <c r="A287" s="8"/>
      <c r="B287" s="23"/>
      <c r="C287" s="23"/>
      <c r="D287" s="23"/>
      <c r="E287" s="23"/>
      <c r="F287" s="23"/>
      <c r="G287" s="23"/>
      <c r="H287" s="26"/>
      <c r="I287" s="26"/>
      <c r="J287" s="26"/>
      <c r="K287" s="26"/>
      <c r="L287" s="8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09"/>
    </row>
    <row r="288" spans="1:31" s="260" customFormat="1" ht="12" customHeight="1" x14ac:dyDescent="0.2">
      <c r="A288" s="270"/>
      <c r="B288" s="272" t="s">
        <v>223</v>
      </c>
      <c r="C288" s="272" t="s">
        <v>639</v>
      </c>
      <c r="D288" s="272"/>
      <c r="E288" s="272"/>
      <c r="F288" s="272"/>
      <c r="G288" s="272"/>
      <c r="H288" s="274">
        <v>4495</v>
      </c>
      <c r="I288" s="274"/>
      <c r="J288" s="272" t="s">
        <v>22</v>
      </c>
      <c r="K288" s="272"/>
      <c r="L288" s="275">
        <v>5</v>
      </c>
      <c r="M288" s="276">
        <v>0</v>
      </c>
      <c r="N288" s="276"/>
      <c r="O288" s="274">
        <v>4495</v>
      </c>
      <c r="P288" s="274"/>
      <c r="Q288" s="276">
        <v>0</v>
      </c>
      <c r="R288" s="276"/>
      <c r="S288" s="274">
        <v>4495</v>
      </c>
      <c r="T288" s="274"/>
      <c r="U288" s="276">
        <v>0</v>
      </c>
      <c r="V288" s="276"/>
      <c r="W288" s="276"/>
      <c r="X288" s="277"/>
      <c r="Y288" s="277"/>
      <c r="Z288" s="278"/>
      <c r="AA288" s="278"/>
      <c r="AB288" s="278"/>
      <c r="AC288" s="278"/>
      <c r="AD288" s="278"/>
      <c r="AE288" s="278"/>
    </row>
    <row r="289" spans="1:31" s="260" customFormat="1" ht="11.25" customHeight="1" x14ac:dyDescent="0.2">
      <c r="A289" s="270"/>
      <c r="B289" s="272" t="s">
        <v>224</v>
      </c>
      <c r="C289" s="272" t="s">
        <v>640</v>
      </c>
      <c r="D289" s="272"/>
      <c r="E289" s="272"/>
      <c r="F289" s="272"/>
      <c r="G289" s="272"/>
      <c r="H289" s="274">
        <v>1069.46</v>
      </c>
      <c r="I289" s="274"/>
      <c r="J289" s="272" t="s">
        <v>22</v>
      </c>
      <c r="K289" s="272"/>
      <c r="L289" s="275">
        <v>5</v>
      </c>
      <c r="M289" s="276">
        <v>0</v>
      </c>
      <c r="N289" s="276"/>
      <c r="O289" s="274">
        <v>1069.46</v>
      </c>
      <c r="P289" s="274"/>
      <c r="Q289" s="276">
        <v>0</v>
      </c>
      <c r="R289" s="276"/>
      <c r="S289" s="274">
        <v>1069.46</v>
      </c>
      <c r="T289" s="274"/>
      <c r="U289" s="276">
        <v>0</v>
      </c>
      <c r="V289" s="276"/>
      <c r="W289" s="276"/>
      <c r="X289" s="277"/>
      <c r="Y289" s="278"/>
      <c r="Z289" s="278"/>
      <c r="AA289" s="278"/>
      <c r="AB289" s="278"/>
      <c r="AC289" s="278"/>
      <c r="AD289" s="278"/>
      <c r="AE289" s="278"/>
    </row>
    <row r="290" spans="1:31" s="260" customFormat="1" ht="11.25" customHeight="1" x14ac:dyDescent="0.2">
      <c r="A290" s="270"/>
      <c r="B290" s="272" t="s">
        <v>225</v>
      </c>
      <c r="C290" s="272" t="s">
        <v>641</v>
      </c>
      <c r="D290" s="272"/>
      <c r="E290" s="272"/>
      <c r="F290" s="272"/>
      <c r="G290" s="272"/>
      <c r="H290" s="274">
        <v>1217.1199999999999</v>
      </c>
      <c r="I290" s="274"/>
      <c r="J290" s="272" t="s">
        <v>22</v>
      </c>
      <c r="K290" s="272"/>
      <c r="L290" s="275">
        <v>5</v>
      </c>
      <c r="M290" s="276">
        <v>0</v>
      </c>
      <c r="N290" s="276"/>
      <c r="O290" s="274">
        <v>1217.1199999999999</v>
      </c>
      <c r="P290" s="274"/>
      <c r="Q290" s="276">
        <v>0</v>
      </c>
      <c r="R290" s="276"/>
      <c r="S290" s="274">
        <v>1217.1199999999999</v>
      </c>
      <c r="T290" s="274"/>
      <c r="U290" s="276">
        <v>0</v>
      </c>
      <c r="V290" s="276"/>
      <c r="W290" s="276"/>
      <c r="X290" s="277"/>
      <c r="Y290" s="278"/>
      <c r="Z290" s="278"/>
      <c r="AA290" s="278"/>
      <c r="AB290" s="278"/>
      <c r="AC290" s="278"/>
      <c r="AD290" s="278"/>
      <c r="AE290" s="278"/>
    </row>
    <row r="291" spans="1:31" s="260" customFormat="1" ht="11.25" customHeight="1" x14ac:dyDescent="0.2">
      <c r="A291" s="270"/>
      <c r="B291" s="272" t="s">
        <v>226</v>
      </c>
      <c r="C291" s="272" t="s">
        <v>642</v>
      </c>
      <c r="D291" s="272"/>
      <c r="E291" s="272"/>
      <c r="F291" s="272"/>
      <c r="G291" s="272"/>
      <c r="H291" s="274">
        <v>3880.08</v>
      </c>
      <c r="I291" s="274"/>
      <c r="J291" s="272" t="s">
        <v>22</v>
      </c>
      <c r="K291" s="272"/>
      <c r="L291" s="275">
        <v>5</v>
      </c>
      <c r="M291" s="276">
        <v>0</v>
      </c>
      <c r="N291" s="276"/>
      <c r="O291" s="274">
        <v>3880.08</v>
      </c>
      <c r="P291" s="274"/>
      <c r="Q291" s="276">
        <v>0</v>
      </c>
      <c r="R291" s="276"/>
      <c r="S291" s="274">
        <v>3880.08</v>
      </c>
      <c r="T291" s="274"/>
      <c r="U291" s="276">
        <v>0</v>
      </c>
      <c r="V291" s="276"/>
      <c r="W291" s="276"/>
      <c r="X291" s="277"/>
      <c r="Y291" s="278"/>
      <c r="Z291" s="278"/>
      <c r="AA291" s="278"/>
      <c r="AB291" s="278"/>
      <c r="AC291" s="278"/>
      <c r="AD291" s="278"/>
      <c r="AE291" s="278"/>
    </row>
    <row r="292" spans="1:31" s="260" customFormat="1" ht="11.25" customHeight="1" x14ac:dyDescent="0.2">
      <c r="A292" s="270"/>
      <c r="B292" s="272" t="s">
        <v>227</v>
      </c>
      <c r="C292" s="272" t="s">
        <v>643</v>
      </c>
      <c r="D292" s="272"/>
      <c r="E292" s="272"/>
      <c r="F292" s="272"/>
      <c r="G292" s="272"/>
      <c r="H292" s="274">
        <v>1008.83</v>
      </c>
      <c r="I292" s="274"/>
      <c r="J292" s="272" t="s">
        <v>22</v>
      </c>
      <c r="K292" s="272"/>
      <c r="L292" s="275">
        <v>5</v>
      </c>
      <c r="M292" s="276">
        <v>0</v>
      </c>
      <c r="N292" s="276"/>
      <c r="O292" s="274">
        <v>1008.83</v>
      </c>
      <c r="P292" s="274"/>
      <c r="Q292" s="276">
        <v>0</v>
      </c>
      <c r="R292" s="276"/>
      <c r="S292" s="274">
        <v>1008.83</v>
      </c>
      <c r="T292" s="274"/>
      <c r="U292" s="276">
        <v>0</v>
      </c>
      <c r="V292" s="276"/>
      <c r="W292" s="276"/>
      <c r="X292" s="277"/>
      <c r="Y292" s="278"/>
      <c r="Z292" s="278"/>
      <c r="AA292" s="278"/>
      <c r="AB292" s="278"/>
      <c r="AC292" s="278"/>
      <c r="AD292" s="278"/>
      <c r="AE292" s="278"/>
    </row>
    <row r="293" spans="1:31" s="260" customFormat="1" ht="11.25" customHeight="1" x14ac:dyDescent="0.2">
      <c r="A293" s="270"/>
      <c r="B293" s="272" t="s">
        <v>228</v>
      </c>
      <c r="C293" s="272" t="s">
        <v>644</v>
      </c>
      <c r="D293" s="272"/>
      <c r="E293" s="272"/>
      <c r="F293" s="272"/>
      <c r="G293" s="272"/>
      <c r="H293" s="276">
        <v>704.24</v>
      </c>
      <c r="I293" s="276"/>
      <c r="J293" s="272" t="s">
        <v>22</v>
      </c>
      <c r="K293" s="272"/>
      <c r="L293" s="275">
        <v>5</v>
      </c>
      <c r="M293" s="276">
        <v>0</v>
      </c>
      <c r="N293" s="276"/>
      <c r="O293" s="276">
        <v>704.24</v>
      </c>
      <c r="P293" s="276"/>
      <c r="Q293" s="276">
        <v>0</v>
      </c>
      <c r="R293" s="276"/>
      <c r="S293" s="276">
        <v>704.24</v>
      </c>
      <c r="T293" s="276"/>
      <c r="U293" s="276">
        <v>0</v>
      </c>
      <c r="V293" s="276"/>
      <c r="W293" s="276"/>
      <c r="X293" s="277"/>
      <c r="Y293" s="278"/>
      <c r="Z293" s="278"/>
      <c r="AA293" s="278"/>
      <c r="AB293" s="278"/>
      <c r="AC293" s="278"/>
      <c r="AD293" s="278"/>
      <c r="AE293" s="278"/>
    </row>
    <row r="294" spans="1:31" s="260" customFormat="1" ht="11.25" customHeight="1" x14ac:dyDescent="0.2">
      <c r="A294" s="270"/>
      <c r="B294" s="272" t="s">
        <v>229</v>
      </c>
      <c r="C294" s="272" t="s">
        <v>645</v>
      </c>
      <c r="D294" s="272"/>
      <c r="E294" s="272"/>
      <c r="F294" s="272"/>
      <c r="G294" s="272"/>
      <c r="H294" s="274">
        <v>1571.01</v>
      </c>
      <c r="I294" s="274"/>
      <c r="J294" s="272" t="s">
        <v>22</v>
      </c>
      <c r="K294" s="272"/>
      <c r="L294" s="275">
        <v>5</v>
      </c>
      <c r="M294" s="276">
        <v>0</v>
      </c>
      <c r="N294" s="276"/>
      <c r="O294" s="274">
        <v>1571.01</v>
      </c>
      <c r="P294" s="274"/>
      <c r="Q294" s="276">
        <v>0</v>
      </c>
      <c r="R294" s="276"/>
      <c r="S294" s="274">
        <v>1571.01</v>
      </c>
      <c r="T294" s="274"/>
      <c r="U294" s="276">
        <v>0</v>
      </c>
      <c r="V294" s="276"/>
      <c r="W294" s="276"/>
      <c r="X294" s="277"/>
      <c r="Y294" s="278"/>
      <c r="Z294" s="278"/>
      <c r="AA294" s="278"/>
      <c r="AB294" s="278"/>
      <c r="AC294" s="278"/>
      <c r="AD294" s="278"/>
      <c r="AE294" s="278"/>
    </row>
    <row r="295" spans="1:31" s="260" customFormat="1" ht="11.25" customHeight="1" x14ac:dyDescent="0.2">
      <c r="A295" s="270"/>
      <c r="B295" s="272" t="s">
        <v>230</v>
      </c>
      <c r="C295" s="272" t="s">
        <v>646</v>
      </c>
      <c r="D295" s="272"/>
      <c r="E295" s="272"/>
      <c r="F295" s="272"/>
      <c r="G295" s="272"/>
      <c r="H295" s="274">
        <v>4167.51</v>
      </c>
      <c r="I295" s="274"/>
      <c r="J295" s="272" t="s">
        <v>22</v>
      </c>
      <c r="K295" s="272"/>
      <c r="L295" s="275">
        <v>5</v>
      </c>
      <c r="M295" s="276">
        <v>0</v>
      </c>
      <c r="N295" s="276"/>
      <c r="O295" s="274">
        <v>4167.51</v>
      </c>
      <c r="P295" s="274"/>
      <c r="Q295" s="276">
        <v>0</v>
      </c>
      <c r="R295" s="276"/>
      <c r="S295" s="274">
        <v>4167.51</v>
      </c>
      <c r="T295" s="274"/>
      <c r="U295" s="276">
        <v>0</v>
      </c>
      <c r="V295" s="276"/>
      <c r="W295" s="276"/>
      <c r="X295" s="277"/>
      <c r="Y295" s="278"/>
      <c r="Z295" s="278"/>
      <c r="AA295" s="278"/>
      <c r="AB295" s="278"/>
      <c r="AC295" s="278"/>
      <c r="AD295" s="278"/>
      <c r="AE295" s="278"/>
    </row>
    <row r="296" spans="1:31" s="260" customFormat="1" ht="11.25" customHeight="1" x14ac:dyDescent="0.2">
      <c r="A296" s="270"/>
      <c r="B296" s="272" t="s">
        <v>231</v>
      </c>
      <c r="C296" s="272" t="s">
        <v>647</v>
      </c>
      <c r="D296" s="272"/>
      <c r="E296" s="272"/>
      <c r="F296" s="272"/>
      <c r="G296" s="272"/>
      <c r="H296" s="274">
        <v>1093.73</v>
      </c>
      <c r="I296" s="274"/>
      <c r="J296" s="272" t="s">
        <v>22</v>
      </c>
      <c r="K296" s="272"/>
      <c r="L296" s="275">
        <v>5</v>
      </c>
      <c r="M296" s="276">
        <v>0</v>
      </c>
      <c r="N296" s="276"/>
      <c r="O296" s="274">
        <v>1093.73</v>
      </c>
      <c r="P296" s="274"/>
      <c r="Q296" s="276">
        <v>0</v>
      </c>
      <c r="R296" s="276"/>
      <c r="S296" s="274">
        <v>1093.73</v>
      </c>
      <c r="T296" s="274"/>
      <c r="U296" s="276">
        <v>0</v>
      </c>
      <c r="V296" s="276"/>
      <c r="W296" s="276"/>
      <c r="X296" s="277"/>
      <c r="Y296" s="278"/>
      <c r="Z296" s="278"/>
      <c r="AA296" s="278"/>
      <c r="AB296" s="278"/>
      <c r="AC296" s="278"/>
      <c r="AD296" s="278"/>
      <c r="AE296" s="278"/>
    </row>
    <row r="297" spans="1:31" s="260" customFormat="1" ht="11.25" customHeight="1" x14ac:dyDescent="0.2">
      <c r="A297" s="270"/>
      <c r="B297" s="272" t="s">
        <v>232</v>
      </c>
      <c r="C297" s="272" t="s">
        <v>648</v>
      </c>
      <c r="D297" s="272"/>
      <c r="E297" s="272"/>
      <c r="F297" s="272"/>
      <c r="G297" s="272"/>
      <c r="H297" s="276">
        <v>602.77</v>
      </c>
      <c r="I297" s="276"/>
      <c r="J297" s="272" t="s">
        <v>22</v>
      </c>
      <c r="K297" s="272"/>
      <c r="L297" s="275">
        <v>5</v>
      </c>
      <c r="M297" s="276">
        <v>0</v>
      </c>
      <c r="N297" s="276"/>
      <c r="O297" s="276">
        <v>602.77</v>
      </c>
      <c r="P297" s="276"/>
      <c r="Q297" s="276">
        <v>0</v>
      </c>
      <c r="R297" s="276"/>
      <c r="S297" s="276">
        <v>602.77</v>
      </c>
      <c r="T297" s="276"/>
      <c r="U297" s="276">
        <v>0</v>
      </c>
      <c r="V297" s="276"/>
      <c r="W297" s="276"/>
      <c r="X297" s="277"/>
      <c r="Y297" s="278"/>
      <c r="Z297" s="278"/>
      <c r="AA297" s="278"/>
      <c r="AB297" s="278"/>
      <c r="AC297" s="278"/>
      <c r="AD297" s="278"/>
      <c r="AE297" s="278"/>
    </row>
    <row r="298" spans="1:31" ht="15.95" customHeight="1" x14ac:dyDescent="0.2">
      <c r="A298" s="2"/>
      <c r="B298" s="27" t="s">
        <v>233</v>
      </c>
      <c r="C298" s="23"/>
      <c r="D298" s="23"/>
      <c r="E298" s="23"/>
      <c r="F298" s="23"/>
      <c r="G298" s="23"/>
      <c r="H298" s="19">
        <f>SUM(H288:H297)</f>
        <v>19809.75</v>
      </c>
      <c r="I298" s="19"/>
      <c r="J298" s="24" t="s">
        <v>42</v>
      </c>
      <c r="K298" s="24"/>
      <c r="L298" s="2"/>
      <c r="M298" s="25">
        <v>0</v>
      </c>
      <c r="N298" s="25"/>
      <c r="O298" s="19">
        <f>SUM(O288:O297)</f>
        <v>19809.75</v>
      </c>
      <c r="P298" s="19"/>
      <c r="Q298" s="19">
        <f>SUM(Q288:Q297)</f>
        <v>0</v>
      </c>
      <c r="R298" s="25"/>
      <c r="S298" s="19">
        <f>SUM(S288:S297)</f>
        <v>19809.75</v>
      </c>
      <c r="T298" s="19"/>
      <c r="U298" s="19">
        <f>SUM(U288:U297)</f>
        <v>0</v>
      </c>
      <c r="V298" s="25"/>
      <c r="W298" s="25"/>
      <c r="X298" s="208"/>
    </row>
    <row r="299" spans="1:31" ht="18" customHeight="1" x14ac:dyDescent="0.2">
      <c r="A299" s="8"/>
      <c r="B299" s="23"/>
      <c r="C299" s="23"/>
      <c r="D299" s="23"/>
      <c r="E299" s="23"/>
      <c r="F299" s="23"/>
      <c r="G299" s="23"/>
      <c r="H299" s="26"/>
      <c r="I299" s="26"/>
      <c r="J299" s="26"/>
      <c r="K299" s="26"/>
      <c r="L299" s="8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09"/>
    </row>
    <row r="300" spans="1:31" s="260" customFormat="1" ht="11.25" customHeight="1" x14ac:dyDescent="0.2">
      <c r="A300" s="270"/>
      <c r="C300" s="272" t="s">
        <v>234</v>
      </c>
      <c r="D300" s="272"/>
      <c r="E300" s="272"/>
      <c r="F300" s="272"/>
      <c r="G300" s="272"/>
      <c r="H300" s="274">
        <v>4796.7700000000004</v>
      </c>
      <c r="I300" s="274"/>
      <c r="J300" s="272" t="s">
        <v>22</v>
      </c>
      <c r="K300" s="272"/>
      <c r="L300" s="275">
        <v>15</v>
      </c>
      <c r="M300" s="276">
        <v>0</v>
      </c>
      <c r="N300" s="276"/>
      <c r="O300" s="274">
        <v>4796.7700000000004</v>
      </c>
      <c r="P300" s="274"/>
      <c r="Q300" s="276">
        <v>0</v>
      </c>
      <c r="R300" s="276"/>
      <c r="S300" s="274">
        <v>4796.7700000000004</v>
      </c>
      <c r="T300" s="274"/>
      <c r="U300" s="276">
        <v>0</v>
      </c>
      <c r="V300" s="276"/>
      <c r="W300" s="276"/>
      <c r="X300" s="277">
        <v>2000</v>
      </c>
      <c r="Y300" s="278">
        <v>6</v>
      </c>
      <c r="Z300" s="278"/>
      <c r="AA300" s="278"/>
      <c r="AB300" s="278"/>
      <c r="AC300" s="278"/>
      <c r="AD300" s="278"/>
      <c r="AE300" s="278"/>
    </row>
    <row r="301" spans="1:31" s="260" customFormat="1" ht="11.25" customHeight="1" x14ac:dyDescent="0.2">
      <c r="A301" s="270"/>
      <c r="C301" s="272" t="s">
        <v>235</v>
      </c>
      <c r="D301" s="272"/>
      <c r="E301" s="272"/>
      <c r="F301" s="272"/>
      <c r="G301" s="272"/>
      <c r="H301" s="274">
        <v>3506.7</v>
      </c>
      <c r="I301" s="274"/>
      <c r="J301" s="272" t="s">
        <v>22</v>
      </c>
      <c r="K301" s="272"/>
      <c r="L301" s="275">
        <v>15</v>
      </c>
      <c r="M301" s="276">
        <v>0</v>
      </c>
      <c r="N301" s="276"/>
      <c r="O301" s="274">
        <v>3506.7</v>
      </c>
      <c r="P301" s="274"/>
      <c r="Q301" s="276">
        <v>0</v>
      </c>
      <c r="R301" s="276"/>
      <c r="S301" s="274">
        <v>3506.7</v>
      </c>
      <c r="T301" s="274"/>
      <c r="U301" s="276">
        <v>0</v>
      </c>
      <c r="V301" s="276"/>
      <c r="W301" s="276"/>
      <c r="X301" s="277">
        <v>2000</v>
      </c>
      <c r="Y301" s="278">
        <v>8</v>
      </c>
      <c r="Z301" s="278"/>
      <c r="AA301" s="278"/>
      <c r="AB301" s="278"/>
      <c r="AC301" s="278"/>
      <c r="AD301" s="278"/>
      <c r="AE301" s="278"/>
    </row>
    <row r="302" spans="1:31" s="260" customFormat="1" ht="11.25" customHeight="1" x14ac:dyDescent="0.2">
      <c r="A302" s="270"/>
      <c r="C302" s="272" t="s">
        <v>236</v>
      </c>
      <c r="D302" s="272"/>
      <c r="E302" s="272"/>
      <c r="F302" s="272"/>
      <c r="G302" s="272"/>
      <c r="H302" s="274">
        <v>1717.3</v>
      </c>
      <c r="I302" s="274"/>
      <c r="J302" s="272" t="s">
        <v>22</v>
      </c>
      <c r="K302" s="272"/>
      <c r="L302" s="275">
        <v>15</v>
      </c>
      <c r="M302" s="276">
        <v>0</v>
      </c>
      <c r="N302" s="276"/>
      <c r="O302" s="274">
        <v>1717.3</v>
      </c>
      <c r="P302" s="274"/>
      <c r="Q302" s="276">
        <v>0</v>
      </c>
      <c r="R302" s="276"/>
      <c r="S302" s="274">
        <v>1717.3</v>
      </c>
      <c r="T302" s="274"/>
      <c r="U302" s="276">
        <v>0</v>
      </c>
      <c r="V302" s="276"/>
      <c r="W302" s="276"/>
      <c r="X302" s="277">
        <v>2000</v>
      </c>
      <c r="Y302" s="278">
        <v>9</v>
      </c>
      <c r="Z302" s="278"/>
      <c r="AA302" s="278"/>
      <c r="AB302" s="278"/>
      <c r="AC302" s="278"/>
      <c r="AD302" s="278"/>
      <c r="AE302" s="278"/>
    </row>
    <row r="303" spans="1:31" s="260" customFormat="1" ht="11.25" customHeight="1" x14ac:dyDescent="0.2">
      <c r="A303" s="270"/>
      <c r="C303" s="272" t="s">
        <v>237</v>
      </c>
      <c r="D303" s="272"/>
      <c r="E303" s="272"/>
      <c r="F303" s="272"/>
      <c r="G303" s="272"/>
      <c r="H303" s="276">
        <v>822.31</v>
      </c>
      <c r="I303" s="276"/>
      <c r="J303" s="272" t="s">
        <v>22</v>
      </c>
      <c r="K303" s="272"/>
      <c r="L303" s="275">
        <v>15</v>
      </c>
      <c r="M303" s="276">
        <v>0</v>
      </c>
      <c r="N303" s="276"/>
      <c r="O303" s="276">
        <v>822.31</v>
      </c>
      <c r="P303" s="276"/>
      <c r="Q303" s="276">
        <v>0</v>
      </c>
      <c r="R303" s="276"/>
      <c r="S303" s="276">
        <v>822.31</v>
      </c>
      <c r="T303" s="276"/>
      <c r="U303" s="276">
        <v>0</v>
      </c>
      <c r="V303" s="276"/>
      <c r="W303" s="276"/>
      <c r="X303" s="277">
        <v>2000</v>
      </c>
      <c r="Y303" s="278">
        <v>10</v>
      </c>
      <c r="Z303" s="278"/>
      <c r="AA303" s="278"/>
      <c r="AB303" s="278"/>
      <c r="AC303" s="278"/>
      <c r="AD303" s="278"/>
      <c r="AE303" s="278"/>
    </row>
    <row r="304" spans="1:31" s="260" customFormat="1" ht="11.25" customHeight="1" x14ac:dyDescent="0.2">
      <c r="A304" s="270"/>
      <c r="C304" s="272" t="s">
        <v>238</v>
      </c>
      <c r="D304" s="272"/>
      <c r="E304" s="272"/>
      <c r="F304" s="272"/>
      <c r="G304" s="272"/>
      <c r="H304" s="276">
        <v>797.32</v>
      </c>
      <c r="I304" s="276"/>
      <c r="J304" s="272" t="s">
        <v>22</v>
      </c>
      <c r="K304" s="272"/>
      <c r="L304" s="275">
        <v>15</v>
      </c>
      <c r="M304" s="276">
        <v>0</v>
      </c>
      <c r="N304" s="276"/>
      <c r="O304" s="276">
        <v>797.32</v>
      </c>
      <c r="P304" s="276"/>
      <c r="Q304" s="276">
        <v>0</v>
      </c>
      <c r="R304" s="276"/>
      <c r="S304" s="276">
        <v>797.32</v>
      </c>
      <c r="T304" s="276"/>
      <c r="U304" s="276">
        <v>0</v>
      </c>
      <c r="V304" s="276"/>
      <c r="W304" s="276"/>
      <c r="X304" s="277">
        <v>2000</v>
      </c>
      <c r="Y304" s="278">
        <v>11</v>
      </c>
      <c r="Z304" s="278"/>
      <c r="AA304" s="278"/>
      <c r="AB304" s="278"/>
      <c r="AC304" s="278"/>
      <c r="AD304" s="278"/>
      <c r="AE304" s="278"/>
    </row>
    <row r="305" spans="1:31" s="260" customFormat="1" ht="11.25" customHeight="1" x14ac:dyDescent="0.2">
      <c r="A305" s="270"/>
      <c r="C305" s="272" t="s">
        <v>239</v>
      </c>
      <c r="D305" s="272"/>
      <c r="E305" s="272"/>
      <c r="F305" s="272"/>
      <c r="G305" s="272"/>
      <c r="H305" s="274">
        <v>1310.44</v>
      </c>
      <c r="I305" s="274"/>
      <c r="J305" s="272" t="s">
        <v>22</v>
      </c>
      <c r="K305" s="272"/>
      <c r="L305" s="275">
        <v>15</v>
      </c>
      <c r="M305" s="276">
        <v>0</v>
      </c>
      <c r="N305" s="276"/>
      <c r="O305" s="274">
        <v>1310.44</v>
      </c>
      <c r="P305" s="274"/>
      <c r="Q305" s="276">
        <v>0</v>
      </c>
      <c r="R305" s="276"/>
      <c r="S305" s="274">
        <v>1310.44</v>
      </c>
      <c r="T305" s="274"/>
      <c r="U305" s="276">
        <v>0</v>
      </c>
      <c r="V305" s="276"/>
      <c r="W305" s="276"/>
      <c r="X305" s="277">
        <v>2000</v>
      </c>
      <c r="Y305" s="278">
        <v>12</v>
      </c>
      <c r="Z305" s="278"/>
      <c r="AA305" s="278"/>
      <c r="AB305" s="278"/>
      <c r="AC305" s="278"/>
      <c r="AD305" s="278"/>
      <c r="AE305" s="278"/>
    </row>
    <row r="306" spans="1:31" s="260" customFormat="1" ht="11.25" customHeight="1" x14ac:dyDescent="0.2">
      <c r="A306" s="270"/>
      <c r="C306" s="272" t="s">
        <v>240</v>
      </c>
      <c r="D306" s="272"/>
      <c r="E306" s="272"/>
      <c r="F306" s="272"/>
      <c r="G306" s="272"/>
      <c r="H306" s="274">
        <v>2637.28</v>
      </c>
      <c r="I306" s="274"/>
      <c r="J306" s="272" t="s">
        <v>22</v>
      </c>
      <c r="K306" s="272"/>
      <c r="L306" s="275">
        <v>15</v>
      </c>
      <c r="M306" s="276">
        <v>0</v>
      </c>
      <c r="N306" s="276"/>
      <c r="O306" s="274">
        <v>2637.28</v>
      </c>
      <c r="P306" s="274"/>
      <c r="Q306" s="276">
        <v>0</v>
      </c>
      <c r="R306" s="276"/>
      <c r="S306" s="274">
        <v>2637.28</v>
      </c>
      <c r="T306" s="274"/>
      <c r="U306" s="276">
        <v>0</v>
      </c>
      <c r="V306" s="276"/>
      <c r="W306" s="276"/>
      <c r="X306" s="277">
        <v>2000</v>
      </c>
      <c r="Y306" s="278">
        <v>12</v>
      </c>
      <c r="Z306" s="278"/>
      <c r="AA306" s="278"/>
      <c r="AB306" s="278"/>
      <c r="AC306" s="278"/>
      <c r="AD306" s="278"/>
      <c r="AE306" s="278"/>
    </row>
    <row r="307" spans="1:31" s="260" customFormat="1" ht="11.25" customHeight="1" x14ac:dyDescent="0.2">
      <c r="A307" s="270"/>
      <c r="C307" s="272" t="s">
        <v>241</v>
      </c>
      <c r="D307" s="272"/>
      <c r="E307" s="272"/>
      <c r="F307" s="272"/>
      <c r="G307" s="272"/>
      <c r="H307" s="276">
        <v>398.66</v>
      </c>
      <c r="I307" s="276"/>
      <c r="J307" s="272" t="s">
        <v>22</v>
      </c>
      <c r="K307" s="272"/>
      <c r="L307" s="275">
        <v>15</v>
      </c>
      <c r="M307" s="276">
        <v>0</v>
      </c>
      <c r="N307" s="276"/>
      <c r="O307" s="276">
        <v>398.66</v>
      </c>
      <c r="P307" s="276"/>
      <c r="Q307" s="276">
        <v>0</v>
      </c>
      <c r="R307" s="276"/>
      <c r="S307" s="276">
        <v>398.66</v>
      </c>
      <c r="T307" s="276"/>
      <c r="U307" s="276">
        <v>0</v>
      </c>
      <c r="V307" s="276"/>
      <c r="W307" s="276"/>
      <c r="X307" s="277">
        <v>2001</v>
      </c>
      <c r="Y307" s="278">
        <v>1</v>
      </c>
      <c r="Z307" s="278"/>
      <c r="AA307" s="278"/>
      <c r="AB307" s="278"/>
      <c r="AC307" s="278"/>
      <c r="AD307" s="278"/>
      <c r="AE307" s="278"/>
    </row>
    <row r="308" spans="1:31" s="260" customFormat="1" ht="11.25" customHeight="1" x14ac:dyDescent="0.2">
      <c r="A308" s="270"/>
      <c r="C308" s="272" t="s">
        <v>242</v>
      </c>
      <c r="D308" s="272"/>
      <c r="E308" s="272"/>
      <c r="F308" s="272"/>
      <c r="G308" s="272"/>
      <c r="H308" s="276">
        <v>429.32</v>
      </c>
      <c r="I308" s="276"/>
      <c r="J308" s="272" t="s">
        <v>22</v>
      </c>
      <c r="K308" s="272"/>
      <c r="L308" s="275">
        <v>15</v>
      </c>
      <c r="M308" s="276">
        <v>0</v>
      </c>
      <c r="N308" s="276"/>
      <c r="O308" s="276">
        <v>429.32</v>
      </c>
      <c r="P308" s="276"/>
      <c r="Q308" s="276">
        <v>0</v>
      </c>
      <c r="R308" s="276"/>
      <c r="S308" s="276">
        <v>429.32</v>
      </c>
      <c r="T308" s="276"/>
      <c r="U308" s="276">
        <v>0</v>
      </c>
      <c r="V308" s="276"/>
      <c r="W308" s="276"/>
      <c r="X308" s="277">
        <v>2001</v>
      </c>
      <c r="Y308" s="278">
        <v>2</v>
      </c>
      <c r="Z308" s="278"/>
      <c r="AA308" s="278"/>
      <c r="AB308" s="278"/>
      <c r="AC308" s="278"/>
      <c r="AD308" s="278"/>
      <c r="AE308" s="278"/>
    </row>
    <row r="309" spans="1:31" s="260" customFormat="1" ht="11.25" customHeight="1" x14ac:dyDescent="0.2">
      <c r="A309" s="270"/>
      <c r="C309" s="272" t="s">
        <v>243</v>
      </c>
      <c r="D309" s="272"/>
      <c r="E309" s="272"/>
      <c r="F309" s="272"/>
      <c r="G309" s="272"/>
      <c r="H309" s="276">
        <v>965.98</v>
      </c>
      <c r="I309" s="276"/>
      <c r="J309" s="272" t="s">
        <v>22</v>
      </c>
      <c r="K309" s="272"/>
      <c r="L309" s="275">
        <v>15</v>
      </c>
      <c r="M309" s="276">
        <v>0</v>
      </c>
      <c r="N309" s="276"/>
      <c r="O309" s="276">
        <v>965.98</v>
      </c>
      <c r="P309" s="276"/>
      <c r="Q309" s="276">
        <v>0</v>
      </c>
      <c r="R309" s="276"/>
      <c r="S309" s="276">
        <v>965.98</v>
      </c>
      <c r="T309" s="276"/>
      <c r="U309" s="276">
        <v>0</v>
      </c>
      <c r="V309" s="276"/>
      <c r="W309" s="276"/>
      <c r="X309" s="277">
        <v>2001</v>
      </c>
      <c r="Y309" s="278">
        <v>3</v>
      </c>
      <c r="Z309" s="278"/>
      <c r="AA309" s="278"/>
      <c r="AB309" s="278"/>
      <c r="AC309" s="278"/>
      <c r="AD309" s="278"/>
      <c r="AE309" s="278"/>
    </row>
    <row r="310" spans="1:31" s="260" customFormat="1" ht="11.25" customHeight="1" x14ac:dyDescent="0.2">
      <c r="A310" s="270"/>
      <c r="C310" s="272" t="s">
        <v>244</v>
      </c>
      <c r="D310" s="272"/>
      <c r="E310" s="272"/>
      <c r="F310" s="272"/>
      <c r="G310" s="272"/>
      <c r="H310" s="274">
        <v>1522.54</v>
      </c>
      <c r="I310" s="274"/>
      <c r="J310" s="272" t="s">
        <v>22</v>
      </c>
      <c r="K310" s="272"/>
      <c r="L310" s="275">
        <v>15</v>
      </c>
      <c r="M310" s="276">
        <v>0</v>
      </c>
      <c r="N310" s="276"/>
      <c r="O310" s="274">
        <v>1522.54</v>
      </c>
      <c r="P310" s="274"/>
      <c r="Q310" s="276">
        <v>0</v>
      </c>
      <c r="R310" s="276"/>
      <c r="S310" s="274">
        <v>1522.54</v>
      </c>
      <c r="T310" s="274"/>
      <c r="U310" s="276">
        <v>0</v>
      </c>
      <c r="V310" s="276"/>
      <c r="W310" s="276"/>
      <c r="X310" s="277">
        <v>2001</v>
      </c>
      <c r="Y310" s="278">
        <v>4</v>
      </c>
      <c r="Z310" s="278"/>
      <c r="AA310" s="278"/>
      <c r="AB310" s="278"/>
      <c r="AC310" s="278"/>
      <c r="AD310" s="278"/>
      <c r="AE310" s="278"/>
    </row>
    <row r="311" spans="1:31" s="260" customFormat="1" ht="11.25" customHeight="1" x14ac:dyDescent="0.2">
      <c r="A311" s="270"/>
      <c r="C311" s="272" t="s">
        <v>245</v>
      </c>
      <c r="D311" s="272"/>
      <c r="E311" s="272"/>
      <c r="F311" s="272"/>
      <c r="G311" s="272"/>
      <c r="H311" s="276">
        <v>356.88</v>
      </c>
      <c r="I311" s="276"/>
      <c r="J311" s="272" t="s">
        <v>22</v>
      </c>
      <c r="K311" s="272"/>
      <c r="L311" s="275">
        <v>15</v>
      </c>
      <c r="M311" s="276">
        <v>0</v>
      </c>
      <c r="N311" s="276"/>
      <c r="O311" s="276">
        <v>356.88</v>
      </c>
      <c r="P311" s="276"/>
      <c r="Q311" s="276">
        <v>0</v>
      </c>
      <c r="R311" s="276"/>
      <c r="S311" s="276">
        <v>356.88</v>
      </c>
      <c r="T311" s="276"/>
      <c r="U311" s="276">
        <v>0</v>
      </c>
      <c r="V311" s="276"/>
      <c r="W311" s="276"/>
      <c r="X311" s="277">
        <v>2001</v>
      </c>
      <c r="Y311" s="278">
        <v>4</v>
      </c>
      <c r="Z311" s="278"/>
      <c r="AA311" s="278"/>
      <c r="AB311" s="278"/>
      <c r="AC311" s="278"/>
      <c r="AD311" s="278"/>
      <c r="AE311" s="278"/>
    </row>
    <row r="312" spans="1:31" s="260" customFormat="1" ht="11.25" customHeight="1" x14ac:dyDescent="0.2">
      <c r="A312" s="270"/>
      <c r="C312" s="272" t="s">
        <v>246</v>
      </c>
      <c r="D312" s="272"/>
      <c r="E312" s="272"/>
      <c r="F312" s="272"/>
      <c r="G312" s="272"/>
      <c r="H312" s="276">
        <v>245.33</v>
      </c>
      <c r="I312" s="276"/>
      <c r="J312" s="272" t="s">
        <v>22</v>
      </c>
      <c r="K312" s="272"/>
      <c r="L312" s="275">
        <v>15</v>
      </c>
      <c r="M312" s="276">
        <v>0</v>
      </c>
      <c r="N312" s="276"/>
      <c r="O312" s="276">
        <v>245.33</v>
      </c>
      <c r="P312" s="276"/>
      <c r="Q312" s="276">
        <v>0</v>
      </c>
      <c r="R312" s="276"/>
      <c r="S312" s="276">
        <v>245.33</v>
      </c>
      <c r="T312" s="276"/>
      <c r="U312" s="276">
        <v>0</v>
      </c>
      <c r="V312" s="276"/>
      <c r="W312" s="276"/>
      <c r="X312" s="277">
        <v>2001</v>
      </c>
      <c r="Y312" s="278">
        <v>4</v>
      </c>
      <c r="Z312" s="278"/>
      <c r="AA312" s="278"/>
      <c r="AB312" s="278"/>
      <c r="AC312" s="278"/>
      <c r="AD312" s="278"/>
      <c r="AE312" s="278"/>
    </row>
    <row r="313" spans="1:31" s="260" customFormat="1" ht="11.25" customHeight="1" x14ac:dyDescent="0.2">
      <c r="A313" s="270"/>
      <c r="C313" s="272" t="s">
        <v>247</v>
      </c>
      <c r="D313" s="272"/>
      <c r="E313" s="272"/>
      <c r="F313" s="272"/>
      <c r="G313" s="272"/>
      <c r="H313" s="274">
        <v>7000</v>
      </c>
      <c r="I313" s="274"/>
      <c r="J313" s="272" t="s">
        <v>22</v>
      </c>
      <c r="K313" s="272"/>
      <c r="L313" s="275">
        <v>15</v>
      </c>
      <c r="M313" s="276">
        <v>0</v>
      </c>
      <c r="N313" s="276"/>
      <c r="O313" s="274">
        <v>7000</v>
      </c>
      <c r="P313" s="274"/>
      <c r="Q313" s="276">
        <v>0</v>
      </c>
      <c r="R313" s="276"/>
      <c r="S313" s="274">
        <v>7000</v>
      </c>
      <c r="T313" s="274"/>
      <c r="U313" s="276">
        <v>0</v>
      </c>
      <c r="V313" s="276"/>
      <c r="W313" s="276"/>
      <c r="X313" s="277">
        <v>2001</v>
      </c>
      <c r="Y313" s="278">
        <v>4</v>
      </c>
      <c r="Z313" s="278"/>
      <c r="AA313" s="278"/>
      <c r="AB313" s="278"/>
      <c r="AC313" s="278"/>
      <c r="AD313" s="278"/>
      <c r="AE313" s="278"/>
    </row>
    <row r="314" spans="1:31" s="260" customFormat="1" ht="11.25" customHeight="1" x14ac:dyDescent="0.2">
      <c r="A314" s="270"/>
      <c r="C314" s="272" t="s">
        <v>248</v>
      </c>
      <c r="D314" s="272"/>
      <c r="E314" s="272"/>
      <c r="F314" s="272"/>
      <c r="G314" s="272"/>
      <c r="H314" s="274">
        <v>11590.83</v>
      </c>
      <c r="I314" s="274"/>
      <c r="J314" s="272" t="s">
        <v>22</v>
      </c>
      <c r="K314" s="272"/>
      <c r="L314" s="275">
        <v>15</v>
      </c>
      <c r="M314" s="276">
        <v>0</v>
      </c>
      <c r="N314" s="276"/>
      <c r="O314" s="274">
        <v>11590.83</v>
      </c>
      <c r="P314" s="274"/>
      <c r="Q314" s="276">
        <v>0</v>
      </c>
      <c r="R314" s="276"/>
      <c r="S314" s="274">
        <v>11590.83</v>
      </c>
      <c r="T314" s="274"/>
      <c r="U314" s="276">
        <v>0</v>
      </c>
      <c r="V314" s="276"/>
      <c r="W314" s="276"/>
      <c r="X314" s="277">
        <v>2001</v>
      </c>
      <c r="Y314" s="278">
        <v>8</v>
      </c>
      <c r="Z314" s="278"/>
      <c r="AA314" s="278"/>
      <c r="AB314" s="278"/>
      <c r="AC314" s="278"/>
      <c r="AD314" s="278"/>
      <c r="AE314" s="278"/>
    </row>
    <row r="315" spans="1:31" s="260" customFormat="1" ht="11.25" customHeight="1" x14ac:dyDescent="0.2">
      <c r="A315" s="270"/>
      <c r="C315" s="272" t="s">
        <v>249</v>
      </c>
      <c r="D315" s="272"/>
      <c r="E315" s="272"/>
      <c r="F315" s="272"/>
      <c r="G315" s="272"/>
      <c r="H315" s="274">
        <v>1655.96</v>
      </c>
      <c r="I315" s="274"/>
      <c r="J315" s="272" t="s">
        <v>22</v>
      </c>
      <c r="K315" s="272"/>
      <c r="L315" s="275">
        <v>15</v>
      </c>
      <c r="M315" s="276">
        <v>0</v>
      </c>
      <c r="N315" s="276"/>
      <c r="O315" s="274">
        <v>1655.96</v>
      </c>
      <c r="P315" s="274"/>
      <c r="Q315" s="276">
        <v>0</v>
      </c>
      <c r="R315" s="276"/>
      <c r="S315" s="274">
        <v>1655.96</v>
      </c>
      <c r="T315" s="274"/>
      <c r="U315" s="276">
        <v>0</v>
      </c>
      <c r="V315" s="276"/>
      <c r="W315" s="276"/>
      <c r="X315" s="277">
        <v>2001</v>
      </c>
      <c r="Y315" s="278">
        <v>9</v>
      </c>
      <c r="Z315" s="278"/>
      <c r="AA315" s="278"/>
      <c r="AB315" s="278"/>
      <c r="AC315" s="278"/>
      <c r="AD315" s="278"/>
      <c r="AE315" s="278"/>
    </row>
    <row r="316" spans="1:31" s="260" customFormat="1" ht="11.25" customHeight="1" x14ac:dyDescent="0.2">
      <c r="A316" s="270"/>
      <c r="C316" s="272" t="s">
        <v>250</v>
      </c>
      <c r="D316" s="272"/>
      <c r="E316" s="272"/>
      <c r="F316" s="272"/>
      <c r="G316" s="272"/>
      <c r="H316" s="274">
        <v>1334.33</v>
      </c>
      <c r="I316" s="274"/>
      <c r="J316" s="272" t="s">
        <v>22</v>
      </c>
      <c r="K316" s="272"/>
      <c r="L316" s="275">
        <v>15</v>
      </c>
      <c r="M316" s="276">
        <v>0</v>
      </c>
      <c r="N316" s="276"/>
      <c r="O316" s="274">
        <v>1334.33</v>
      </c>
      <c r="P316" s="274"/>
      <c r="Q316" s="276">
        <v>0</v>
      </c>
      <c r="R316" s="276"/>
      <c r="S316" s="274">
        <v>1334.33</v>
      </c>
      <c r="T316" s="274"/>
      <c r="U316" s="276">
        <v>0</v>
      </c>
      <c r="V316" s="276"/>
      <c r="W316" s="276"/>
      <c r="X316" s="277">
        <v>2002</v>
      </c>
      <c r="Y316" s="278">
        <v>5</v>
      </c>
      <c r="Z316" s="278"/>
      <c r="AA316" s="278"/>
      <c r="AB316" s="278"/>
      <c r="AC316" s="278"/>
      <c r="AD316" s="278"/>
      <c r="AE316" s="278"/>
    </row>
    <row r="317" spans="1:31" s="260" customFormat="1" ht="11.25" customHeight="1" x14ac:dyDescent="0.2">
      <c r="A317" s="270"/>
      <c r="C317" s="272" t="s">
        <v>251</v>
      </c>
      <c r="D317" s="272"/>
      <c r="E317" s="272"/>
      <c r="F317" s="272"/>
      <c r="G317" s="272"/>
      <c r="H317" s="274">
        <v>1147.74</v>
      </c>
      <c r="I317" s="274"/>
      <c r="J317" s="272" t="s">
        <v>22</v>
      </c>
      <c r="K317" s="272"/>
      <c r="L317" s="275">
        <v>15</v>
      </c>
      <c r="M317" s="276">
        <v>0</v>
      </c>
      <c r="N317" s="276"/>
      <c r="O317" s="274">
        <v>1147.74</v>
      </c>
      <c r="P317" s="274"/>
      <c r="Q317" s="276">
        <v>0</v>
      </c>
      <c r="R317" s="276"/>
      <c r="S317" s="274">
        <v>1147.74</v>
      </c>
      <c r="T317" s="274"/>
      <c r="U317" s="276">
        <v>0</v>
      </c>
      <c r="V317" s="276"/>
      <c r="W317" s="276"/>
      <c r="X317" s="277">
        <v>2002</v>
      </c>
      <c r="Y317" s="278">
        <v>10</v>
      </c>
      <c r="Z317" s="278"/>
      <c r="AA317" s="278"/>
      <c r="AB317" s="278"/>
      <c r="AC317" s="278"/>
      <c r="AD317" s="278"/>
      <c r="AE317" s="278"/>
    </row>
    <row r="318" spans="1:31" s="260" customFormat="1" ht="11.25" customHeight="1" x14ac:dyDescent="0.2">
      <c r="A318" s="270"/>
      <c r="C318" s="272" t="s">
        <v>252</v>
      </c>
      <c r="D318" s="272"/>
      <c r="E318" s="272"/>
      <c r="F318" s="272"/>
      <c r="G318" s="272"/>
      <c r="H318" s="276">
        <v>677.67</v>
      </c>
      <c r="I318" s="276"/>
      <c r="J318" s="272" t="s">
        <v>22</v>
      </c>
      <c r="K318" s="272"/>
      <c r="L318" s="275">
        <v>15</v>
      </c>
      <c r="M318" s="276">
        <v>0</v>
      </c>
      <c r="N318" s="276"/>
      <c r="O318" s="276">
        <v>677.67</v>
      </c>
      <c r="P318" s="276"/>
      <c r="Q318" s="276">
        <v>0</v>
      </c>
      <c r="R318" s="276"/>
      <c r="S318" s="276">
        <v>677.67</v>
      </c>
      <c r="T318" s="276"/>
      <c r="U318" s="276">
        <v>0</v>
      </c>
      <c r="V318" s="276"/>
      <c r="W318" s="276"/>
      <c r="X318" s="277">
        <v>2003</v>
      </c>
      <c r="Y318" s="278">
        <v>5</v>
      </c>
      <c r="Z318" s="278"/>
      <c r="AA318" s="278"/>
      <c r="AB318" s="278"/>
      <c r="AC318" s="278"/>
      <c r="AD318" s="278"/>
      <c r="AE318" s="278"/>
    </row>
    <row r="319" spans="1:31" s="260" customFormat="1" ht="15" customHeight="1" x14ac:dyDescent="0.2">
      <c r="A319" s="270"/>
      <c r="B319" s="271">
        <v>44</v>
      </c>
      <c r="C319" s="272" t="s">
        <v>253</v>
      </c>
      <c r="D319" s="272"/>
      <c r="E319" s="272"/>
      <c r="F319" s="272"/>
      <c r="G319" s="273">
        <v>37748</v>
      </c>
      <c r="H319" s="275">
        <v>710.16</v>
      </c>
      <c r="J319" s="272" t="s">
        <v>22</v>
      </c>
      <c r="K319" s="272"/>
      <c r="L319" s="275">
        <v>15</v>
      </c>
      <c r="M319" s="275">
        <v>0</v>
      </c>
      <c r="O319" s="276">
        <v>710.16</v>
      </c>
      <c r="P319" s="276">
        <v>0</v>
      </c>
      <c r="Q319" s="276"/>
      <c r="S319" s="276">
        <v>710.16</v>
      </c>
      <c r="T319" s="276">
        <v>0</v>
      </c>
      <c r="U319" s="276"/>
      <c r="V319" s="276"/>
      <c r="W319" s="276"/>
      <c r="X319" s="277">
        <f t="shared" ref="X319" si="20">YEAR(G319)</f>
        <v>2003</v>
      </c>
      <c r="Y319" s="277">
        <f t="shared" ref="Y319" si="21">MONTH(G319)</f>
        <v>5</v>
      </c>
      <c r="Z319" s="278"/>
      <c r="AA319" s="278"/>
      <c r="AB319" s="278"/>
      <c r="AC319" s="278"/>
      <c r="AD319" s="278"/>
      <c r="AE319" s="278"/>
    </row>
    <row r="320" spans="1:31" s="260" customFormat="1" ht="11.25" customHeight="1" x14ac:dyDescent="0.2">
      <c r="A320" s="270"/>
      <c r="B320" s="271">
        <v>46</v>
      </c>
      <c r="C320" s="272" t="s">
        <v>254</v>
      </c>
      <c r="D320" s="272"/>
      <c r="E320" s="272"/>
      <c r="F320" s="272"/>
      <c r="G320" s="273">
        <v>37795</v>
      </c>
      <c r="H320" s="283">
        <v>1124.25</v>
      </c>
      <c r="J320" s="272" t="s">
        <v>22</v>
      </c>
      <c r="K320" s="272"/>
      <c r="L320" s="275">
        <v>15</v>
      </c>
      <c r="M320" s="275">
        <v>0</v>
      </c>
      <c r="O320" s="274">
        <v>1124.25</v>
      </c>
      <c r="P320" s="276">
        <v>0</v>
      </c>
      <c r="Q320" s="276"/>
      <c r="S320" s="274">
        <v>1124.25</v>
      </c>
      <c r="T320" s="276">
        <v>0</v>
      </c>
      <c r="U320" s="276"/>
      <c r="V320" s="276"/>
      <c r="W320" s="276"/>
      <c r="X320" s="277">
        <f t="shared" ref="X320:X327" si="22">YEAR(G320)</f>
        <v>2003</v>
      </c>
      <c r="Y320" s="277">
        <f t="shared" ref="Y320:Y327" si="23">MONTH(G320)</f>
        <v>6</v>
      </c>
      <c r="Z320" s="278"/>
      <c r="AA320" s="278"/>
      <c r="AB320" s="278"/>
      <c r="AC320" s="278"/>
      <c r="AD320" s="278"/>
      <c r="AE320" s="278"/>
    </row>
    <row r="321" spans="1:31" s="260" customFormat="1" ht="11.25" customHeight="1" x14ac:dyDescent="0.2">
      <c r="A321" s="270"/>
      <c r="B321" s="271">
        <v>47</v>
      </c>
      <c r="C321" s="272" t="s">
        <v>255</v>
      </c>
      <c r="D321" s="272"/>
      <c r="E321" s="272"/>
      <c r="F321" s="272"/>
      <c r="G321" s="273">
        <v>37802</v>
      </c>
      <c r="H321" s="275">
        <v>322.8</v>
      </c>
      <c r="J321" s="272" t="s">
        <v>22</v>
      </c>
      <c r="K321" s="272"/>
      <c r="L321" s="275">
        <v>15</v>
      </c>
      <c r="M321" s="275">
        <v>0</v>
      </c>
      <c r="O321" s="276">
        <v>322.8</v>
      </c>
      <c r="P321" s="276">
        <v>0</v>
      </c>
      <c r="Q321" s="276"/>
      <c r="S321" s="276">
        <v>322.8</v>
      </c>
      <c r="T321" s="276">
        <v>0</v>
      </c>
      <c r="U321" s="276"/>
      <c r="V321" s="276"/>
      <c r="W321" s="276"/>
      <c r="X321" s="277">
        <f t="shared" si="22"/>
        <v>2003</v>
      </c>
      <c r="Y321" s="277">
        <f t="shared" si="23"/>
        <v>6</v>
      </c>
      <c r="Z321" s="278"/>
      <c r="AA321" s="278"/>
      <c r="AB321" s="278"/>
      <c r="AC321" s="278"/>
      <c r="AD321" s="278"/>
      <c r="AE321" s="278"/>
    </row>
    <row r="322" spans="1:31" s="260" customFormat="1" ht="11.25" customHeight="1" x14ac:dyDescent="0.2">
      <c r="A322" s="270"/>
      <c r="B322" s="271">
        <v>52</v>
      </c>
      <c r="C322" s="272" t="s">
        <v>256</v>
      </c>
      <c r="D322" s="272"/>
      <c r="E322" s="272"/>
      <c r="F322" s="272"/>
      <c r="G322" s="273">
        <v>37833</v>
      </c>
      <c r="H322" s="283">
        <v>2485.56</v>
      </c>
      <c r="J322" s="272" t="s">
        <v>22</v>
      </c>
      <c r="K322" s="272"/>
      <c r="L322" s="275">
        <v>15</v>
      </c>
      <c r="M322" s="275">
        <v>0</v>
      </c>
      <c r="O322" s="274">
        <v>2485.56</v>
      </c>
      <c r="P322" s="276">
        <v>0</v>
      </c>
      <c r="Q322" s="276"/>
      <c r="S322" s="274">
        <v>2485.56</v>
      </c>
      <c r="T322" s="276">
        <v>0</v>
      </c>
      <c r="U322" s="276"/>
      <c r="V322" s="276"/>
      <c r="W322" s="276"/>
      <c r="X322" s="277">
        <f t="shared" si="22"/>
        <v>2003</v>
      </c>
      <c r="Y322" s="277">
        <f t="shared" si="23"/>
        <v>7</v>
      </c>
      <c r="Z322" s="278"/>
      <c r="AA322" s="278"/>
      <c r="AB322" s="278"/>
      <c r="AC322" s="278"/>
      <c r="AD322" s="278"/>
      <c r="AE322" s="278"/>
    </row>
    <row r="323" spans="1:31" s="260" customFormat="1" ht="11.25" customHeight="1" x14ac:dyDescent="0.2">
      <c r="A323" s="270"/>
      <c r="B323" s="271">
        <v>53</v>
      </c>
      <c r="C323" s="272" t="s">
        <v>257</v>
      </c>
      <c r="D323" s="272"/>
      <c r="E323" s="272"/>
      <c r="F323" s="272"/>
      <c r="G323" s="273">
        <v>37861</v>
      </c>
      <c r="H323" s="275">
        <v>940.56</v>
      </c>
      <c r="J323" s="272" t="s">
        <v>22</v>
      </c>
      <c r="K323" s="272"/>
      <c r="L323" s="275">
        <v>15</v>
      </c>
      <c r="M323" s="275">
        <v>0</v>
      </c>
      <c r="O323" s="276">
        <v>940.56</v>
      </c>
      <c r="P323" s="276">
        <v>0</v>
      </c>
      <c r="Q323" s="276"/>
      <c r="S323" s="276">
        <v>940.56</v>
      </c>
      <c r="T323" s="276">
        <v>0</v>
      </c>
      <c r="U323" s="276"/>
      <c r="V323" s="276"/>
      <c r="W323" s="276"/>
      <c r="X323" s="277">
        <f t="shared" si="22"/>
        <v>2003</v>
      </c>
      <c r="Y323" s="277">
        <f t="shared" si="23"/>
        <v>8</v>
      </c>
      <c r="Z323" s="278"/>
      <c r="AA323" s="278"/>
      <c r="AB323" s="278"/>
      <c r="AC323" s="278"/>
      <c r="AD323" s="278"/>
      <c r="AE323" s="278"/>
    </row>
    <row r="324" spans="1:31" s="260" customFormat="1" ht="11.25" customHeight="1" x14ac:dyDescent="0.2">
      <c r="A324" s="270"/>
      <c r="B324" s="271">
        <v>54</v>
      </c>
      <c r="C324" s="272" t="s">
        <v>256</v>
      </c>
      <c r="D324" s="272"/>
      <c r="E324" s="272"/>
      <c r="F324" s="272"/>
      <c r="G324" s="273">
        <v>37847</v>
      </c>
      <c r="H324" s="283">
        <v>2065.92</v>
      </c>
      <c r="J324" s="272" t="s">
        <v>22</v>
      </c>
      <c r="K324" s="272"/>
      <c r="L324" s="275">
        <v>15</v>
      </c>
      <c r="M324" s="275">
        <v>0</v>
      </c>
      <c r="O324" s="274">
        <v>2065.92</v>
      </c>
      <c r="P324" s="276">
        <v>0</v>
      </c>
      <c r="Q324" s="276"/>
      <c r="S324" s="274">
        <v>2065.92</v>
      </c>
      <c r="T324" s="276">
        <v>0</v>
      </c>
      <c r="U324" s="276"/>
      <c r="V324" s="276"/>
      <c r="W324" s="276"/>
      <c r="X324" s="277">
        <f t="shared" si="22"/>
        <v>2003</v>
      </c>
      <c r="Y324" s="277">
        <f t="shared" si="23"/>
        <v>8</v>
      </c>
      <c r="Z324" s="278"/>
      <c r="AA324" s="278"/>
      <c r="AB324" s="278"/>
      <c r="AC324" s="278"/>
      <c r="AD324" s="278"/>
      <c r="AE324" s="278"/>
    </row>
    <row r="325" spans="1:31" s="260" customFormat="1" ht="11.25" customHeight="1" x14ac:dyDescent="0.2">
      <c r="A325" s="270"/>
      <c r="B325" s="271">
        <v>55</v>
      </c>
      <c r="C325" s="272" t="s">
        <v>257</v>
      </c>
      <c r="D325" s="272"/>
      <c r="E325" s="272"/>
      <c r="F325" s="272"/>
      <c r="G325" s="273">
        <v>37893</v>
      </c>
      <c r="H325" s="283">
        <v>1221.49</v>
      </c>
      <c r="J325" s="272" t="s">
        <v>22</v>
      </c>
      <c r="K325" s="272"/>
      <c r="L325" s="275">
        <v>15</v>
      </c>
      <c r="M325" s="275">
        <v>0</v>
      </c>
      <c r="O325" s="274">
        <v>1221.49</v>
      </c>
      <c r="P325" s="276">
        <v>0</v>
      </c>
      <c r="Q325" s="276"/>
      <c r="S325" s="274">
        <v>1221.49</v>
      </c>
      <c r="T325" s="276">
        <v>0</v>
      </c>
      <c r="U325" s="276"/>
      <c r="V325" s="276"/>
      <c r="W325" s="276"/>
      <c r="X325" s="277">
        <f t="shared" si="22"/>
        <v>2003</v>
      </c>
      <c r="Y325" s="277">
        <f t="shared" si="23"/>
        <v>9</v>
      </c>
      <c r="Z325" s="278"/>
      <c r="AA325" s="278"/>
      <c r="AB325" s="278"/>
      <c r="AC325" s="278"/>
      <c r="AD325" s="278"/>
      <c r="AE325" s="278"/>
    </row>
    <row r="326" spans="1:31" s="260" customFormat="1" ht="11.25" customHeight="1" x14ac:dyDescent="0.2">
      <c r="A326" s="270"/>
      <c r="B326" s="271">
        <v>56</v>
      </c>
      <c r="C326" s="272" t="s">
        <v>258</v>
      </c>
      <c r="D326" s="272"/>
      <c r="E326" s="272"/>
      <c r="F326" s="272"/>
      <c r="G326" s="273">
        <v>37893</v>
      </c>
      <c r="H326" s="283">
        <v>1704.53</v>
      </c>
      <c r="J326" s="272" t="s">
        <v>22</v>
      </c>
      <c r="K326" s="272"/>
      <c r="L326" s="275">
        <v>15</v>
      </c>
      <c r="M326" s="275">
        <v>0</v>
      </c>
      <c r="O326" s="274">
        <v>1704.53</v>
      </c>
      <c r="P326" s="276">
        <v>0</v>
      </c>
      <c r="Q326" s="276"/>
      <c r="S326" s="274">
        <v>1704.53</v>
      </c>
      <c r="T326" s="276">
        <v>0</v>
      </c>
      <c r="U326" s="276"/>
      <c r="V326" s="276"/>
      <c r="W326" s="276"/>
      <c r="X326" s="277">
        <f t="shared" si="22"/>
        <v>2003</v>
      </c>
      <c r="Y326" s="277">
        <f t="shared" si="23"/>
        <v>9</v>
      </c>
      <c r="Z326" s="278"/>
      <c r="AA326" s="278"/>
      <c r="AB326" s="278"/>
      <c r="AC326" s="278"/>
      <c r="AD326" s="278"/>
      <c r="AE326" s="278"/>
    </row>
    <row r="327" spans="1:31" s="260" customFormat="1" ht="11.25" customHeight="1" x14ac:dyDescent="0.2">
      <c r="A327" s="270"/>
      <c r="B327" s="271">
        <v>58</v>
      </c>
      <c r="C327" s="272" t="s">
        <v>259</v>
      </c>
      <c r="D327" s="272"/>
      <c r="E327" s="272"/>
      <c r="F327" s="272"/>
      <c r="G327" s="273">
        <v>37923</v>
      </c>
      <c r="H327" s="283">
        <v>1248.04</v>
      </c>
      <c r="J327" s="272" t="s">
        <v>22</v>
      </c>
      <c r="K327" s="272"/>
      <c r="L327" s="275">
        <v>15</v>
      </c>
      <c r="M327" s="275">
        <v>0</v>
      </c>
      <c r="O327" s="274">
        <v>1248.04</v>
      </c>
      <c r="P327" s="276">
        <v>0</v>
      </c>
      <c r="Q327" s="276"/>
      <c r="S327" s="274">
        <v>1248.04</v>
      </c>
      <c r="T327" s="276">
        <v>0</v>
      </c>
      <c r="U327" s="276"/>
      <c r="V327" s="276"/>
      <c r="W327" s="276"/>
      <c r="X327" s="277">
        <f t="shared" si="22"/>
        <v>2003</v>
      </c>
      <c r="Y327" s="277">
        <f t="shared" si="23"/>
        <v>10</v>
      </c>
      <c r="Z327" s="278"/>
      <c r="AA327" s="278"/>
      <c r="AB327" s="278"/>
      <c r="AC327" s="278"/>
      <c r="AD327" s="278"/>
      <c r="AE327" s="278"/>
    </row>
    <row r="328" spans="1:31" ht="23.45" customHeight="1" x14ac:dyDescent="0.2">
      <c r="A328" s="8"/>
      <c r="B328" s="28" t="s">
        <v>260</v>
      </c>
      <c r="C328" s="23"/>
      <c r="D328" s="23"/>
      <c r="E328" s="23"/>
      <c r="F328" s="23"/>
      <c r="G328" s="23"/>
      <c r="H328" s="9">
        <f>SUM(H300:H327)</f>
        <v>54736.67</v>
      </c>
      <c r="I328" s="24" t="s">
        <v>42</v>
      </c>
      <c r="J328" s="24"/>
      <c r="K328" s="25">
        <v>0</v>
      </c>
      <c r="L328" s="25"/>
      <c r="M328" s="25"/>
      <c r="O328" s="9">
        <f>SUM(O300:O327)</f>
        <v>54736.67</v>
      </c>
      <c r="P328" s="25">
        <v>0</v>
      </c>
      <c r="Q328" s="25"/>
      <c r="S328" s="9">
        <f>SUM(S300:S327)</f>
        <v>54736.67</v>
      </c>
      <c r="T328" s="25">
        <v>0</v>
      </c>
      <c r="U328" s="25"/>
      <c r="V328" s="25"/>
      <c r="W328" s="25"/>
      <c r="X328" s="209"/>
      <c r="Y328" s="209"/>
    </row>
    <row r="329" spans="1:31" ht="15.6" customHeight="1" x14ac:dyDescent="0.2">
      <c r="A329" s="10" t="s">
        <v>261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205"/>
      <c r="Y329" s="205"/>
    </row>
    <row r="330" spans="1:31" s="260" customFormat="1" ht="11.25" customHeight="1" x14ac:dyDescent="0.2">
      <c r="A330" s="270"/>
      <c r="C330" s="272" t="s">
        <v>262</v>
      </c>
      <c r="D330" s="281">
        <v>37073</v>
      </c>
      <c r="E330" s="281"/>
      <c r="F330" s="281"/>
      <c r="G330" s="281"/>
      <c r="H330" s="274">
        <v>225000</v>
      </c>
      <c r="I330" s="274"/>
      <c r="J330" s="274"/>
      <c r="K330" s="280" t="s">
        <v>263</v>
      </c>
      <c r="L330" s="275">
        <v>5</v>
      </c>
      <c r="M330" s="275">
        <v>0</v>
      </c>
      <c r="O330" s="276">
        <v>0</v>
      </c>
      <c r="P330" s="276">
        <v>0</v>
      </c>
      <c r="Q330" s="276"/>
      <c r="S330" s="276">
        <v>0</v>
      </c>
      <c r="T330" s="274">
        <v>225000</v>
      </c>
      <c r="U330" s="274"/>
      <c r="V330" s="274"/>
      <c r="W330" s="274"/>
      <c r="X330" s="277">
        <v>2001</v>
      </c>
      <c r="Y330" s="277">
        <v>7</v>
      </c>
      <c r="Z330" s="278"/>
      <c r="AA330" s="278"/>
      <c r="AB330" s="278"/>
      <c r="AC330" s="278"/>
      <c r="AD330" s="278"/>
      <c r="AE330" s="278"/>
    </row>
    <row r="331" spans="1:31" ht="22.5" customHeight="1" x14ac:dyDescent="0.2">
      <c r="A331" s="8"/>
      <c r="B331" s="26"/>
      <c r="C331" s="26"/>
      <c r="D331" s="23" t="s">
        <v>264</v>
      </c>
      <c r="E331" s="23"/>
      <c r="F331" s="23"/>
      <c r="G331" s="23"/>
      <c r="H331" s="22" t="s">
        <v>265</v>
      </c>
      <c r="I331" s="22"/>
      <c r="J331" s="22"/>
      <c r="K331" s="8"/>
      <c r="L331" s="8"/>
      <c r="M331" s="11">
        <v>0</v>
      </c>
      <c r="O331" s="25">
        <v>0</v>
      </c>
      <c r="P331" s="25">
        <v>0</v>
      </c>
      <c r="Q331" s="25"/>
      <c r="S331" s="25">
        <v>0</v>
      </c>
      <c r="T331" s="19">
        <v>225000</v>
      </c>
      <c r="U331" s="19"/>
      <c r="V331" s="19"/>
      <c r="W331" s="19"/>
      <c r="X331" s="209"/>
      <c r="Y331" s="209"/>
    </row>
    <row r="332" spans="1:31" ht="14.45" customHeight="1" x14ac:dyDescent="0.2">
      <c r="A332" s="10" t="s">
        <v>266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O332" s="10"/>
      <c r="P332" s="10"/>
      <c r="Q332" s="10"/>
      <c r="S332" s="10"/>
      <c r="T332" s="10"/>
      <c r="U332" s="10"/>
      <c r="V332" s="10"/>
      <c r="W332" s="10"/>
      <c r="X332" s="205"/>
      <c r="Y332" s="205"/>
    </row>
    <row r="333" spans="1:31" s="260" customFormat="1" ht="11.25" customHeight="1" x14ac:dyDescent="0.2">
      <c r="A333" s="270"/>
      <c r="C333" s="272" t="s">
        <v>267</v>
      </c>
      <c r="D333" s="272"/>
      <c r="E333" s="281">
        <v>37057</v>
      </c>
      <c r="F333" s="281"/>
      <c r="G333" s="281"/>
      <c r="H333" s="274">
        <v>25000</v>
      </c>
      <c r="I333" s="274"/>
      <c r="J333" s="274"/>
      <c r="K333" s="280" t="s">
        <v>268</v>
      </c>
      <c r="L333" s="275">
        <v>5</v>
      </c>
      <c r="M333" s="275">
        <v>0</v>
      </c>
      <c r="O333" s="274">
        <v>25000</v>
      </c>
      <c r="P333" s="276">
        <v>0</v>
      </c>
      <c r="Q333" s="276"/>
      <c r="S333" s="274">
        <v>25000</v>
      </c>
      <c r="T333" s="276">
        <v>0</v>
      </c>
      <c r="U333" s="276"/>
      <c r="V333" s="276"/>
      <c r="W333" s="276"/>
      <c r="X333" s="277">
        <v>2001</v>
      </c>
      <c r="Y333" s="277">
        <v>6</v>
      </c>
      <c r="Z333" s="278"/>
      <c r="AA333" s="278"/>
      <c r="AB333" s="278"/>
      <c r="AC333" s="278"/>
      <c r="AD333" s="278"/>
      <c r="AE333" s="278"/>
    </row>
    <row r="334" spans="1:31" ht="21.6" customHeight="1" x14ac:dyDescent="0.2">
      <c r="A334" s="8"/>
      <c r="B334" s="26"/>
      <c r="C334" s="26"/>
      <c r="D334" s="26"/>
      <c r="E334" s="23" t="s">
        <v>269</v>
      </c>
      <c r="F334" s="23"/>
      <c r="G334" s="23"/>
      <c r="H334" s="22" t="s">
        <v>270</v>
      </c>
      <c r="I334" s="22"/>
      <c r="J334" s="22"/>
      <c r="K334" s="8"/>
      <c r="L334" s="8"/>
      <c r="M334" s="11">
        <v>0</v>
      </c>
      <c r="O334" s="19">
        <v>25000</v>
      </c>
      <c r="P334" s="25">
        <v>0</v>
      </c>
      <c r="Q334" s="25"/>
      <c r="S334" s="19">
        <v>25000</v>
      </c>
      <c r="T334" s="25">
        <v>0</v>
      </c>
      <c r="U334" s="25"/>
      <c r="V334" s="25"/>
      <c r="W334" s="25"/>
      <c r="X334" s="209"/>
      <c r="Y334" s="209"/>
    </row>
    <row r="335" spans="1:31" ht="15.6" customHeight="1" x14ac:dyDescent="0.2">
      <c r="A335" s="10" t="s">
        <v>271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O335" s="10"/>
      <c r="P335" s="10"/>
      <c r="Q335" s="10"/>
      <c r="S335" s="10"/>
      <c r="T335" s="10"/>
      <c r="U335" s="10"/>
      <c r="V335" s="10"/>
      <c r="W335" s="10"/>
      <c r="X335" s="205"/>
      <c r="Y335" s="205"/>
    </row>
    <row r="336" spans="1:31" s="260" customFormat="1" ht="11.25" customHeight="1" x14ac:dyDescent="0.2">
      <c r="A336" s="270"/>
      <c r="C336" s="272" t="s">
        <v>272</v>
      </c>
      <c r="D336" s="272"/>
      <c r="E336" s="272"/>
      <c r="F336" s="273">
        <v>29189</v>
      </c>
      <c r="G336" s="281"/>
      <c r="H336" s="283">
        <v>4805</v>
      </c>
      <c r="I336" s="272" t="s">
        <v>22</v>
      </c>
      <c r="J336" s="272"/>
      <c r="K336" s="272"/>
      <c r="L336" s="275">
        <v>8</v>
      </c>
      <c r="M336" s="275">
        <v>0</v>
      </c>
      <c r="O336" s="274">
        <v>4805</v>
      </c>
      <c r="P336" s="276">
        <v>0</v>
      </c>
      <c r="Q336" s="276"/>
      <c r="S336" s="274">
        <v>4805</v>
      </c>
      <c r="T336" s="276">
        <v>0</v>
      </c>
      <c r="U336" s="276"/>
      <c r="V336" s="276"/>
      <c r="W336" s="276"/>
      <c r="X336" s="277">
        <f>YEAR(F336)</f>
        <v>1979</v>
      </c>
      <c r="Y336" s="277">
        <f>MONTH(F336:F341)</f>
        <v>11</v>
      </c>
      <c r="Z336" s="278"/>
      <c r="AA336" s="278"/>
      <c r="AB336" s="278"/>
      <c r="AC336" s="278"/>
      <c r="AD336" s="278"/>
      <c r="AE336" s="278"/>
    </row>
    <row r="337" spans="1:31" s="260" customFormat="1" ht="11.25" customHeight="1" x14ac:dyDescent="0.2">
      <c r="A337" s="270"/>
      <c r="C337" s="272" t="s">
        <v>273</v>
      </c>
      <c r="D337" s="272"/>
      <c r="E337" s="272"/>
      <c r="F337" s="273">
        <v>29207</v>
      </c>
      <c r="G337" s="281"/>
      <c r="H337" s="283">
        <v>1870</v>
      </c>
      <c r="I337" s="272" t="s">
        <v>22</v>
      </c>
      <c r="J337" s="272"/>
      <c r="K337" s="272"/>
      <c r="L337" s="275">
        <v>5</v>
      </c>
      <c r="M337" s="275">
        <v>0</v>
      </c>
      <c r="O337" s="274">
        <v>1870</v>
      </c>
      <c r="P337" s="276">
        <v>0</v>
      </c>
      <c r="Q337" s="276"/>
      <c r="S337" s="274">
        <v>1870</v>
      </c>
      <c r="T337" s="276">
        <v>0</v>
      </c>
      <c r="U337" s="276"/>
      <c r="V337" s="276"/>
      <c r="W337" s="276"/>
      <c r="X337" s="277">
        <f t="shared" ref="X337:X341" si="24">YEAR(F337)</f>
        <v>1979</v>
      </c>
      <c r="Y337" s="277">
        <f t="shared" ref="Y337:Y341" si="25">MONTH(F337:F342)</f>
        <v>12</v>
      </c>
      <c r="Z337" s="278"/>
      <c r="AA337" s="278"/>
      <c r="AB337" s="278"/>
      <c r="AC337" s="278"/>
      <c r="AD337" s="278"/>
      <c r="AE337" s="278"/>
    </row>
    <row r="338" spans="1:31" s="260" customFormat="1" ht="11.25" customHeight="1" x14ac:dyDescent="0.2">
      <c r="A338" s="270"/>
      <c r="C338" s="272" t="s">
        <v>274</v>
      </c>
      <c r="D338" s="272"/>
      <c r="E338" s="272"/>
      <c r="F338" s="273">
        <v>33016</v>
      </c>
      <c r="G338" s="281"/>
      <c r="H338" s="283">
        <v>1014.34</v>
      </c>
      <c r="I338" s="272" t="s">
        <v>22</v>
      </c>
      <c r="J338" s="272"/>
      <c r="K338" s="272"/>
      <c r="L338" s="275">
        <v>8</v>
      </c>
      <c r="M338" s="275">
        <v>0</v>
      </c>
      <c r="O338" s="274">
        <v>1014.34</v>
      </c>
      <c r="P338" s="276">
        <v>0</v>
      </c>
      <c r="Q338" s="276"/>
      <c r="S338" s="274">
        <v>1014.34</v>
      </c>
      <c r="T338" s="276">
        <v>0</v>
      </c>
      <c r="U338" s="276"/>
      <c r="V338" s="276"/>
      <c r="W338" s="276"/>
      <c r="X338" s="277">
        <f t="shared" si="24"/>
        <v>1990</v>
      </c>
      <c r="Y338" s="277">
        <f t="shared" si="25"/>
        <v>5</v>
      </c>
      <c r="Z338" s="278"/>
      <c r="AA338" s="278"/>
      <c r="AB338" s="278"/>
      <c r="AC338" s="278"/>
      <c r="AD338" s="278"/>
      <c r="AE338" s="278"/>
    </row>
    <row r="339" spans="1:31" s="260" customFormat="1" ht="11.25" customHeight="1" x14ac:dyDescent="0.2">
      <c r="A339" s="270"/>
      <c r="C339" s="272" t="s">
        <v>275</v>
      </c>
      <c r="D339" s="272"/>
      <c r="E339" s="272"/>
      <c r="F339" s="273">
        <v>37707</v>
      </c>
      <c r="G339" s="281"/>
      <c r="H339" s="283">
        <v>1614</v>
      </c>
      <c r="I339" s="272" t="s">
        <v>22</v>
      </c>
      <c r="J339" s="272"/>
      <c r="K339" s="272"/>
      <c r="L339" s="275">
        <v>5</v>
      </c>
      <c r="M339" s="275">
        <v>0</v>
      </c>
      <c r="O339" s="274">
        <v>1614</v>
      </c>
      <c r="P339" s="276">
        <v>0</v>
      </c>
      <c r="Q339" s="276"/>
      <c r="S339" s="274">
        <v>1614</v>
      </c>
      <c r="T339" s="276">
        <v>0</v>
      </c>
      <c r="U339" s="276"/>
      <c r="V339" s="276"/>
      <c r="W339" s="276"/>
      <c r="X339" s="277">
        <f t="shared" si="24"/>
        <v>2003</v>
      </c>
      <c r="Y339" s="277">
        <f t="shared" si="25"/>
        <v>3</v>
      </c>
      <c r="Z339" s="278"/>
      <c r="AA339" s="278"/>
      <c r="AB339" s="278"/>
      <c r="AC339" s="278"/>
      <c r="AD339" s="278"/>
      <c r="AE339" s="278"/>
    </row>
    <row r="340" spans="1:31" s="260" customFormat="1" ht="11.25" customHeight="1" x14ac:dyDescent="0.2">
      <c r="A340" s="270"/>
      <c r="C340" s="272" t="s">
        <v>276</v>
      </c>
      <c r="D340" s="272"/>
      <c r="E340" s="272"/>
      <c r="F340" s="273">
        <v>40036</v>
      </c>
      <c r="G340" s="281"/>
      <c r="H340" s="283">
        <v>2000</v>
      </c>
      <c r="I340" s="272" t="s">
        <v>22</v>
      </c>
      <c r="J340" s="272"/>
      <c r="K340" s="272"/>
      <c r="L340" s="275">
        <v>5</v>
      </c>
      <c r="M340" s="275">
        <v>0</v>
      </c>
      <c r="O340" s="274">
        <v>2000</v>
      </c>
      <c r="P340" s="276">
        <v>0</v>
      </c>
      <c r="Q340" s="276"/>
      <c r="S340" s="274">
        <v>2000</v>
      </c>
      <c r="T340" s="276">
        <v>0</v>
      </c>
      <c r="U340" s="276"/>
      <c r="V340" s="276"/>
      <c r="W340" s="276"/>
      <c r="X340" s="277">
        <f t="shared" si="24"/>
        <v>2009</v>
      </c>
      <c r="Y340" s="277">
        <f t="shared" si="25"/>
        <v>8</v>
      </c>
      <c r="Z340" s="278"/>
      <c r="AA340" s="278"/>
      <c r="AB340" s="278"/>
      <c r="AC340" s="278"/>
      <c r="AD340" s="278"/>
      <c r="AE340" s="278"/>
    </row>
    <row r="341" spans="1:31" s="260" customFormat="1" ht="11.25" customHeight="1" x14ac:dyDescent="0.2">
      <c r="A341" s="270"/>
      <c r="C341" s="272" t="s">
        <v>277</v>
      </c>
      <c r="D341" s="272"/>
      <c r="E341" s="272"/>
      <c r="F341" s="273">
        <v>40567</v>
      </c>
      <c r="G341" s="281"/>
      <c r="H341" s="283">
        <v>1500</v>
      </c>
      <c r="I341" s="272" t="s">
        <v>22</v>
      </c>
      <c r="J341" s="272"/>
      <c r="K341" s="272"/>
      <c r="L341" s="275">
        <v>8</v>
      </c>
      <c r="M341" s="275">
        <v>0</v>
      </c>
      <c r="O341" s="274">
        <v>1500</v>
      </c>
      <c r="P341" s="276">
        <v>0</v>
      </c>
      <c r="Q341" s="276"/>
      <c r="S341" s="274">
        <v>1500</v>
      </c>
      <c r="T341" s="276">
        <v>0</v>
      </c>
      <c r="U341" s="276"/>
      <c r="V341" s="276"/>
      <c r="W341" s="276"/>
      <c r="X341" s="277">
        <f t="shared" si="24"/>
        <v>2011</v>
      </c>
      <c r="Y341" s="277">
        <f t="shared" si="25"/>
        <v>1</v>
      </c>
      <c r="Z341" s="278"/>
      <c r="AA341" s="278"/>
      <c r="AB341" s="278"/>
      <c r="AC341" s="278"/>
      <c r="AD341" s="278"/>
      <c r="AE341" s="278"/>
    </row>
    <row r="342" spans="1:31" ht="30" customHeight="1" x14ac:dyDescent="0.2">
      <c r="A342" s="8"/>
      <c r="B342" s="27" t="s">
        <v>278</v>
      </c>
      <c r="C342" s="23"/>
      <c r="D342" s="23"/>
      <c r="E342" s="23"/>
      <c r="F342" s="23"/>
      <c r="G342" s="23"/>
      <c r="H342" s="12">
        <v>12803.34</v>
      </c>
      <c r="I342" s="24" t="s">
        <v>42</v>
      </c>
      <c r="J342" s="24"/>
      <c r="K342" s="24"/>
      <c r="L342" s="24"/>
      <c r="M342" s="13">
        <v>0</v>
      </c>
      <c r="N342" s="8"/>
      <c r="O342" s="14">
        <v>12803.34</v>
      </c>
      <c r="P342" s="8"/>
      <c r="Q342" s="15">
        <v>0</v>
      </c>
      <c r="R342" s="8"/>
      <c r="S342" s="14">
        <v>12803.34</v>
      </c>
      <c r="T342" s="8"/>
      <c r="U342" s="25">
        <v>0</v>
      </c>
      <c r="V342" s="25"/>
      <c r="W342" s="25"/>
      <c r="X342" s="209"/>
      <c r="Y342" s="209"/>
    </row>
    <row r="343" spans="1:31" ht="12.6" customHeight="1" x14ac:dyDescent="0.2">
      <c r="A343" s="2"/>
      <c r="B343" s="23" t="s">
        <v>279</v>
      </c>
      <c r="C343" s="23"/>
      <c r="D343" s="23"/>
      <c r="E343" s="23"/>
      <c r="F343" s="23"/>
      <c r="G343" s="23"/>
      <c r="H343" s="16">
        <v>4319197.5199999996</v>
      </c>
      <c r="I343" s="24" t="s">
        <v>42</v>
      </c>
      <c r="J343" s="24"/>
      <c r="K343" s="24"/>
      <c r="L343" s="24"/>
      <c r="M343" s="17">
        <v>0</v>
      </c>
      <c r="N343" s="2"/>
      <c r="O343" s="18">
        <v>2410459.5299999998</v>
      </c>
      <c r="P343" s="2"/>
      <c r="Q343" s="18">
        <v>308384.55</v>
      </c>
      <c r="R343" s="2"/>
      <c r="S343" s="18">
        <v>2718844.08</v>
      </c>
      <c r="T343" s="2"/>
      <c r="U343" s="19">
        <v>1600353.44</v>
      </c>
      <c r="V343" s="19"/>
      <c r="W343" s="19"/>
      <c r="X343" s="208"/>
      <c r="Y343" s="208"/>
    </row>
    <row r="347" spans="1:31" x14ac:dyDescent="0.2">
      <c r="G347" s="211" t="s">
        <v>649</v>
      </c>
      <c r="H347" s="286">
        <f>SUM(H5:H39,H42:H94,H97:H153,H156:H165,H168:H280,H283:H285,H288:H297,H300:H327,H330,H333,H336:H341)</f>
        <v>4319197.5199999977</v>
      </c>
    </row>
    <row r="348" spans="1:31" x14ac:dyDescent="0.2">
      <c r="H348" s="213">
        <f>H347-'[34]Table 1'!$H$361</f>
        <v>0</v>
      </c>
    </row>
  </sheetData>
  <pageMargins left="0.7" right="0.7" top="0.75" bottom="0.75" header="0.3" footer="0.3"/>
  <pageSetup scale="46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DF7B-E4B1-49CC-B67B-3A5EC36207E0}">
  <dimension ref="A1:H54"/>
  <sheetViews>
    <sheetView view="pageBreakPreview" topLeftCell="A21" zoomScale="60" zoomScaleNormal="100" workbookViewId="0">
      <selection activeCell="L68" sqref="L68"/>
    </sheetView>
  </sheetViews>
  <sheetFormatPr defaultColWidth="9.33203125" defaultRowHeight="15" x14ac:dyDescent="0.25"/>
  <cols>
    <col min="1" max="1" width="24.1640625" style="354" bestFit="1" customWidth="1"/>
    <col min="2" max="2" width="16.6640625" style="354" bestFit="1" customWidth="1"/>
    <col min="3" max="4" width="35.1640625" style="354" customWidth="1"/>
    <col min="5" max="6" width="35.1640625" style="354" bestFit="1" customWidth="1"/>
    <col min="7" max="7" width="27.33203125" style="354" customWidth="1"/>
    <col min="8" max="8" width="12.33203125" style="354" bestFit="1" customWidth="1"/>
    <col min="9" max="16384" width="9.33203125" style="354"/>
  </cols>
  <sheetData>
    <row r="1" spans="1:6" hidden="1" x14ac:dyDescent="0.25"/>
    <row r="2" spans="1:6" hidden="1" x14ac:dyDescent="0.25"/>
    <row r="3" spans="1:6" hidden="1" x14ac:dyDescent="0.25">
      <c r="B3" s="360" t="s">
        <v>285</v>
      </c>
      <c r="C3" s="360" t="s">
        <v>1306</v>
      </c>
      <c r="D3" s="360" t="s">
        <v>1313</v>
      </c>
      <c r="E3" s="360" t="s">
        <v>1312</v>
      </c>
      <c r="F3" s="360" t="s">
        <v>1302</v>
      </c>
    </row>
    <row r="4" spans="1:6" hidden="1" x14ac:dyDescent="0.25">
      <c r="A4" s="359" t="s">
        <v>742</v>
      </c>
      <c r="B4" s="358" t="e">
        <f>+SUMIF(#REF!,'Post-Acquistion Dep Summary'!$A4,#REF!)</f>
        <v>#REF!</v>
      </c>
      <c r="C4" s="358" t="e">
        <f>+SUMIF(#REF!,'Post-Acquistion Dep Summary'!$A4,#REF!)</f>
        <v>#REF!</v>
      </c>
      <c r="D4" s="358" t="e">
        <f>+SUMIF(#REF!,'Post-Acquistion Dep Summary'!$A4,#REF!)</f>
        <v>#REF!</v>
      </c>
      <c r="E4" s="358" t="e">
        <f>+SUMIF(#REF!,'Post-Acquistion Dep Summary'!$A4,#REF!)</f>
        <v>#REF!</v>
      </c>
      <c r="F4" s="358" t="e">
        <f>+SUMIF(#REF!,'Post-Acquistion Dep Summary'!$A4,#REF!)</f>
        <v>#REF!</v>
      </c>
    </row>
    <row r="5" spans="1:6" hidden="1" x14ac:dyDescent="0.25">
      <c r="A5" s="359" t="s">
        <v>1311</v>
      </c>
      <c r="B5" s="358" t="e">
        <f>+SUMIF(#REF!,'Post-Acquistion Dep Summary'!$A5,#REF!)</f>
        <v>#REF!</v>
      </c>
      <c r="C5" s="358" t="e">
        <f>+SUMIF(#REF!,'Post-Acquistion Dep Summary'!$A5,#REF!)</f>
        <v>#REF!</v>
      </c>
      <c r="D5" s="358" t="e">
        <f>+SUMIF(#REF!,'Post-Acquistion Dep Summary'!$A5,#REF!)</f>
        <v>#REF!</v>
      </c>
      <c r="E5" s="358" t="e">
        <f>+SUMIF(#REF!,'Post-Acquistion Dep Summary'!$A5,#REF!)</f>
        <v>#REF!</v>
      </c>
      <c r="F5" s="358" t="e">
        <f>+SUMIF(#REF!,'Post-Acquistion Dep Summary'!$A5,#REF!)</f>
        <v>#REF!</v>
      </c>
    </row>
    <row r="6" spans="1:6" hidden="1" x14ac:dyDescent="0.25">
      <c r="A6" s="359" t="s">
        <v>741</v>
      </c>
      <c r="B6" s="358" t="e">
        <f>+SUMIF(#REF!,'Post-Acquistion Dep Summary'!$A6,#REF!)</f>
        <v>#REF!</v>
      </c>
      <c r="C6" s="358" t="e">
        <f>+SUMIF(#REF!,'Post-Acquistion Dep Summary'!$A6,#REF!)</f>
        <v>#REF!</v>
      </c>
      <c r="D6" s="358" t="e">
        <f>+SUMIF(#REF!,'Post-Acquistion Dep Summary'!$A6,#REF!)</f>
        <v>#REF!</v>
      </c>
      <c r="E6" s="358" t="e">
        <f>+SUMIF(#REF!,'Post-Acquistion Dep Summary'!$A6,#REF!)</f>
        <v>#REF!</v>
      </c>
      <c r="F6" s="358" t="e">
        <f>+SUMIF(#REF!,'Post-Acquistion Dep Summary'!$A6,#REF!)</f>
        <v>#REF!</v>
      </c>
    </row>
    <row r="7" spans="1:6" hidden="1" x14ac:dyDescent="0.25">
      <c r="A7" s="359" t="s">
        <v>751</v>
      </c>
      <c r="B7" s="358" t="e">
        <f>+SUMIF(#REF!,'Post-Acquistion Dep Summary'!$A7,#REF!)</f>
        <v>#REF!</v>
      </c>
      <c r="C7" s="358" t="e">
        <f>+SUMIF(#REF!,'Post-Acquistion Dep Summary'!$A7,#REF!)</f>
        <v>#REF!</v>
      </c>
      <c r="D7" s="358" t="e">
        <f>+SUMIF(#REF!,'Post-Acquistion Dep Summary'!$A7,#REF!)</f>
        <v>#REF!</v>
      </c>
      <c r="E7" s="358" t="e">
        <f>+SUMIF(#REF!,'Post-Acquistion Dep Summary'!$A7,#REF!)</f>
        <v>#REF!</v>
      </c>
      <c r="F7" s="358" t="e">
        <f>+SUMIF(#REF!,'Post-Acquistion Dep Summary'!$A7,#REF!)</f>
        <v>#REF!</v>
      </c>
    </row>
    <row r="8" spans="1:6" hidden="1" x14ac:dyDescent="0.25">
      <c r="A8" s="359" t="s">
        <v>295</v>
      </c>
      <c r="B8" s="358" t="e">
        <f>+SUMIF(#REF!,'Post-Acquistion Dep Summary'!$A8,#REF!)</f>
        <v>#REF!</v>
      </c>
      <c r="C8" s="358" t="e">
        <f>+SUMIF(#REF!,'Post-Acquistion Dep Summary'!$A8,#REF!)</f>
        <v>#REF!</v>
      </c>
      <c r="D8" s="358" t="e">
        <f>+SUMIF(#REF!,'Post-Acquistion Dep Summary'!$A8,#REF!)</f>
        <v>#REF!</v>
      </c>
      <c r="E8" s="358" t="e">
        <f>+SUMIF(#REF!,'Post-Acquistion Dep Summary'!$A8,#REF!)</f>
        <v>#REF!</v>
      </c>
      <c r="F8" s="358" t="e">
        <f>+SUMIF(#REF!,'Post-Acquistion Dep Summary'!$A8,#REF!)</f>
        <v>#REF!</v>
      </c>
    </row>
    <row r="9" spans="1:6" hidden="1" x14ac:dyDescent="0.25">
      <c r="A9" s="359" t="s">
        <v>297</v>
      </c>
      <c r="B9" s="358" t="e">
        <f>+SUMIF(#REF!,'Post-Acquistion Dep Summary'!$A9,#REF!)</f>
        <v>#REF!</v>
      </c>
      <c r="C9" s="358" t="e">
        <f>+SUMIF(#REF!,'Post-Acquistion Dep Summary'!$A9,#REF!)</f>
        <v>#REF!</v>
      </c>
      <c r="D9" s="358" t="e">
        <f>+SUMIF(#REF!,'Post-Acquistion Dep Summary'!$A9,#REF!)</f>
        <v>#REF!</v>
      </c>
      <c r="E9" s="358" t="e">
        <f>+SUMIF(#REF!,'Post-Acquistion Dep Summary'!$A9,#REF!)</f>
        <v>#REF!</v>
      </c>
      <c r="F9" s="358" t="e">
        <f>+SUMIF(#REF!,'Post-Acquistion Dep Summary'!$A9,#REF!)</f>
        <v>#REF!</v>
      </c>
    </row>
    <row r="10" spans="1:6" hidden="1" x14ac:dyDescent="0.25">
      <c r="A10" s="359" t="s">
        <v>1304</v>
      </c>
      <c r="B10" s="358" t="e">
        <f>+SUMIF(#REF!,'Post-Acquistion Dep Summary'!$A10,#REF!)</f>
        <v>#REF!</v>
      </c>
      <c r="C10" s="358" t="e">
        <f>+SUMIF(#REF!,'Post-Acquistion Dep Summary'!$A10,#REF!)</f>
        <v>#REF!</v>
      </c>
      <c r="D10" s="358" t="e">
        <f>+SUMIF(#REF!,'Post-Acquistion Dep Summary'!$A10,#REF!)</f>
        <v>#REF!</v>
      </c>
      <c r="E10" s="358" t="e">
        <f>+SUMIF(#REF!,'Post-Acquistion Dep Summary'!$A10,#REF!)</f>
        <v>#REF!</v>
      </c>
      <c r="F10" s="358" t="e">
        <f>+SUMIF(#REF!,'Post-Acquistion Dep Summary'!$A10,#REF!)</f>
        <v>#REF!</v>
      </c>
    </row>
    <row r="11" spans="1:6" hidden="1" x14ac:dyDescent="0.25">
      <c r="A11" s="359" t="s">
        <v>1305</v>
      </c>
      <c r="B11" s="358" t="e">
        <f>+SUMIF(#REF!,'Post-Acquistion Dep Summary'!$A11,#REF!)</f>
        <v>#REF!</v>
      </c>
      <c r="C11" s="358" t="e">
        <f>+SUMIF(#REF!,'Post-Acquistion Dep Summary'!$A11,#REF!)</f>
        <v>#REF!</v>
      </c>
      <c r="D11" s="358" t="e">
        <f>+SUMIF(#REF!,'Post-Acquistion Dep Summary'!$A11,#REF!)</f>
        <v>#REF!</v>
      </c>
      <c r="E11" s="358" t="e">
        <f>+SUMIF(#REF!,'Post-Acquistion Dep Summary'!$A11,#REF!)</f>
        <v>#REF!</v>
      </c>
      <c r="F11" s="358" t="e">
        <f>+SUMIF(#REF!,'Post-Acquistion Dep Summary'!$A11,#REF!)</f>
        <v>#REF!</v>
      </c>
    </row>
    <row r="12" spans="1:6" hidden="1" x14ac:dyDescent="0.25">
      <c r="A12" s="359" t="s">
        <v>302</v>
      </c>
      <c r="B12" s="358" t="e">
        <f>+SUMIF(#REF!,'Post-Acquistion Dep Summary'!$A12,#REF!)</f>
        <v>#REF!</v>
      </c>
      <c r="C12" s="358" t="e">
        <f>+SUMIF(#REF!,'Post-Acquistion Dep Summary'!$A12,#REF!)</f>
        <v>#REF!</v>
      </c>
      <c r="D12" s="358" t="e">
        <f>+SUMIF(#REF!,'Post-Acquistion Dep Summary'!$A12,#REF!)</f>
        <v>#REF!</v>
      </c>
      <c r="E12" s="358" t="e">
        <f>+SUMIF(#REF!,'Post-Acquistion Dep Summary'!$A12,#REF!)</f>
        <v>#REF!</v>
      </c>
      <c r="F12" s="358" t="e">
        <f>+SUMIF(#REF!,'Post-Acquistion Dep Summary'!$A12,#REF!)</f>
        <v>#REF!</v>
      </c>
    </row>
    <row r="13" spans="1:6" hidden="1" x14ac:dyDescent="0.25">
      <c r="A13" s="359" t="s">
        <v>299</v>
      </c>
      <c r="B13" s="358" t="e">
        <f>+SUMIF(#REF!,'Post-Acquistion Dep Summary'!$A13,#REF!)</f>
        <v>#REF!</v>
      </c>
      <c r="C13" s="358" t="e">
        <f>+SUMIF(#REF!,'Post-Acquistion Dep Summary'!$A13,#REF!)</f>
        <v>#REF!</v>
      </c>
      <c r="D13" s="358" t="e">
        <f>+SUMIF(#REF!,'Post-Acquistion Dep Summary'!$A13,#REF!)</f>
        <v>#REF!</v>
      </c>
      <c r="E13" s="358" t="e">
        <f>+SUMIF(#REF!,'Post-Acquistion Dep Summary'!$A13,#REF!)</f>
        <v>#REF!</v>
      </c>
      <c r="F13" s="358" t="e">
        <f>+SUMIF(#REF!,'Post-Acquistion Dep Summary'!$A13,#REF!)</f>
        <v>#REF!</v>
      </c>
    </row>
    <row r="14" spans="1:6" hidden="1" x14ac:dyDescent="0.25">
      <c r="A14" s="359" t="s">
        <v>300</v>
      </c>
      <c r="B14" s="358" t="e">
        <f>+SUMIF(#REF!,'Post-Acquistion Dep Summary'!$A14,#REF!)</f>
        <v>#REF!</v>
      </c>
      <c r="C14" s="358" t="e">
        <f>+SUMIF(#REF!,'Post-Acquistion Dep Summary'!$A14,#REF!)</f>
        <v>#REF!</v>
      </c>
      <c r="D14" s="358" t="e">
        <f>+SUMIF(#REF!,'Post-Acquistion Dep Summary'!$A14,#REF!)</f>
        <v>#REF!</v>
      </c>
      <c r="E14" s="358" t="e">
        <f>+SUMIF(#REF!,'Post-Acquistion Dep Summary'!$A14,#REF!)</f>
        <v>#REF!</v>
      </c>
      <c r="F14" s="358" t="e">
        <f>+SUMIF(#REF!,'Post-Acquistion Dep Summary'!$A14,#REF!)</f>
        <v>#REF!</v>
      </c>
    </row>
    <row r="15" spans="1:6" hidden="1" x14ac:dyDescent="0.25">
      <c r="A15" s="359" t="s">
        <v>303</v>
      </c>
      <c r="B15" s="358" t="e">
        <f>+SUMIF(#REF!,'Post-Acquistion Dep Summary'!$A15,#REF!)</f>
        <v>#REF!</v>
      </c>
      <c r="C15" s="358" t="e">
        <f>+SUMIF(#REF!,'Post-Acquistion Dep Summary'!$A15,#REF!)</f>
        <v>#REF!</v>
      </c>
      <c r="D15" s="358" t="e">
        <f>+SUMIF(#REF!,'Post-Acquistion Dep Summary'!$A15,#REF!)</f>
        <v>#REF!</v>
      </c>
      <c r="E15" s="358" t="e">
        <f>+SUMIF(#REF!,'Post-Acquistion Dep Summary'!$A15,#REF!)</f>
        <v>#REF!</v>
      </c>
      <c r="F15" s="358" t="e">
        <f>+SUMIF(#REF!,'Post-Acquistion Dep Summary'!$A15,#REF!)</f>
        <v>#REF!</v>
      </c>
    </row>
    <row r="16" spans="1:6" hidden="1" x14ac:dyDescent="0.25">
      <c r="A16" s="494" t="s">
        <v>1336</v>
      </c>
      <c r="B16" s="358" t="e">
        <f>+SUMIF(#REF!,'Post-Acquistion Dep Summary'!$A16,#REF!)</f>
        <v>#REF!</v>
      </c>
      <c r="C16" s="358" t="e">
        <f>+SUMIF(#REF!,'Post-Acquistion Dep Summary'!$A16,#REF!)</f>
        <v>#REF!</v>
      </c>
      <c r="D16" s="358" t="e">
        <f>+SUMIF(#REF!,'Post-Acquistion Dep Summary'!$A16,#REF!)</f>
        <v>#REF!</v>
      </c>
      <c r="E16" s="358" t="e">
        <f>+SUMIF(#REF!,'Post-Acquistion Dep Summary'!$A16,#REF!)</f>
        <v>#REF!</v>
      </c>
      <c r="F16" s="358" t="e">
        <f>+SUMIF(#REF!,'Post-Acquistion Dep Summary'!$A16,#REF!)</f>
        <v>#REF!</v>
      </c>
    </row>
    <row r="17" spans="1:8" ht="15.75" hidden="1" thickBot="1" x14ac:dyDescent="0.3">
      <c r="A17" s="357" t="s">
        <v>1310</v>
      </c>
      <c r="B17" s="356" t="e">
        <f>SUM(B4:B15)</f>
        <v>#REF!</v>
      </c>
      <c r="C17" s="356" t="e">
        <f>SUM(C4:C15)</f>
        <v>#REF!</v>
      </c>
      <c r="D17" s="356" t="e">
        <f>SUM(D4:D15)</f>
        <v>#REF!</v>
      </c>
      <c r="E17" s="356" t="e">
        <f>SUM(E4:E15)</f>
        <v>#REF!</v>
      </c>
      <c r="F17" s="356" t="e">
        <f>SUM(F4:F15)</f>
        <v>#REF!</v>
      </c>
    </row>
    <row r="18" spans="1:8" ht="15.75" hidden="1" thickTop="1" x14ac:dyDescent="0.25">
      <c r="B18" s="355" t="e">
        <f>+#REF!-'Post-Acquistion Dep Summary'!B17</f>
        <v>#REF!</v>
      </c>
      <c r="C18" s="355" t="e">
        <f>+#REF!-'Post-Acquistion Dep Summary'!C17</f>
        <v>#REF!</v>
      </c>
      <c r="D18" s="355" t="e">
        <f>+#REF!-'Post-Acquistion Dep Summary'!D17</f>
        <v>#REF!</v>
      </c>
      <c r="E18" s="355" t="e">
        <f>+#REF!-'Post-Acquistion Dep Summary'!E17</f>
        <v>#REF!</v>
      </c>
      <c r="F18" s="355" t="e">
        <f>+#REF!-'Post-Acquistion Dep Summary'!F17</f>
        <v>#REF!</v>
      </c>
    </row>
    <row r="19" spans="1:8" hidden="1" x14ac:dyDescent="0.25"/>
    <row r="20" spans="1:8" hidden="1" x14ac:dyDescent="0.25"/>
    <row r="22" spans="1:8" x14ac:dyDescent="0.25">
      <c r="B22" s="518" t="s">
        <v>285</v>
      </c>
      <c r="C22" s="518" t="s">
        <v>1306</v>
      </c>
      <c r="D22" s="518" t="s">
        <v>1313</v>
      </c>
      <c r="E22" s="518" t="s">
        <v>1312</v>
      </c>
      <c r="F22" s="518" t="s">
        <v>1302</v>
      </c>
    </row>
    <row r="23" spans="1:8" x14ac:dyDescent="0.25">
      <c r="A23" s="359" t="s">
        <v>742</v>
      </c>
      <c r="B23" s="519">
        <f>+SUMIF('FAR 10.2022 Assets 2032'!AL:AL,'Post-Acquistion Dep Summary'!$A23,'FAR 10.2022 Assets 2032'!S:S)</f>
        <v>1768164.99</v>
      </c>
      <c r="C23" s="519">
        <f>+SUMIF('FAR 10.2022 Assets 2032'!AL:AL,'Post-Acquistion Dep Summary'!$A23,'FAR 10.2022 Assets 2032'!AS:AS)</f>
        <v>155590.62433333334</v>
      </c>
      <c r="D23" s="519">
        <f>+SUMIF('FAR 10.2022 Assets 2032'!AL:AL,'Post-Acquistion Dep Summary'!$A23,'FAR 10.2022 Assets 2032'!AT:AT)</f>
        <v>373682.7043333333</v>
      </c>
      <c r="E23" s="519">
        <f>+SUMIF('FAR 10.2022 Assets 2032'!AL:AL,'Post-Acquistion Dep Summary'!$A23,'FAR 10.2022 Assets 2032'!AU:AU)</f>
        <v>529273.32866666664</v>
      </c>
      <c r="F23" s="519">
        <f>+SUMIF('FAR 10.2022 Assets 2032'!AL:AL,'Post-Acquistion Dep Summary'!$A23,'FAR 10.2022 Assets 2032'!AV:AV)</f>
        <v>1238891.6613333332</v>
      </c>
      <c r="H23" s="355"/>
    </row>
    <row r="24" spans="1:8" x14ac:dyDescent="0.25">
      <c r="A24" s="359" t="s">
        <v>743</v>
      </c>
      <c r="B24" s="519">
        <f>+SUMIF('FAR 10.2022 Assets 2032'!AL:AL,'Post-Acquistion Dep Summary'!$A24,'FAR 10.2022 Assets 2032'!S:S)</f>
        <v>0</v>
      </c>
      <c r="C24" s="519">
        <f>+SUMIF('FAR 10.2022 Assets 2032'!AL:AL,'Post-Acquistion Dep Summary'!$A24,'FAR 10.2022 Assets 2032'!AS:AS)</f>
        <v>0</v>
      </c>
      <c r="D24" s="519">
        <f>+SUMIF('FAR 10.2022 Assets 2032'!AL:AL,'Post-Acquistion Dep Summary'!$A24,'FAR 10.2022 Assets 2032'!AT:AT)</f>
        <v>0</v>
      </c>
      <c r="E24" s="519">
        <f>+SUMIF('FAR 10.2022 Assets 2032'!AL:AL,'Post-Acquistion Dep Summary'!$A24,'FAR 10.2022 Assets 2032'!AU:AU)</f>
        <v>0</v>
      </c>
      <c r="F24" s="519">
        <f>+SUMIF('FAR 10.2022 Assets 2032'!AL:AL,'Post-Acquistion Dep Summary'!$A24,'FAR 10.2022 Assets 2032'!AV:AV)</f>
        <v>0</v>
      </c>
    </row>
    <row r="25" spans="1:8" x14ac:dyDescent="0.25">
      <c r="A25" s="521" t="s">
        <v>1547</v>
      </c>
      <c r="B25" s="519">
        <f>+SUMIF('FAR 10.2022 Assets 2032'!AL:AL,'Post-Acquistion Dep Summary'!$A25,'FAR 10.2022 Assets 2032'!S:S)</f>
        <v>943515.04</v>
      </c>
      <c r="C25" s="519">
        <f>+SUMIF('FAR 10.2022 Assets 2032'!AL:AL,'Post-Acquistion Dep Summary'!$A25,'FAR 10.2022 Assets 2032'!AS:AS)</f>
        <v>108703.83333333334</v>
      </c>
      <c r="D25" s="519">
        <f>+SUMIF('FAR 10.2022 Assets 2032'!AL:AL,'Post-Acquistion Dep Summary'!$A25,'FAR 10.2022 Assets 2032'!AT:AT)</f>
        <v>72823.010000000009</v>
      </c>
      <c r="E25" s="519">
        <f>+SUMIF('FAR 10.2022 Assets 2032'!AL:AL,'Post-Acquistion Dep Summary'!$A25,'FAR 10.2022 Assets 2032'!AU:AU)</f>
        <v>181526.84333333332</v>
      </c>
      <c r="F25" s="519">
        <f>+SUMIF('FAR 10.2022 Assets 2032'!AL:AL,'Post-Acquistion Dep Summary'!$A25,'FAR 10.2022 Assets 2032'!AV:AV)</f>
        <v>761988.19666666666</v>
      </c>
    </row>
    <row r="26" spans="1:8" x14ac:dyDescent="0.25">
      <c r="A26" s="359" t="s">
        <v>741</v>
      </c>
      <c r="B26" s="519">
        <f>+SUMIF('FAR 10.2022 Assets 2032'!AL:AL,'Post-Acquistion Dep Summary'!$A26,'FAR 10.2022 Assets 2032'!S:S)</f>
        <v>420840.19</v>
      </c>
      <c r="C26" s="519">
        <f>+SUMIF('FAR 10.2022 Assets 2032'!AL:AL,'Post-Acquistion Dep Summary'!$A26,'FAR 10.2022 Assets 2032'!AS:AS)</f>
        <v>30938.432333333334</v>
      </c>
      <c r="D26" s="519">
        <f>+SUMIF('FAR 10.2022 Assets 2032'!AL:AL,'Post-Acquistion Dep Summary'!$A26,'FAR 10.2022 Assets 2032'!AT:AT)</f>
        <v>172885.32233333334</v>
      </c>
      <c r="E26" s="519">
        <f>+SUMIF('FAR 10.2022 Assets 2032'!AL:AL,'Post-Acquistion Dep Summary'!$A26,'FAR 10.2022 Assets 2032'!AU:AU)</f>
        <v>203823.75466666667</v>
      </c>
      <c r="F26" s="519">
        <f>+SUMIF('FAR 10.2022 Assets 2032'!AL:AL,'Post-Acquistion Dep Summary'!$A26,'FAR 10.2022 Assets 2032'!AV:AV)</f>
        <v>217016.43533333333</v>
      </c>
    </row>
    <row r="27" spans="1:8" x14ac:dyDescent="0.25">
      <c r="A27" s="359" t="s">
        <v>751</v>
      </c>
      <c r="B27" s="519">
        <f>+SUMIF('FAR 10.2022 Assets 2032'!AL:AL,'Post-Acquistion Dep Summary'!$A27,'FAR 10.2022 Assets 2032'!S:S)</f>
        <v>94742.7</v>
      </c>
      <c r="C27" s="519">
        <f>+SUMIF('FAR 10.2022 Assets 2032'!AL:AL,'Post-Acquistion Dep Summary'!$A27,'FAR 10.2022 Assets 2032'!AS:AS)</f>
        <v>0</v>
      </c>
      <c r="D27" s="519">
        <f>+SUMIF('FAR 10.2022 Assets 2032'!AL:AL,'Post-Acquistion Dep Summary'!$A27,'FAR 10.2022 Assets 2032'!AT:AT)</f>
        <v>94742.7</v>
      </c>
      <c r="E27" s="519">
        <f>+SUMIF('FAR 10.2022 Assets 2032'!AL:AL,'Post-Acquistion Dep Summary'!$A27,'FAR 10.2022 Assets 2032'!AU:AU)</f>
        <v>94742.7</v>
      </c>
      <c r="F27" s="519">
        <f>+SUMIF('FAR 10.2022 Assets 2032'!AL:AL,'Post-Acquistion Dep Summary'!$A27,'FAR 10.2022 Assets 2032'!AV:AV)</f>
        <v>0</v>
      </c>
    </row>
    <row r="28" spans="1:8" x14ac:dyDescent="0.25">
      <c r="A28" s="359" t="s">
        <v>295</v>
      </c>
      <c r="B28" s="519">
        <f>+SUMIF('FAR 10.2022 Assets 2032'!AL:AL,'Post-Acquistion Dep Summary'!$A28,'FAR 10.2022 Assets 2032'!S:S)</f>
        <v>266062.87999999995</v>
      </c>
      <c r="C28" s="519">
        <f>+SUMIF('FAR 10.2022 Assets 2032'!AL:AL,'Post-Acquistion Dep Summary'!$A28,'FAR 10.2022 Assets 2032'!AS:AS)</f>
        <v>25149.825714285715</v>
      </c>
      <c r="D28" s="519">
        <f>+SUMIF('FAR 10.2022 Assets 2032'!AL:AL,'Post-Acquistion Dep Summary'!$A28,'FAR 10.2022 Assets 2032'!AT:AT)</f>
        <v>18791.068333333333</v>
      </c>
      <c r="E28" s="519">
        <f>+SUMIF('FAR 10.2022 Assets 2032'!AL:AL,'Post-Acquistion Dep Summary'!$A28,'FAR 10.2022 Assets 2032'!AU:AU)</f>
        <v>43940.89404761904</v>
      </c>
      <c r="F28" s="519">
        <f>+SUMIF('FAR 10.2022 Assets 2032'!AL:AL,'Post-Acquistion Dep Summary'!$A28,'FAR 10.2022 Assets 2032'!AV:AV)</f>
        <v>222121.98595238093</v>
      </c>
    </row>
    <row r="29" spans="1:8" x14ac:dyDescent="0.25">
      <c r="A29" s="359" t="s">
        <v>297</v>
      </c>
      <c r="B29" s="519">
        <f>+SUMIF('FAR 10.2022 Assets 2032'!AL:AL,'Post-Acquistion Dep Summary'!$A29,'FAR 10.2022 Assets 2032'!S:S)</f>
        <v>514615.47</v>
      </c>
      <c r="C29" s="519">
        <f>+SUMIF('FAR 10.2022 Assets 2032'!AL:AL,'Post-Acquistion Dep Summary'!$A29,'FAR 10.2022 Assets 2032'!AS:AS)</f>
        <v>37170.731428571431</v>
      </c>
      <c r="D29" s="519">
        <f>+SUMIF('FAR 10.2022 Assets 2032'!AL:AL,'Post-Acquistion Dep Summary'!$A29,'FAR 10.2022 Assets 2032'!AT:AT)</f>
        <v>120698.9092857143</v>
      </c>
      <c r="E29" s="519">
        <f>+SUMIF('FAR 10.2022 Assets 2032'!AL:AL,'Post-Acquistion Dep Summary'!$A29,'FAR 10.2022 Assets 2032'!AU:AU)</f>
        <v>157869.64071428569</v>
      </c>
      <c r="F29" s="519">
        <f>+SUMIF('FAR 10.2022 Assets 2032'!AL:AL,'Post-Acquistion Dep Summary'!$A29,'FAR 10.2022 Assets 2032'!AV:AV)</f>
        <v>356745.82928571437</v>
      </c>
    </row>
    <row r="30" spans="1:8" x14ac:dyDescent="0.25">
      <c r="A30" s="359" t="s">
        <v>1304</v>
      </c>
      <c r="B30" s="519">
        <f>+SUMIF('FAR 10.2022 Assets 2032'!AL:AL,'Post-Acquistion Dep Summary'!$A30,'FAR 10.2022 Assets 2032'!S:S)</f>
        <v>430906.99</v>
      </c>
      <c r="C30" s="519">
        <f>+SUMIF('FAR 10.2022 Assets 2032'!AL:AL,'Post-Acquistion Dep Summary'!$A30,'FAR 10.2022 Assets 2032'!AS:AS)</f>
        <v>60652.407142857141</v>
      </c>
      <c r="D30" s="519">
        <f>+SUMIF('FAR 10.2022 Assets 2032'!AL:AL,'Post-Acquistion Dep Summary'!$A30,'FAR 10.2022 Assets 2032'!AT:AT)</f>
        <v>27823.858571428573</v>
      </c>
      <c r="E30" s="519">
        <f>+SUMIF('FAR 10.2022 Assets 2032'!AL:AL,'Post-Acquistion Dep Summary'!$A30,'FAR 10.2022 Assets 2032'!AU:AU)</f>
        <v>88476.265714285706</v>
      </c>
      <c r="F30" s="519">
        <f>+SUMIF('FAR 10.2022 Assets 2032'!AL:AL,'Post-Acquistion Dep Summary'!$A30,'FAR 10.2022 Assets 2032'!AV:AV)</f>
        <v>342430.72428571433</v>
      </c>
    </row>
    <row r="31" spans="1:8" x14ac:dyDescent="0.25">
      <c r="A31" s="359" t="s">
        <v>1305</v>
      </c>
      <c r="B31" s="519">
        <f>+SUMIF('FAR 10.2022 Assets 2032'!AL:AL,'Post-Acquistion Dep Summary'!$A31,'FAR 10.2022 Assets 2032'!S:S)</f>
        <v>35914.060000000005</v>
      </c>
      <c r="C31" s="519">
        <f>+SUMIF('FAR 10.2022 Assets 2032'!AL:AL,'Post-Acquistion Dep Summary'!$A31,'FAR 10.2022 Assets 2032'!AS:AS)</f>
        <v>5130.58</v>
      </c>
      <c r="D31" s="519">
        <f>+SUMIF('FAR 10.2022 Assets 2032'!AL:AL,'Post-Acquistion Dep Summary'!$A31,'FAR 10.2022 Assets 2032'!AT:AT)</f>
        <v>3208.2528571428575</v>
      </c>
      <c r="E31" s="519">
        <f>+SUMIF('FAR 10.2022 Assets 2032'!AL:AL,'Post-Acquistion Dep Summary'!$A31,'FAR 10.2022 Assets 2032'!AU:AU)</f>
        <v>8338.8328571428574</v>
      </c>
      <c r="F31" s="519">
        <f>+SUMIF('FAR 10.2022 Assets 2032'!AL:AL,'Post-Acquistion Dep Summary'!$A31,'FAR 10.2022 Assets 2032'!AV:AV)</f>
        <v>27575.227142857144</v>
      </c>
    </row>
    <row r="32" spans="1:8" x14ac:dyDescent="0.25">
      <c r="A32" s="359" t="s">
        <v>302</v>
      </c>
      <c r="B32" s="519">
        <f>+SUMIF('FAR 10.2022 Assets 2032'!AL:AL,'Post-Acquistion Dep Summary'!$A32,'FAR 10.2022 Assets 2032'!S:S)</f>
        <v>2821.83</v>
      </c>
      <c r="C32" s="519">
        <f>+SUMIF('FAR 10.2022 Assets 2032'!AL:AL,'Post-Acquistion Dep Summary'!$A32,'FAR 10.2022 Assets 2032'!AS:AS)</f>
        <v>940.6099999999999</v>
      </c>
      <c r="D32" s="519">
        <f>+SUMIF('FAR 10.2022 Assets 2032'!AL:AL,'Post-Acquistion Dep Summary'!$A32,'FAR 10.2022 Assets 2032'!AT:AT)</f>
        <v>377.99</v>
      </c>
      <c r="E32" s="519">
        <f>+SUMIF('FAR 10.2022 Assets 2032'!AL:AL,'Post-Acquistion Dep Summary'!$A32,'FAR 10.2022 Assets 2032'!AU:AU)</f>
        <v>1318.6</v>
      </c>
      <c r="F32" s="519">
        <f>+SUMIF('FAR 10.2022 Assets 2032'!AL:AL,'Post-Acquistion Dep Summary'!$A32,'FAR 10.2022 Assets 2032'!AV:AV)</f>
        <v>1503.23</v>
      </c>
    </row>
    <row r="33" spans="1:7" x14ac:dyDescent="0.25">
      <c r="A33" s="359" t="s">
        <v>299</v>
      </c>
      <c r="B33" s="519">
        <f>+SUMIF('FAR 10.2022 Assets 2032'!AL:AL,'Post-Acquistion Dep Summary'!$A33,'FAR 10.2022 Assets 2032'!S:S)</f>
        <v>32349.229999999996</v>
      </c>
      <c r="C33" s="519">
        <f>+SUMIF('FAR 10.2022 Assets 2032'!AL:AL,'Post-Acquistion Dep Summary'!$A33,'FAR 10.2022 Assets 2032'!AS:AS)</f>
        <v>6469.8460000000005</v>
      </c>
      <c r="D33" s="519">
        <f>+SUMIF('FAR 10.2022 Assets 2032'!AL:AL,'Post-Acquistion Dep Summary'!$A33,'FAR 10.2022 Assets 2032'!AT:AT)</f>
        <v>6469.8460000000005</v>
      </c>
      <c r="E33" s="519">
        <f>+SUMIF('FAR 10.2022 Assets 2032'!AL:AL,'Post-Acquistion Dep Summary'!$A33,'FAR 10.2022 Assets 2032'!AU:AU)</f>
        <v>12939.692000000001</v>
      </c>
      <c r="F33" s="519">
        <f>+SUMIF('FAR 10.2022 Assets 2032'!AL:AL,'Post-Acquistion Dep Summary'!$A33,'FAR 10.2022 Assets 2032'!AV:AV)</f>
        <v>19409.538</v>
      </c>
    </row>
    <row r="34" spans="1:7" x14ac:dyDescent="0.25">
      <c r="A34" s="359" t="s">
        <v>300</v>
      </c>
      <c r="B34" s="519">
        <f>+SUMIF('FAR 10.2022 Assets 2032'!AL:AL,'Post-Acquistion Dep Summary'!$A34,'FAR 10.2022 Assets 2032'!S:S)</f>
        <v>83516.649999999994</v>
      </c>
      <c r="C34" s="519">
        <f>+SUMIF('FAR 10.2022 Assets 2032'!AL:AL,'Post-Acquistion Dep Summary'!$A34,'FAR 10.2022 Assets 2032'!AS:AS)</f>
        <v>13940.792000000001</v>
      </c>
      <c r="D34" s="519">
        <f>+SUMIF('FAR 10.2022 Assets 2032'!AL:AL,'Post-Acquistion Dep Summary'!$A34,'FAR 10.2022 Assets 2032'!AT:AT)</f>
        <v>21802.521999999997</v>
      </c>
      <c r="E34" s="519">
        <f>+SUMIF('FAR 10.2022 Assets 2032'!AL:AL,'Post-Acquistion Dep Summary'!$A34,'FAR 10.2022 Assets 2032'!AU:AU)</f>
        <v>35743.313999999998</v>
      </c>
      <c r="F34" s="519">
        <f>+SUMIF('FAR 10.2022 Assets 2032'!AL:AL,'Post-Acquistion Dep Summary'!$A34,'FAR 10.2022 Assets 2032'!AV:AV)</f>
        <v>47773.336000000003</v>
      </c>
    </row>
    <row r="35" spans="1:7" x14ac:dyDescent="0.25">
      <c r="A35" s="521" t="s">
        <v>303</v>
      </c>
      <c r="B35" s="525">
        <f>+B40</f>
        <v>0</v>
      </c>
      <c r="C35" s="525">
        <f t="shared" ref="C35:F35" si="0">+C40</f>
        <v>0</v>
      </c>
      <c r="D35" s="525">
        <f t="shared" si="0"/>
        <v>0</v>
      </c>
      <c r="E35" s="525">
        <f t="shared" si="0"/>
        <v>0</v>
      </c>
      <c r="F35" s="525">
        <f t="shared" si="0"/>
        <v>0</v>
      </c>
      <c r="G35" s="526" t="s">
        <v>1548</v>
      </c>
    </row>
    <row r="36" spans="1:7" x14ac:dyDescent="0.25">
      <c r="A36" s="359" t="s">
        <v>1336</v>
      </c>
      <c r="B36" s="531">
        <f>+B44</f>
        <v>69848.904492527843</v>
      </c>
      <c r="C36" s="531">
        <f t="shared" ref="C36:F36" si="1">+C44</f>
        <v>6297.3658757591065</v>
      </c>
      <c r="D36" s="531">
        <f t="shared" si="1"/>
        <v>6875.2457349367705</v>
      </c>
      <c r="E36" s="531">
        <f t="shared" si="1"/>
        <v>13172.611610695878</v>
      </c>
      <c r="F36" s="531">
        <f t="shared" si="1"/>
        <v>56676.292881831971</v>
      </c>
    </row>
    <row r="37" spans="1:7" ht="15.75" thickBot="1" x14ac:dyDescent="0.3">
      <c r="A37" s="357" t="s">
        <v>1310</v>
      </c>
      <c r="B37" s="356">
        <f ca="1">SUM(B23:OFFSET(B37,-1,0))</f>
        <v>4663298.9344925294</v>
      </c>
      <c r="C37" s="356">
        <f ca="1">SUM(C23:OFFSET(C37,-1,0))</f>
        <v>450985.04816147353</v>
      </c>
      <c r="D37" s="356">
        <f ca="1">SUM(D23:OFFSET(D37,-1,0))</f>
        <v>920181.4294492224</v>
      </c>
      <c r="E37" s="356">
        <f ca="1">SUM(E23:OFFSET(E37,-1,0))</f>
        <v>1371166.4776106961</v>
      </c>
      <c r="F37" s="356">
        <f ca="1">SUM(F23:OFFSET(F37,-1,0))</f>
        <v>3292132.4568818323</v>
      </c>
    </row>
    <row r="38" spans="1:7" ht="15.75" thickTop="1" x14ac:dyDescent="0.25"/>
    <row r="39" spans="1:7" x14ac:dyDescent="0.25">
      <c r="A39" s="359" t="s">
        <v>303</v>
      </c>
      <c r="B39" s="525">
        <f>+SUMIF('FAR 10.2022 Assets 2032'!AL:AL,'Post-Acquistion Dep Summary'!$A39,'FAR 10.2022 Assets 2032'!S:S)</f>
        <v>14943.2</v>
      </c>
      <c r="C39" s="525">
        <f>+SUMIF('FAR 10.2022 Assets 2032'!AL:AL,'Post-Acquistion Dep Summary'!$A39,'FAR 10.2022 Assets 2032'!AS:AS)</f>
        <v>2311.556</v>
      </c>
      <c r="D39" s="525">
        <f>+SUMIF('FAR 10.2022 Assets 2032'!AL:AL,'Post-Acquistion Dep Summary'!$A39,'FAR 10.2022 Assets 2032'!AT:AT)</f>
        <v>2311.556</v>
      </c>
      <c r="E39" s="525">
        <f>+SUMIF('FAR 10.2022 Assets 2032'!AL:AL,'Post-Acquistion Dep Summary'!$A39,'FAR 10.2022 Assets 2032'!AU:AU)</f>
        <v>4623.1120000000001</v>
      </c>
      <c r="F39" s="525">
        <f>+SUMIF('FAR 10.2022 Assets 2032'!AL:AL,'Post-Acquistion Dep Summary'!$A39,'FAR 10.2022 Assets 2032'!AV:AV)</f>
        <v>10320.088</v>
      </c>
      <c r="G39" s="526" t="s">
        <v>1549</v>
      </c>
    </row>
    <row r="40" spans="1:7" x14ac:dyDescent="0.25">
      <c r="A40" s="521">
        <v>2032</v>
      </c>
      <c r="B40" s="533">
        <f>+B39*'Land Alloc'!$P$40</f>
        <v>0</v>
      </c>
      <c r="C40" s="533">
        <f>+C39*'Land Alloc'!$P$40</f>
        <v>0</v>
      </c>
      <c r="D40" s="533">
        <f>+D39*'Land Alloc'!$P$40</f>
        <v>0</v>
      </c>
      <c r="E40" s="533">
        <f>+E39*'Land Alloc'!$P$40</f>
        <v>0</v>
      </c>
      <c r="F40" s="533">
        <f>+F39*'Land Alloc'!$P$40</f>
        <v>0</v>
      </c>
    </row>
    <row r="41" spans="1:7" x14ac:dyDescent="0.25">
      <c r="A41" s="521">
        <v>2031</v>
      </c>
      <c r="B41" s="533">
        <f>+B39*'Land Alloc'!$Q$40</f>
        <v>14943.2</v>
      </c>
      <c r="C41" s="533">
        <f>+C39*'Land Alloc'!$Q$40</f>
        <v>2311.556</v>
      </c>
      <c r="D41" s="533">
        <f>+D39*'Land Alloc'!$Q$40</f>
        <v>2311.556</v>
      </c>
      <c r="E41" s="533">
        <f>+E39*'Land Alloc'!$Q$40</f>
        <v>4623.1120000000001</v>
      </c>
      <c r="F41" s="533">
        <f>+F39*'Land Alloc'!$Q$40</f>
        <v>10320.088</v>
      </c>
    </row>
    <row r="42" spans="1:7" x14ac:dyDescent="0.25">
      <c r="A42" s="521"/>
      <c r="B42" s="530"/>
      <c r="C42" s="530"/>
      <c r="D42" s="530"/>
      <c r="E42" s="530"/>
      <c r="F42" s="530"/>
    </row>
    <row r="43" spans="1:7" x14ac:dyDescent="0.25">
      <c r="A43" s="359" t="s">
        <v>1336</v>
      </c>
      <c r="B43" s="531">
        <f>+SUMIF('FAR 10.2022 Assets 2032'!AL:AL,'Post-Acquistion Dep Summary'!$A43,'FAR 10.2022 Assets 2032'!S:S)</f>
        <v>89788.040000000008</v>
      </c>
      <c r="C43" s="531">
        <f>+SUMIF('FAR 10.2022 Assets 2032'!AL:AL,'Post-Acquistion Dep Summary'!$A43,'FAR 10.2022 Assets 2032'!AS:AS)</f>
        <v>8095.018</v>
      </c>
      <c r="D43" s="531">
        <f>+SUMIF('FAR 10.2022 Assets 2032'!AL:AL,'Post-Acquistion Dep Summary'!$A43,'FAR 10.2022 Assets 2032'!AT:AT)</f>
        <v>8837.86</v>
      </c>
      <c r="E43" s="531">
        <f>+SUMIF('FAR 10.2022 Assets 2032'!AL:AL,'Post-Acquistion Dep Summary'!$A43,'FAR 10.2022 Assets 2032'!AU:AU)</f>
        <v>16932.878000000001</v>
      </c>
      <c r="F43" s="531">
        <f>+SUMIF('FAR 10.2022 Assets 2032'!AL:AL,'Post-Acquistion Dep Summary'!$A43,'FAR 10.2022 Assets 2032'!AV:AV)</f>
        <v>72855.162000000011</v>
      </c>
      <c r="G43" s="526" t="s">
        <v>1549</v>
      </c>
    </row>
    <row r="44" spans="1:7" x14ac:dyDescent="0.25">
      <c r="A44" s="521">
        <v>2032</v>
      </c>
      <c r="B44" s="532">
        <f>+B43*'Land Alloc'!$M$26</f>
        <v>69848.904492527843</v>
      </c>
      <c r="C44" s="532">
        <f>+C43*'Land Alloc'!$M$26</f>
        <v>6297.3658757591065</v>
      </c>
      <c r="D44" s="532">
        <f>+D43*'Land Alloc'!$M$26</f>
        <v>6875.2457349367705</v>
      </c>
      <c r="E44" s="532">
        <f>+E43*'Land Alloc'!$M$26</f>
        <v>13172.611610695878</v>
      </c>
      <c r="F44" s="532">
        <f>+F43*'Land Alloc'!$M$26</f>
        <v>56676.292881831971</v>
      </c>
    </row>
    <row r="45" spans="1:7" x14ac:dyDescent="0.25">
      <c r="A45" s="521">
        <v>2031</v>
      </c>
      <c r="B45" s="532">
        <f>+B43*'Land Alloc'!$N$26</f>
        <v>19939.135507472165</v>
      </c>
      <c r="C45" s="532">
        <f>+C43*'Land Alloc'!$N$26</f>
        <v>1797.6521242408933</v>
      </c>
      <c r="D45" s="532">
        <f>+D43*'Land Alloc'!$N$26</f>
        <v>1962.6142650632305</v>
      </c>
      <c r="E45" s="532">
        <f>+E43*'Land Alloc'!$N$26</f>
        <v>3760.266389304124</v>
      </c>
      <c r="F45" s="532">
        <f>+F43*'Land Alloc'!$N$26</f>
        <v>16178.869118168042</v>
      </c>
    </row>
    <row r="47" spans="1:7" x14ac:dyDescent="0.25">
      <c r="A47" s="514" t="s">
        <v>1543</v>
      </c>
      <c r="B47" s="358">
        <f>+SUMIF('FAR 10.2022 Assets 2032'!AL:AL,0,'FAR 10.2022 Assets 2032'!S:S)</f>
        <v>64601042.170000002</v>
      </c>
      <c r="C47" s="358">
        <f>+SUMIF('FAR 10.2022 Assets 2032'!AL:AL,0,'FAR 10.2022 Assets 2032'!AS:AS)</f>
        <v>0</v>
      </c>
      <c r="D47" s="358">
        <f>+SUMIF('FAR 10.2022 Assets 2032'!AM:AM,0,'FAR 10.2022 Assets 2032'!AT:AT)</f>
        <v>0</v>
      </c>
      <c r="E47" s="358">
        <f>+SUMIF('FAR 10.2022 Assets 2032'!AN:AN,0,'FAR 10.2022 Assets 2032'!AU:AU)</f>
        <v>0</v>
      </c>
      <c r="F47" s="358">
        <f>+SUMIF('FAR 10.2022 Assets 2032'!AO:AO,0,'FAR 10.2022 Assets 2032'!AV:AV)</f>
        <v>0</v>
      </c>
    </row>
    <row r="48" spans="1:7" x14ac:dyDescent="0.25">
      <c r="B48" s="515"/>
      <c r="C48" s="515"/>
      <c r="D48" s="515"/>
      <c r="E48" s="515"/>
      <c r="F48" s="515"/>
    </row>
    <row r="49" spans="1:6" x14ac:dyDescent="0.25">
      <c r="A49" s="514" t="s">
        <v>348</v>
      </c>
      <c r="B49" s="355">
        <f ca="1">+B47+B37+B41+B45</f>
        <v>69299223.440000013</v>
      </c>
      <c r="C49" s="355">
        <f t="shared" ref="C49:F49" ca="1" si="2">+C47+C37+C41+C45</f>
        <v>455094.25628571439</v>
      </c>
      <c r="D49" s="355">
        <f t="shared" ca="1" si="2"/>
        <v>924455.59971428558</v>
      </c>
      <c r="E49" s="355">
        <f t="shared" ca="1" si="2"/>
        <v>1379549.8560000001</v>
      </c>
      <c r="F49" s="355">
        <f t="shared" ca="1" si="2"/>
        <v>3318631.4140000003</v>
      </c>
    </row>
    <row r="51" spans="1:6" x14ac:dyDescent="0.25">
      <c r="A51" s="514" t="s">
        <v>1544</v>
      </c>
      <c r="B51" s="516">
        <f ca="1">+SUM('FAR 10.2022 Assets 2032'!S:S)</f>
        <v>69299223.439999998</v>
      </c>
      <c r="C51" s="516">
        <f>+SUM('FAR 10.2022 Assets 2032'!AS:AS)</f>
        <v>455094.25628571422</v>
      </c>
      <c r="D51" s="516">
        <f>+SUM('FAR 10.2022 Assets 2032'!AT:AT)</f>
        <v>924455.59971428581</v>
      </c>
      <c r="E51" s="516">
        <f>+SUM('FAR 10.2022 Assets 2032'!AU:AU)</f>
        <v>1379549.8560000001</v>
      </c>
      <c r="F51" s="516">
        <f>+SUM('FAR 10.2022 Assets 2032'!AV:AV)</f>
        <v>3318631.4139999985</v>
      </c>
    </row>
    <row r="53" spans="1:6" ht="15.75" thickBot="1" x14ac:dyDescent="0.3">
      <c r="A53" s="514" t="s">
        <v>1545</v>
      </c>
      <c r="B53" s="517">
        <f ca="1">+B49-B51</f>
        <v>0</v>
      </c>
      <c r="C53" s="517">
        <f t="shared" ref="C53:F53" ca="1" si="3">+C49-C51</f>
        <v>0</v>
      </c>
      <c r="D53" s="517">
        <f t="shared" ca="1" si="3"/>
        <v>0</v>
      </c>
      <c r="E53" s="517">
        <f t="shared" ca="1" si="3"/>
        <v>0</v>
      </c>
      <c r="F53" s="517">
        <f t="shared" ca="1" si="3"/>
        <v>0</v>
      </c>
    </row>
    <row r="54" spans="1:6" ht="15.75" thickTop="1" x14ac:dyDescent="0.25"/>
  </sheetData>
  <conditionalFormatting sqref="B53:F53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  <pageSetup scale="65" pageOrder="overThenDown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7A3D-14FD-4A77-A49C-DDF69F1BC08B}">
  <dimension ref="A1:BH106"/>
  <sheetViews>
    <sheetView showGridLines="0" view="pageBreakPreview" topLeftCell="D22" zoomScale="60" zoomScaleNormal="80" workbookViewId="0">
      <pane xSplit="5" ySplit="7" topLeftCell="AB40" activePane="bottomRight" state="frozen"/>
      <selection activeCell="M65" sqref="M65"/>
      <selection pane="topRight" activeCell="M65" sqref="M65"/>
      <selection pane="bottomLeft" activeCell="M65" sqref="M65"/>
      <selection pane="bottomRight" activeCell="AQ80" sqref="AQ80"/>
    </sheetView>
  </sheetViews>
  <sheetFormatPr defaultColWidth="9.33203125" defaultRowHeight="15" outlineLevelCol="1" x14ac:dyDescent="0.25"/>
  <cols>
    <col min="1" max="2" width="9.33203125" style="364"/>
    <col min="3" max="3" width="14.1640625" style="364" customWidth="1"/>
    <col min="4" max="4" width="1.6640625" style="364" customWidth="1"/>
    <col min="5" max="5" width="12.1640625" style="364" customWidth="1"/>
    <col min="6" max="6" width="7" style="364" customWidth="1"/>
    <col min="7" max="7" width="6.33203125" style="364" customWidth="1"/>
    <col min="8" max="8" width="32.33203125" style="364" customWidth="1"/>
    <col min="9" max="9" width="57.83203125" style="364" customWidth="1" outlineLevel="1"/>
    <col min="10" max="10" width="52.6640625" style="364" customWidth="1" outlineLevel="1"/>
    <col min="11" max="11" width="3.33203125" style="364" customWidth="1"/>
    <col min="12" max="12" width="41.1640625" style="364" bestFit="1" customWidth="1"/>
    <col min="13" max="13" width="33.6640625" style="364" bestFit="1" customWidth="1"/>
    <col min="14" max="14" width="6.6640625" style="364" customWidth="1"/>
    <col min="15" max="15" width="6.5" style="364" customWidth="1"/>
    <col min="16" max="16" width="6" style="364" customWidth="1"/>
    <col min="17" max="17" width="9.33203125" style="364"/>
    <col min="18" max="29" width="11.6640625" style="364" customWidth="1" outlineLevel="1"/>
    <col min="30" max="30" width="0.83203125" style="364" customWidth="1" outlineLevel="1"/>
    <col min="31" max="31" width="27.33203125" style="364" bestFit="1" customWidth="1"/>
    <col min="32" max="32" width="16.1640625" style="364" bestFit="1" customWidth="1"/>
    <col min="33" max="33" width="12.5" style="364" bestFit="1" customWidth="1" outlineLevel="1"/>
    <col min="34" max="34" width="30" style="364" customWidth="1" outlineLevel="1"/>
    <col min="35" max="35" width="33.6640625" style="364" customWidth="1" outlineLevel="1"/>
    <col min="36" max="36" width="9" style="364" customWidth="1" outlineLevel="1"/>
    <col min="37" max="38" width="25" style="364" customWidth="1" outlineLevel="1"/>
    <col min="39" max="40" width="29" style="364" customWidth="1"/>
    <col min="41" max="41" width="31.1640625" style="364" customWidth="1"/>
    <col min="42" max="42" width="1.6640625" style="364" customWidth="1"/>
    <col min="43" max="43" width="67.6640625" style="364" customWidth="1"/>
    <col min="44" max="45" width="9.33203125" style="364"/>
    <col min="46" max="46" width="57.5" style="364" customWidth="1"/>
    <col min="47" max="47" width="8" style="364" customWidth="1"/>
    <col min="48" max="48" width="1.6640625" style="364" customWidth="1"/>
    <col min="49" max="49" width="15.1640625" style="364" bestFit="1" customWidth="1"/>
    <col min="50" max="50" width="9" style="364" customWidth="1"/>
    <col min="51" max="51" width="1.5" style="364" customWidth="1"/>
    <col min="52" max="52" width="24" style="364" customWidth="1"/>
    <col min="53" max="53" width="22.6640625" style="364" bestFit="1" customWidth="1"/>
    <col min="54" max="54" width="8" style="364" customWidth="1"/>
    <col min="55" max="55" width="1.6640625" style="364" customWidth="1"/>
    <col min="56" max="58" width="18" style="364" customWidth="1"/>
    <col min="59" max="59" width="12.33203125" style="364" customWidth="1"/>
    <col min="60" max="16384" width="9.33203125" style="364"/>
  </cols>
  <sheetData>
    <row r="1" spans="1:60" s="446" customFormat="1" x14ac:dyDescent="0.25">
      <c r="D1" s="446" t="s">
        <v>1432</v>
      </c>
      <c r="AV1" s="364"/>
      <c r="AY1" s="364"/>
      <c r="BC1" s="364"/>
    </row>
    <row r="2" spans="1:60" x14ac:dyDescent="0.25">
      <c r="C2" s="447"/>
      <c r="D2" s="449"/>
      <c r="E2" s="447"/>
      <c r="F2" s="447"/>
      <c r="G2" s="447"/>
      <c r="H2" s="459"/>
      <c r="I2" s="459"/>
      <c r="J2" s="459"/>
      <c r="L2" s="447"/>
      <c r="M2" s="447"/>
      <c r="N2" s="447"/>
      <c r="O2" s="447"/>
      <c r="P2" s="447"/>
      <c r="Q2" s="447" t="s">
        <v>1431</v>
      </c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G2" s="447"/>
      <c r="AH2" s="447"/>
      <c r="AI2" s="447"/>
      <c r="AJ2" s="447"/>
      <c r="AK2" s="447"/>
      <c r="AL2" s="447"/>
      <c r="AO2" s="447"/>
      <c r="AQ2" s="447"/>
    </row>
    <row r="3" spans="1:60" x14ac:dyDescent="0.25">
      <c r="A3" s="364" t="s">
        <v>1430</v>
      </c>
      <c r="B3" s="364" t="s">
        <v>1402</v>
      </c>
      <c r="C3" s="447" t="s">
        <v>1429</v>
      </c>
      <c r="D3" s="449"/>
      <c r="E3" s="447" t="s">
        <v>1428</v>
      </c>
      <c r="F3" s="447" t="s">
        <v>1427</v>
      </c>
      <c r="G3" s="447" t="s">
        <v>1401</v>
      </c>
      <c r="H3" s="459" t="s">
        <v>1426</v>
      </c>
      <c r="I3" s="459" t="s">
        <v>1425</v>
      </c>
      <c r="J3" s="459" t="s">
        <v>1424</v>
      </c>
      <c r="L3" s="447" t="s">
        <v>1423</v>
      </c>
      <c r="M3" s="447" t="s">
        <v>1422</v>
      </c>
      <c r="N3" s="447" t="s">
        <v>1358</v>
      </c>
      <c r="O3" s="447" t="s">
        <v>1421</v>
      </c>
      <c r="P3" s="447" t="s">
        <v>1420</v>
      </c>
      <c r="Q3" s="447" t="s">
        <v>1419</v>
      </c>
      <c r="R3" s="447" t="s">
        <v>1418</v>
      </c>
      <c r="S3" s="447" t="s">
        <v>1417</v>
      </c>
      <c r="T3" s="447" t="s">
        <v>1416</v>
      </c>
      <c r="U3" s="447" t="s">
        <v>1415</v>
      </c>
      <c r="V3" s="447" t="s">
        <v>1414</v>
      </c>
      <c r="W3" s="447" t="s">
        <v>1413</v>
      </c>
      <c r="X3" s="447" t="s">
        <v>1412</v>
      </c>
      <c r="Y3" s="447" t="s">
        <v>1411</v>
      </c>
      <c r="Z3" s="447" t="s">
        <v>1410</v>
      </c>
      <c r="AA3" s="447" t="s">
        <v>1409</v>
      </c>
      <c r="AB3" s="447" t="s">
        <v>1408</v>
      </c>
      <c r="AC3" s="447" t="s">
        <v>1407</v>
      </c>
      <c r="AG3" s="447" t="s">
        <v>1392</v>
      </c>
      <c r="AH3" s="447"/>
      <c r="AI3" s="447" t="s">
        <v>1406</v>
      </c>
      <c r="AJ3" s="447" t="s">
        <v>1405</v>
      </c>
      <c r="AK3" s="447" t="s">
        <v>1404</v>
      </c>
      <c r="AL3" s="447"/>
      <c r="AO3" s="447" t="s">
        <v>1403</v>
      </c>
      <c r="AQ3" s="447"/>
    </row>
    <row r="4" spans="1:60" x14ac:dyDescent="0.25">
      <c r="C4" s="364" t="s">
        <v>1402</v>
      </c>
      <c r="D4" s="449"/>
      <c r="E4" s="447"/>
      <c r="F4" s="447"/>
      <c r="G4" s="447" t="s">
        <v>1401</v>
      </c>
      <c r="H4" s="459"/>
      <c r="I4" s="459"/>
      <c r="J4" s="459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G4" s="447"/>
      <c r="AH4" s="447"/>
      <c r="AI4" s="447"/>
      <c r="AJ4" s="447"/>
      <c r="AK4" s="447"/>
      <c r="AL4" s="447"/>
      <c r="AO4" s="447"/>
      <c r="AQ4" s="447" t="s">
        <v>1400</v>
      </c>
    </row>
    <row r="5" spans="1:60" s="446" customFormat="1" x14ac:dyDescent="0.25">
      <c r="D5" s="446" t="s">
        <v>1399</v>
      </c>
      <c r="AV5" s="364"/>
      <c r="AY5" s="364"/>
      <c r="BC5" s="364"/>
    </row>
    <row r="6" spans="1:60" x14ac:dyDescent="0.25">
      <c r="A6" s="364" t="b">
        <f>IF(AND(C6&lt;&gt;"", B6&lt;&gt;C6),TRUE, FALSE)</f>
        <v>0</v>
      </c>
      <c r="B6" s="364" t="str">
        <f>IF(RIGHT("0000"&amp;F6,4)&amp;"-"&amp;G6 &lt;&gt; "0000-", RIGHT("0000"&amp;F6,4)&amp;"-"&amp;G6, "")</f>
        <v/>
      </c>
      <c r="C6" s="405"/>
      <c r="D6" s="404">
        <v>1</v>
      </c>
      <c r="E6" s="403"/>
      <c r="F6" s="402"/>
      <c r="G6" s="389"/>
      <c r="H6" s="401"/>
      <c r="I6" s="401"/>
      <c r="J6" s="401"/>
      <c r="K6" s="400"/>
      <c r="L6" s="399"/>
      <c r="M6" s="399"/>
      <c r="N6" s="390"/>
      <c r="O6" s="398"/>
      <c r="P6" s="398"/>
      <c r="Q6" s="397"/>
      <c r="R6" s="396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4"/>
      <c r="AD6" s="367"/>
      <c r="AE6" s="393">
        <f>SUM(R6:AC6)</f>
        <v>0</v>
      </c>
      <c r="AG6" s="390"/>
      <c r="AH6" s="392"/>
      <c r="AI6" s="391"/>
      <c r="AJ6" s="390"/>
      <c r="AK6" s="389"/>
      <c r="AL6" s="489"/>
      <c r="AM6" s="385"/>
      <c r="AN6" s="385"/>
      <c r="AO6" s="388"/>
      <c r="AP6" s="387" t="s">
        <v>319</v>
      </c>
      <c r="AQ6" s="386"/>
      <c r="AR6" s="385"/>
      <c r="AS6" s="384" t="str">
        <f>IF(Q6="", "", Q6)</f>
        <v/>
      </c>
      <c r="AT6" s="384" t="str">
        <f>IFERROR(VLOOKUP($AS6,[26]TruckCenterReference!$C$23:$I28,3,FALSE), "")</f>
        <v/>
      </c>
      <c r="AU6" s="379" t="str">
        <f>IF(Q6&lt;&gt;"",IF(AT6&lt;&gt;H6,"Review","ok"), "")</f>
        <v/>
      </c>
      <c r="AV6" s="382"/>
      <c r="AW6" s="381" t="str">
        <f>IFERROR(VLOOKUP($AS6,[26]TruckCenterReference!$C$23:$I28,4,FALSE), "")</f>
        <v/>
      </c>
      <c r="AX6" s="379" t="str">
        <f>IF(Q6="","", IF($AW6&lt;&gt;$P6, "Fix!", "ok"))</f>
        <v/>
      </c>
      <c r="AZ6" s="384" t="str">
        <f>IFERROR(VLOOKUP(M6,SubtypeToTruckType,2,FALSE),"")</f>
        <v/>
      </c>
      <c r="BA6" s="383" t="str">
        <f>IFERROR(VLOOKUP($AS6,[26]TruckCenterReference!$C$23:$I28,6,FALSE), "")</f>
        <v/>
      </c>
      <c r="BB6" s="379" t="str">
        <f>IF(Q6&lt;&gt;"",IF(AZ6&lt;&gt;BA6,"Fix!","ok"), "")</f>
        <v/>
      </c>
      <c r="BC6" s="382"/>
      <c r="BD6" s="381">
        <f>IFERROR(VLOOKUP($AS6,[26]TruckCenterReference!$C$23:$I28,7,FALSE), 0)</f>
        <v>0</v>
      </c>
      <c r="BE6" s="381">
        <f>IFERROR(VLOOKUP($AS6,[26]TruckCenterReference!$C$23:$K28,9,FALSE), 0)</f>
        <v>0</v>
      </c>
      <c r="BF6" s="381">
        <f>IFERROR(VLOOKUP($AS6,[26]TruckCenterReference!$C$23:$K28,8,FALSE), 0)</f>
        <v>0</v>
      </c>
      <c r="BG6" s="380" t="str">
        <f>IF(BD6&lt;&gt;0,BD6-AE6-BF6,"")</f>
        <v/>
      </c>
      <c r="BH6" s="379" t="str">
        <f>IF(Q6="","",IF(ABS(BG6)&gt;100,IF(RIGHT(M6,4)="Body","Review","Fix!"),"ok"))</f>
        <v/>
      </c>
    </row>
    <row r="7" spans="1:60" s="446" customFormat="1" x14ac:dyDescent="0.25">
      <c r="D7" s="446" t="s">
        <v>1398</v>
      </c>
      <c r="AV7" s="364"/>
      <c r="AY7" s="364"/>
      <c r="BC7" s="364"/>
    </row>
    <row r="8" spans="1:60" s="447" customFormat="1" x14ac:dyDescent="0.25">
      <c r="C8" s="452"/>
      <c r="D8" s="452"/>
      <c r="E8" s="452"/>
      <c r="F8" s="456" t="s">
        <v>1397</v>
      </c>
      <c r="G8" s="452"/>
      <c r="H8" s="452"/>
      <c r="I8" s="452"/>
      <c r="J8" s="452"/>
      <c r="K8" s="452"/>
      <c r="L8" s="452" t="str">
        <f ca="1">_xll.jFreezePanes(I29,D22)</f>
        <v xml:space="preserve">&gt; jFreezePanes is ready. </v>
      </c>
      <c r="M8" s="452"/>
      <c r="N8" s="452"/>
      <c r="AV8" s="364"/>
      <c r="AY8" s="364"/>
      <c r="BC8" s="364"/>
    </row>
    <row r="9" spans="1:60" s="447" customFormat="1" x14ac:dyDescent="0.25">
      <c r="C9" s="452"/>
      <c r="D9" s="452"/>
      <c r="E9" s="451" t="s">
        <v>1396</v>
      </c>
      <c r="F9" s="452" t="str">
        <f ca="1">_xll.ReportDefaults("Pull","Clear",_xll.PairGroup(_xll.Pair("",H18)))</f>
        <v>OK!: ReportDefaults Formula OK [jAction{}]</v>
      </c>
      <c r="G9" s="452"/>
      <c r="H9" s="452"/>
      <c r="I9" s="452"/>
      <c r="J9" s="452"/>
      <c r="K9" s="451" t="s">
        <v>1395</v>
      </c>
      <c r="L9" s="452" t="str">
        <f ca="1">_xll.ReportDrill(,"CCQueryDrill",_xll.PairGroup(_xll.Pair(K18,"SummaryLevel"),_xll.Pair(H24,"BudYear"),_xll.Pair(H23,"DistrictCell"),_xll.Pair(C30:C86,"PONumber"),_xll.Pair(F20:AQ20)),"Drill to CC Query for Change History")</f>
        <v>OK!: ReportDrill 'Drill to CC Query for Change History' Formula OK [jAction{}]</v>
      </c>
      <c r="M9" s="452"/>
      <c r="N9" s="452"/>
      <c r="AV9" s="364"/>
      <c r="AY9" s="364"/>
      <c r="BC9" s="364"/>
    </row>
    <row r="10" spans="1:60" s="447" customFormat="1" x14ac:dyDescent="0.25">
      <c r="C10" s="452"/>
      <c r="D10" s="452"/>
      <c r="E10" s="448" t="s">
        <v>1394</v>
      </c>
      <c r="F10" s="447" t="str">
        <f>_xll.ReportRun([26]AssetTypeList!C7,FALSE,"Pull")</f>
        <v>OK!: ReportRun Formula OK [jAction{}]</v>
      </c>
      <c r="H10" s="452"/>
      <c r="I10" s="452"/>
      <c r="J10" s="452"/>
      <c r="K10" s="451"/>
      <c r="L10" s="452"/>
      <c r="M10" s="452"/>
      <c r="N10" s="452"/>
      <c r="AV10" s="364"/>
      <c r="AY10" s="364"/>
      <c r="BC10" s="364"/>
    </row>
    <row r="11" spans="1:60" s="447" customFormat="1" x14ac:dyDescent="0.25">
      <c r="C11" s="452"/>
      <c r="D11" s="452"/>
      <c r="E11" s="451" t="s">
        <v>1393</v>
      </c>
      <c r="F11" s="452" t="str">
        <f ca="1">_xll.ReportRange("BudgetCapitalDetailPull",30:55,C3:BG3,C6:BG6,_xll.Param(H23,H24,H18,N18,K19))</f>
        <v>OK!: ReportRange Formula OK [jAction{}]</v>
      </c>
      <c r="G11" s="452"/>
      <c r="H11" s="452"/>
      <c r="I11" s="452"/>
      <c r="M11" s="452"/>
      <c r="N11" s="452"/>
      <c r="AG11" s="447" t="s">
        <v>1392</v>
      </c>
      <c r="AH11" s="447" t="s">
        <v>1391</v>
      </c>
      <c r="AV11" s="364"/>
      <c r="AY11" s="364"/>
      <c r="BC11" s="364"/>
    </row>
    <row r="12" spans="1:60" s="447" customFormat="1" x14ac:dyDescent="0.25">
      <c r="C12" s="452"/>
      <c r="D12" s="452"/>
      <c r="E12" s="451" t="s">
        <v>1390</v>
      </c>
      <c r="F12" s="458" t="str">
        <f ca="1">_xll.ReportFixed("BudCap1",AG30:AG55,AG11:AH11,_xll.Param(DetailBudYear, DetailDistrict))</f>
        <v>OK!: ReportFixed Formula OK [jAction{}]</v>
      </c>
      <c r="G12" s="452"/>
      <c r="H12" s="452"/>
      <c r="I12" s="458"/>
      <c r="M12" s="452"/>
      <c r="N12" s="452"/>
      <c r="AV12" s="364"/>
      <c r="AY12" s="364"/>
      <c r="BC12" s="364"/>
    </row>
    <row r="13" spans="1:60" s="447" customFormat="1" x14ac:dyDescent="0.25">
      <c r="C13" s="452"/>
      <c r="D13" s="452"/>
      <c r="E13" s="451"/>
      <c r="F13" s="458" t="str">
        <f>_xll.ReportRun([26]TruckCenterReference!F16,,"Pull")</f>
        <v>OK!: ReportRun Formula OK [jAction{}]</v>
      </c>
      <c r="G13" s="452"/>
      <c r="H13" s="452"/>
      <c r="I13" s="458"/>
      <c r="M13" s="452"/>
      <c r="N13" s="452"/>
      <c r="AV13" s="364"/>
      <c r="AY13" s="364"/>
      <c r="BC13" s="364"/>
    </row>
    <row r="14" spans="1:60" s="447" customFormat="1" x14ac:dyDescent="0.25">
      <c r="C14" s="452"/>
      <c r="D14" s="452"/>
      <c r="E14" s="457"/>
      <c r="F14" s="456" t="s">
        <v>1389</v>
      </c>
      <c r="G14" s="452"/>
      <c r="H14" s="452"/>
      <c r="I14" s="452"/>
      <c r="J14" s="452"/>
      <c r="K14" s="451"/>
      <c r="L14" s="452"/>
      <c r="M14" s="452"/>
      <c r="N14" s="452"/>
      <c r="AV14" s="364"/>
      <c r="AY14" s="364"/>
      <c r="BC14" s="364"/>
    </row>
    <row r="15" spans="1:60" s="447" customFormat="1" x14ac:dyDescent="0.25">
      <c r="C15" s="452"/>
      <c r="D15" s="452"/>
      <c r="E15" s="451" t="s">
        <v>1388</v>
      </c>
      <c r="F15" s="452" t="str">
        <f ca="1">_xll.ReportSave("BudgetCapitalDetailSave",B30:B55,A3:AO3,C4:AQ4,_xll.Param(H23,H24,H18,N18))</f>
        <v>OK!: ReportSave Formula OK [jAction{}]</v>
      </c>
      <c r="G15" s="452"/>
      <c r="H15" s="452"/>
      <c r="I15" s="452"/>
      <c r="J15" s="452"/>
      <c r="K15" s="452"/>
      <c r="L15" s="452"/>
      <c r="M15" s="452"/>
      <c r="N15" s="452"/>
      <c r="AV15" s="364"/>
      <c r="AY15" s="364"/>
      <c r="BC15" s="364"/>
    </row>
    <row r="16" spans="1:60" s="447" customFormat="1" x14ac:dyDescent="0.25">
      <c r="AV16" s="364"/>
      <c r="AY16" s="364"/>
      <c r="BC16" s="364"/>
    </row>
    <row r="17" spans="1:60" s="446" customFormat="1" x14ac:dyDescent="0.25">
      <c r="D17" s="446" t="s">
        <v>1387</v>
      </c>
      <c r="M17" s="455"/>
      <c r="AV17" s="364"/>
      <c r="AY17" s="364"/>
      <c r="BC17" s="364"/>
    </row>
    <row r="18" spans="1:60" s="449" customFormat="1" x14ac:dyDescent="0.25">
      <c r="A18" s="454" t="s">
        <v>1386</v>
      </c>
      <c r="B18" s="453" t="b">
        <f>IFERROR(OR(A30:A55),FALSE)</f>
        <v>0</v>
      </c>
      <c r="G18" s="448" t="s">
        <v>1385</v>
      </c>
      <c r="H18" s="450" t="s">
        <v>1384</v>
      </c>
      <c r="J18" s="448" t="s">
        <v>1383</v>
      </c>
      <c r="K18" s="450" t="s">
        <v>1382</v>
      </c>
      <c r="L18" s="450"/>
      <c r="M18" s="448" t="s">
        <v>1381</v>
      </c>
      <c r="N18" s="450">
        <v>2</v>
      </c>
      <c r="AV18" s="364"/>
      <c r="AY18" s="364"/>
      <c r="BC18" s="364"/>
    </row>
    <row r="19" spans="1:60" s="449" customFormat="1" x14ac:dyDescent="0.25">
      <c r="A19" s="454"/>
      <c r="B19" s="453" t="str">
        <f>IF(B18=TRUE,"Save","SkipRePull")</f>
        <v>SkipRePull</v>
      </c>
      <c r="I19" s="452"/>
      <c r="J19" s="451" t="s">
        <v>1380</v>
      </c>
      <c r="K19" s="450" t="s">
        <v>1309</v>
      </c>
      <c r="L19" s="450"/>
      <c r="M19" s="448"/>
      <c r="N19" s="448"/>
      <c r="AV19" s="364"/>
      <c r="AY19" s="364"/>
      <c r="BC19" s="364"/>
    </row>
    <row r="20" spans="1:60" s="447" customFormat="1" x14ac:dyDescent="0.25">
      <c r="F20" s="447" t="s">
        <v>1379</v>
      </c>
      <c r="G20" s="447" t="s">
        <v>1379</v>
      </c>
      <c r="H20" s="447" t="s">
        <v>1379</v>
      </c>
      <c r="I20" s="447" t="s">
        <v>1379</v>
      </c>
      <c r="J20" s="447" t="s">
        <v>1379</v>
      </c>
      <c r="K20" s="448"/>
      <c r="L20" s="447" t="s">
        <v>1379</v>
      </c>
      <c r="M20" s="447" t="s">
        <v>1379</v>
      </c>
      <c r="N20" s="447" t="s">
        <v>1379</v>
      </c>
      <c r="O20" s="447" t="s">
        <v>1379</v>
      </c>
      <c r="P20" s="447" t="s">
        <v>1379</v>
      </c>
      <c r="Q20" s="447" t="s">
        <v>1379</v>
      </c>
      <c r="R20" s="447" t="s">
        <v>1379</v>
      </c>
      <c r="S20" s="447" t="s">
        <v>1379</v>
      </c>
      <c r="T20" s="447" t="s">
        <v>1379</v>
      </c>
      <c r="U20" s="447" t="s">
        <v>1379</v>
      </c>
      <c r="V20" s="447" t="s">
        <v>1379</v>
      </c>
      <c r="W20" s="447" t="s">
        <v>1379</v>
      </c>
      <c r="X20" s="447" t="s">
        <v>1379</v>
      </c>
      <c r="Y20" s="447" t="s">
        <v>1379</v>
      </c>
      <c r="Z20" s="447" t="s">
        <v>1379</v>
      </c>
      <c r="AA20" s="447" t="s">
        <v>1379</v>
      </c>
      <c r="AB20" s="447" t="s">
        <v>1379</v>
      </c>
      <c r="AC20" s="447" t="s">
        <v>1379</v>
      </c>
      <c r="AE20" s="447" t="s">
        <v>1379</v>
      </c>
      <c r="AG20" s="447" t="s">
        <v>1379</v>
      </c>
      <c r="AJ20" s="447" t="s">
        <v>1379</v>
      </c>
      <c r="AK20" s="447" t="s">
        <v>1379</v>
      </c>
      <c r="AO20" s="447" t="s">
        <v>1379</v>
      </c>
      <c r="AQ20" s="447" t="s">
        <v>1379</v>
      </c>
      <c r="AV20" s="364"/>
      <c r="AY20" s="364"/>
      <c r="BC20" s="364"/>
    </row>
    <row r="21" spans="1:60" s="446" customFormat="1" x14ac:dyDescent="0.25">
      <c r="D21" s="446" t="s">
        <v>1378</v>
      </c>
      <c r="AV21" s="364"/>
      <c r="AY21" s="364"/>
      <c r="BC21" s="364"/>
    </row>
    <row r="22" spans="1:60" x14ac:dyDescent="0.25">
      <c r="E22" s="370"/>
      <c r="F22" s="370"/>
      <c r="G22" s="370"/>
      <c r="H22" s="370"/>
      <c r="I22" s="370"/>
      <c r="J22" s="370"/>
      <c r="K22" s="370"/>
      <c r="L22" s="370"/>
      <c r="M22" s="370"/>
      <c r="N22" s="367"/>
      <c r="O22" s="367"/>
      <c r="P22" s="367"/>
      <c r="Q22" s="367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G22" s="367"/>
      <c r="AH22" s="367"/>
      <c r="AI22" s="367"/>
      <c r="AJ22" s="367"/>
      <c r="AK22" s="367"/>
      <c r="AL22" s="367"/>
      <c r="AO22" s="367"/>
    </row>
    <row r="23" spans="1:60" ht="15.75" x14ac:dyDescent="0.25">
      <c r="E23" s="445"/>
      <c r="F23" s="444"/>
      <c r="G23" s="443" t="s">
        <v>1377</v>
      </c>
      <c r="H23" s="442" t="s">
        <v>732</v>
      </c>
      <c r="I23" s="441" t="s">
        <v>1376</v>
      </c>
      <c r="K23" s="434"/>
      <c r="M23" s="433"/>
      <c r="N23" s="367"/>
      <c r="O23" s="367"/>
      <c r="P23" s="367"/>
      <c r="Q23" s="367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440"/>
      <c r="AG23" s="367"/>
      <c r="AH23" s="367"/>
      <c r="AI23" s="367"/>
      <c r="AJ23" s="367"/>
      <c r="AK23" s="367"/>
      <c r="AL23" s="367"/>
      <c r="AO23" s="367"/>
    </row>
    <row r="24" spans="1:60" ht="15.75" x14ac:dyDescent="0.25">
      <c r="E24" s="439"/>
      <c r="F24" s="438"/>
      <c r="G24" s="437" t="s">
        <v>1375</v>
      </c>
      <c r="H24" s="436">
        <v>2023</v>
      </c>
      <c r="I24" s="435"/>
      <c r="J24" s="435"/>
      <c r="K24" s="434"/>
      <c r="L24" s="431"/>
      <c r="M24" s="433"/>
      <c r="N24" s="367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G24" s="367"/>
      <c r="AH24" s="367"/>
      <c r="AI24" s="367"/>
      <c r="AJ24" s="367"/>
      <c r="AK24" s="367"/>
      <c r="AL24" s="367"/>
      <c r="AO24" s="367"/>
    </row>
    <row r="25" spans="1:60" x14ac:dyDescent="0.25">
      <c r="E25" s="432"/>
      <c r="F25" s="432"/>
      <c r="G25" s="432"/>
      <c r="H25" s="370"/>
      <c r="I25" s="370"/>
      <c r="J25" s="370"/>
      <c r="K25" s="370"/>
      <c r="L25" s="431" t="s">
        <v>1374</v>
      </c>
      <c r="M25" s="370"/>
      <c r="N25" s="367"/>
      <c r="O25" s="367"/>
      <c r="P25" s="367"/>
      <c r="Q25" s="367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G25" s="367"/>
      <c r="AH25" s="367"/>
      <c r="AI25" s="367"/>
      <c r="AJ25" s="367"/>
      <c r="AK25" s="367"/>
      <c r="AL25" s="367"/>
      <c r="AO25" s="367"/>
      <c r="AS25" s="430" t="s">
        <v>1373</v>
      </c>
      <c r="AT25" s="430"/>
      <c r="AZ25" s="430"/>
    </row>
    <row r="26" spans="1:60" ht="15.75" x14ac:dyDescent="0.25">
      <c r="E26" s="429" t="s">
        <v>1372</v>
      </c>
      <c r="F26" s="428"/>
      <c r="G26" s="428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6"/>
      <c r="AS26" s="425"/>
      <c r="AT26" s="425"/>
      <c r="AU26" s="425"/>
      <c r="AW26" s="425"/>
      <c r="AX26" s="425"/>
      <c r="AZ26" s="425"/>
      <c r="BA26" s="425"/>
      <c r="BB26" s="425"/>
      <c r="BD26" s="425"/>
      <c r="BE26" s="425"/>
      <c r="BF26" s="425"/>
      <c r="BG26" s="425"/>
      <c r="BH26" s="425"/>
    </row>
    <row r="27" spans="1:60" x14ac:dyDescent="0.25">
      <c r="E27" s="424"/>
      <c r="F27" s="424"/>
      <c r="G27" s="424"/>
      <c r="H27" s="424"/>
      <c r="I27" s="424"/>
      <c r="J27" s="424"/>
      <c r="K27" s="424"/>
      <c r="L27" s="424"/>
      <c r="M27" s="424"/>
      <c r="N27" s="413"/>
      <c r="O27" s="413"/>
      <c r="P27" s="413"/>
      <c r="Q27" s="413"/>
      <c r="R27" s="423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367"/>
      <c r="AF27" s="422" t="s">
        <v>1371</v>
      </c>
      <c r="AG27" s="421"/>
      <c r="AH27" s="421"/>
      <c r="AI27" s="421"/>
      <c r="AJ27" s="421"/>
      <c r="AK27" s="421"/>
      <c r="AL27" s="421"/>
      <c r="AS27" s="420"/>
      <c r="AT27" s="409" t="s">
        <v>1370</v>
      </c>
      <c r="AU27" s="419"/>
      <c r="AW27" s="419" t="s">
        <v>1369</v>
      </c>
      <c r="AX27" s="419"/>
      <c r="AZ27" s="419" t="s">
        <v>1368</v>
      </c>
      <c r="BA27" s="419" t="s">
        <v>1368</v>
      </c>
      <c r="BB27" s="419"/>
      <c r="BD27" s="419" t="s">
        <v>1367</v>
      </c>
      <c r="BE27" s="419"/>
      <c r="BF27" s="419"/>
      <c r="BG27" s="420"/>
      <c r="BH27" s="419"/>
    </row>
    <row r="28" spans="1:60" ht="27" thickBot="1" x14ac:dyDescent="0.3">
      <c r="E28" s="418" t="s">
        <v>1366</v>
      </c>
      <c r="F28" s="411" t="s">
        <v>1365</v>
      </c>
      <c r="G28" s="411" t="s">
        <v>1364</v>
      </c>
      <c r="H28" s="417" t="s">
        <v>1363</v>
      </c>
      <c r="I28" s="417" t="s">
        <v>1362</v>
      </c>
      <c r="J28" s="417" t="s">
        <v>1361</v>
      </c>
      <c r="K28" s="411"/>
      <c r="L28" s="411" t="s">
        <v>1360</v>
      </c>
      <c r="M28" s="411" t="s">
        <v>1359</v>
      </c>
      <c r="N28" s="411" t="s">
        <v>1358</v>
      </c>
      <c r="O28" s="411" t="s">
        <v>1357</v>
      </c>
      <c r="P28" s="411" t="s">
        <v>1356</v>
      </c>
      <c r="Q28" s="411" t="s">
        <v>1355</v>
      </c>
      <c r="R28" s="416">
        <v>40209</v>
      </c>
      <c r="S28" s="415">
        <v>40237</v>
      </c>
      <c r="T28" s="414">
        <v>40268</v>
      </c>
      <c r="U28" s="416">
        <v>40298</v>
      </c>
      <c r="V28" s="415">
        <v>40329</v>
      </c>
      <c r="W28" s="414">
        <v>40359</v>
      </c>
      <c r="X28" s="416">
        <v>40390</v>
      </c>
      <c r="Y28" s="415">
        <v>40421</v>
      </c>
      <c r="Z28" s="414">
        <v>40451</v>
      </c>
      <c r="AA28" s="416">
        <v>40482</v>
      </c>
      <c r="AB28" s="415">
        <v>40512</v>
      </c>
      <c r="AC28" s="414">
        <v>40543</v>
      </c>
      <c r="AD28" s="413"/>
      <c r="AE28" s="412" t="s">
        <v>348</v>
      </c>
      <c r="AF28" s="374"/>
      <c r="AG28" s="411" t="s">
        <v>1354</v>
      </c>
      <c r="AH28" s="411" t="s">
        <v>1353</v>
      </c>
      <c r="AI28" s="411" t="s">
        <v>1352</v>
      </c>
      <c r="AJ28" s="411" t="s">
        <v>1351</v>
      </c>
      <c r="AK28" s="411" t="s">
        <v>1233</v>
      </c>
      <c r="AL28" s="411" t="s">
        <v>1307</v>
      </c>
      <c r="AM28" s="411" t="s">
        <v>1526</v>
      </c>
      <c r="AN28" s="411" t="s">
        <v>1541</v>
      </c>
      <c r="AO28" s="411" t="s">
        <v>1350</v>
      </c>
      <c r="AP28" s="410"/>
      <c r="AQ28" s="411" t="s">
        <v>1349</v>
      </c>
      <c r="AR28" s="410"/>
      <c r="AS28" s="409" t="s">
        <v>1292</v>
      </c>
      <c r="AT28" s="409" t="s">
        <v>1348</v>
      </c>
      <c r="AU28" s="409" t="s">
        <v>1346</v>
      </c>
      <c r="AW28" s="409" t="s">
        <v>1345</v>
      </c>
      <c r="AX28" s="409" t="s">
        <v>1341</v>
      </c>
      <c r="AZ28" s="409" t="s">
        <v>1347</v>
      </c>
      <c r="BA28" s="409" t="s">
        <v>1345</v>
      </c>
      <c r="BB28" s="409" t="s">
        <v>1346</v>
      </c>
      <c r="BD28" s="409" t="s">
        <v>1345</v>
      </c>
      <c r="BE28" s="409" t="s">
        <v>1344</v>
      </c>
      <c r="BF28" s="409" t="s">
        <v>1343</v>
      </c>
      <c r="BG28" s="409" t="s">
        <v>1342</v>
      </c>
      <c r="BH28" s="409" t="s">
        <v>1341</v>
      </c>
    </row>
    <row r="29" spans="1:60" x14ac:dyDescent="0.25">
      <c r="E29" s="370"/>
      <c r="F29" s="370"/>
      <c r="G29" s="370"/>
      <c r="H29" s="370"/>
      <c r="I29" s="370"/>
      <c r="J29" s="370"/>
      <c r="K29" s="370"/>
      <c r="L29" s="370"/>
      <c r="M29" s="370"/>
      <c r="N29" s="367"/>
      <c r="O29" s="367"/>
      <c r="P29" s="367"/>
      <c r="Q29" s="367"/>
      <c r="R29" s="40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72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407"/>
      <c r="AZ29" s="407"/>
      <c r="BE29" s="406"/>
      <c r="BF29" s="406"/>
    </row>
    <row r="30" spans="1:60" ht="38.25" x14ac:dyDescent="0.25">
      <c r="A30" s="364" t="b">
        <f t="shared" ref="A30:A54" si="0">IF(AND(C30&lt;&gt;"", B30&lt;&gt;C30),TRUE, FALSE)</f>
        <v>0</v>
      </c>
      <c r="B30" s="364" t="str">
        <f t="shared" ref="B30:B54" si="1">IF(RIGHT("0000"&amp;F30,4)&amp;"-"&amp;G30 &lt;&gt; "0000-", RIGHT("0000"&amp;F30,4)&amp;"-"&amp;G30, "")</f>
        <v>0001-1</v>
      </c>
      <c r="C30" s="405" t="s">
        <v>1340</v>
      </c>
      <c r="D30" s="404">
        <v>1</v>
      </c>
      <c r="E30" s="403"/>
      <c r="F30" s="402">
        <v>1</v>
      </c>
      <c r="G30" s="389">
        <v>1</v>
      </c>
      <c r="H30" s="401" t="s">
        <v>1339</v>
      </c>
      <c r="I30" s="401" t="s">
        <v>1339</v>
      </c>
      <c r="J30" s="401" t="s">
        <v>1339</v>
      </c>
      <c r="K30" s="400"/>
      <c r="L30" s="399" t="s">
        <v>1318</v>
      </c>
      <c r="M30" s="399" t="s">
        <v>1338</v>
      </c>
      <c r="N30" s="390">
        <v>10</v>
      </c>
      <c r="O30" s="398" t="s">
        <v>1322</v>
      </c>
      <c r="P30" s="398" t="s">
        <v>756</v>
      </c>
      <c r="Q30" s="397">
        <v>12397</v>
      </c>
      <c r="R30" s="396">
        <v>0</v>
      </c>
      <c r="S30" s="395">
        <v>404654</v>
      </c>
      <c r="T30" s="395">
        <v>0</v>
      </c>
      <c r="U30" s="395">
        <v>0</v>
      </c>
      <c r="V30" s="395">
        <v>0</v>
      </c>
      <c r="W30" s="395">
        <v>0</v>
      </c>
      <c r="X30" s="395">
        <v>0</v>
      </c>
      <c r="Y30" s="395">
        <v>0</v>
      </c>
      <c r="Z30" s="395">
        <v>0</v>
      </c>
      <c r="AA30" s="395">
        <v>0</v>
      </c>
      <c r="AB30" s="395">
        <v>0</v>
      </c>
      <c r="AC30" s="394">
        <v>0</v>
      </c>
      <c r="AD30" s="367"/>
      <c r="AE30" s="393">
        <f t="shared" ref="AE30:AE54" si="2">SUM(R30:AC30)</f>
        <v>404654</v>
      </c>
      <c r="AG30" s="390">
        <v>234322</v>
      </c>
      <c r="AH30" s="392" t="s">
        <v>808</v>
      </c>
      <c r="AI30" s="391"/>
      <c r="AJ30" s="390"/>
      <c r="AK30" s="389"/>
      <c r="AL30" s="391" t="s">
        <v>1534</v>
      </c>
      <c r="AM30" s="390" t="s">
        <v>1535</v>
      </c>
      <c r="AN30" s="389" t="s">
        <v>742</v>
      </c>
      <c r="AO30" s="388"/>
      <c r="AP30" s="387" t="s">
        <v>319</v>
      </c>
      <c r="AQ30" s="386"/>
      <c r="AR30" s="385"/>
      <c r="AS30" s="384">
        <f t="shared" ref="AS30:AS54" si="3">IF(Q30="", "", Q30)</f>
        <v>12397</v>
      </c>
      <c r="AT30" s="384" t="str">
        <f>IFERROR(VLOOKUP($AS30,[26]TruckCenterReference!$C$23:$I52,3,FALSE), "")</f>
        <v>New Peterbilt/Labrie Automated Resi (28 yd) (Not Manual)</v>
      </c>
      <c r="AU30" s="379" t="str">
        <f t="shared" ref="AU30:AU54" si="4">IF(Q30&lt;&gt;"",IF(AT30&lt;&gt;H30,"Review","ok"), "")</f>
        <v>Review</v>
      </c>
      <c r="AV30" s="382"/>
      <c r="AW30" s="381" t="str">
        <f>IFERROR(VLOOKUP($AS30,[26]TruckCenterReference!$C$23:$I52,4,FALSE), "")</f>
        <v>N</v>
      </c>
      <c r="AX30" s="379" t="str">
        <f t="shared" ref="AX30:AX54" si="5">IF(Q30="","", IF($AW30&lt;&gt;$P30, "Fix!", "ok"))</f>
        <v>ok</v>
      </c>
      <c r="AZ30" s="384" t="str">
        <f t="shared" ref="AZ30:AZ54" si="6">IFERROR(VLOOKUP(M30,SubtypeToTruckType,2,FALSE),"")</f>
        <v>Automated Sideloader</v>
      </c>
      <c r="BA30" s="383" t="str">
        <f>IFERROR(VLOOKUP($AS30,[26]TruckCenterReference!$C$23:$I52,6,FALSE), "")</f>
        <v>Automated Sideloader</v>
      </c>
      <c r="BB30" s="379" t="str">
        <f t="shared" ref="BB30:BB54" si="7">IF(Q30&lt;&gt;"",IF(AZ30&lt;&gt;BA30,"Fix!","ok"), "")</f>
        <v>ok</v>
      </c>
      <c r="BC30" s="382"/>
      <c r="BD30" s="381">
        <f>IFERROR(VLOOKUP($AS30,[26]TruckCenterReference!$C$23:$I52,7,FALSE), 0)</f>
        <v>393947</v>
      </c>
      <c r="BE30" s="381" t="str">
        <f>IFERROR(VLOOKUP($AS30,[26]TruckCenterReference!$C$23:$K52,9,FALSE), 0)</f>
        <v>2032-22-0005-1</v>
      </c>
      <c r="BF30" s="381">
        <f>IFERROR(VLOOKUP($AS30,[26]TruckCenterReference!$C$23:$K52,8,FALSE), 0)</f>
        <v>0</v>
      </c>
      <c r="BG30" s="380">
        <f t="shared" ref="BG30:BG54" si="8">IF(BD30&lt;&gt;0,BD30-AE30-BF30,"")</f>
        <v>-10707</v>
      </c>
      <c r="BH30" s="379" t="str">
        <f t="shared" ref="BH30:BH54" si="9">IF(Q30="","",IF(ABS(BG30)&gt;100,IF(RIGHT(M30,4)="Body","Review","Fix!"),"ok"))</f>
        <v>Fix!</v>
      </c>
    </row>
    <row r="31" spans="1:60" ht="76.5" x14ac:dyDescent="0.25">
      <c r="A31" s="364" t="b">
        <f t="shared" si="0"/>
        <v>0</v>
      </c>
      <c r="B31" s="364" t="str">
        <f t="shared" si="1"/>
        <v>0002-1</v>
      </c>
      <c r="C31" s="405" t="s">
        <v>1337</v>
      </c>
      <c r="D31" s="404">
        <v>1</v>
      </c>
      <c r="E31" s="403"/>
      <c r="F31" s="402">
        <v>2</v>
      </c>
      <c r="G31" s="389">
        <v>1</v>
      </c>
      <c r="H31" s="401" t="s">
        <v>1336</v>
      </c>
      <c r="I31" s="401" t="s">
        <v>1336</v>
      </c>
      <c r="J31" s="401" t="s">
        <v>1335</v>
      </c>
      <c r="K31" s="400"/>
      <c r="L31" s="399" t="s">
        <v>1334</v>
      </c>
      <c r="M31" s="399" t="s">
        <v>1333</v>
      </c>
      <c r="N31" s="390">
        <v>10</v>
      </c>
      <c r="O31" s="398" t="s">
        <v>703</v>
      </c>
      <c r="P31" s="398" t="s">
        <v>756</v>
      </c>
      <c r="Q31" s="397"/>
      <c r="R31" s="396">
        <v>0</v>
      </c>
      <c r="S31" s="395">
        <v>0</v>
      </c>
      <c r="T31" s="395">
        <v>25000</v>
      </c>
      <c r="U31" s="395">
        <v>0</v>
      </c>
      <c r="V31" s="395">
        <v>0</v>
      </c>
      <c r="W31" s="395">
        <v>50000</v>
      </c>
      <c r="X31" s="395">
        <v>0</v>
      </c>
      <c r="Y31" s="395">
        <v>0</v>
      </c>
      <c r="Z31" s="395">
        <v>50000</v>
      </c>
      <c r="AA31" s="395">
        <v>0</v>
      </c>
      <c r="AB31" s="395">
        <v>0</v>
      </c>
      <c r="AC31" s="394">
        <v>28000</v>
      </c>
      <c r="AD31" s="367"/>
      <c r="AE31" s="393">
        <f t="shared" si="2"/>
        <v>153000</v>
      </c>
      <c r="AG31" s="390"/>
      <c r="AH31" s="392"/>
      <c r="AI31" s="391" t="s">
        <v>1332</v>
      </c>
      <c r="AJ31" s="390"/>
      <c r="AK31" s="389"/>
      <c r="AL31" s="391" t="s">
        <v>1087</v>
      </c>
      <c r="AM31" s="390" t="s">
        <v>1087</v>
      </c>
      <c r="AN31" s="389" t="s">
        <v>1336</v>
      </c>
      <c r="AO31" s="388"/>
      <c r="AP31" s="387" t="s">
        <v>319</v>
      </c>
      <c r="AQ31" s="386"/>
      <c r="AR31" s="385"/>
      <c r="AS31" s="384" t="str">
        <f t="shared" si="3"/>
        <v/>
      </c>
      <c r="AT31" s="384" t="str">
        <f>IFERROR(VLOOKUP($AS31,[26]TruckCenterReference!$C$23:$I53,3,FALSE), "")</f>
        <v/>
      </c>
      <c r="AU31" s="379" t="str">
        <f t="shared" si="4"/>
        <v/>
      </c>
      <c r="AV31" s="382"/>
      <c r="AW31" s="381" t="str">
        <f>IFERROR(VLOOKUP($AS31,[26]TruckCenterReference!$C$23:$I53,4,FALSE), "")</f>
        <v/>
      </c>
      <c r="AX31" s="379" t="str">
        <f t="shared" si="5"/>
        <v/>
      </c>
      <c r="AZ31" s="384" t="str">
        <f t="shared" si="6"/>
        <v/>
      </c>
      <c r="BA31" s="383" t="str">
        <f>IFERROR(VLOOKUP($AS31,[26]TruckCenterReference!$C$23:$I53,6,FALSE), "")</f>
        <v/>
      </c>
      <c r="BB31" s="379" t="str">
        <f t="shared" si="7"/>
        <v/>
      </c>
      <c r="BC31" s="382"/>
      <c r="BD31" s="381">
        <f>IFERROR(VLOOKUP($AS31,[26]TruckCenterReference!$C$23:$I53,7,FALSE), 0)</f>
        <v>0</v>
      </c>
      <c r="BE31" s="381">
        <f>IFERROR(VLOOKUP($AS31,[26]TruckCenterReference!$C$23:$K53,9,FALSE), 0)</f>
        <v>0</v>
      </c>
      <c r="BF31" s="381">
        <f>IFERROR(VLOOKUP($AS31,[26]TruckCenterReference!$C$23:$K53,8,FALSE), 0)</f>
        <v>0</v>
      </c>
      <c r="BG31" s="380" t="str">
        <f t="shared" si="8"/>
        <v/>
      </c>
      <c r="BH31" s="379" t="str">
        <f t="shared" si="9"/>
        <v/>
      </c>
    </row>
    <row r="32" spans="1:60" ht="63.75" x14ac:dyDescent="0.25">
      <c r="A32" s="364" t="b">
        <f t="shared" si="0"/>
        <v>0</v>
      </c>
      <c r="B32" s="364" t="str">
        <f t="shared" si="1"/>
        <v>0003-1</v>
      </c>
      <c r="C32" s="405" t="s">
        <v>1331</v>
      </c>
      <c r="D32" s="404">
        <v>1</v>
      </c>
      <c r="E32" s="403"/>
      <c r="F32" s="402">
        <v>3</v>
      </c>
      <c r="G32" s="389">
        <v>1</v>
      </c>
      <c r="H32" s="401" t="s">
        <v>1330</v>
      </c>
      <c r="I32" s="401" t="s">
        <v>1330</v>
      </c>
      <c r="J32" s="401" t="s">
        <v>1329</v>
      </c>
      <c r="K32" s="400"/>
      <c r="L32" s="399" t="s">
        <v>1318</v>
      </c>
      <c r="M32" s="399" t="s">
        <v>1328</v>
      </c>
      <c r="N32" s="390">
        <v>10</v>
      </c>
      <c r="O32" s="398" t="s">
        <v>703</v>
      </c>
      <c r="P32" s="398" t="s">
        <v>756</v>
      </c>
      <c r="Q32" s="397">
        <v>17108</v>
      </c>
      <c r="R32" s="396">
        <v>0</v>
      </c>
      <c r="S32" s="395">
        <v>300882</v>
      </c>
      <c r="T32" s="395">
        <v>0</v>
      </c>
      <c r="U32" s="395">
        <v>0</v>
      </c>
      <c r="V32" s="395">
        <v>0</v>
      </c>
      <c r="W32" s="395">
        <v>0</v>
      </c>
      <c r="X32" s="395">
        <v>0</v>
      </c>
      <c r="Y32" s="395">
        <v>0</v>
      </c>
      <c r="Z32" s="395">
        <v>0</v>
      </c>
      <c r="AA32" s="395">
        <v>0</v>
      </c>
      <c r="AB32" s="395">
        <v>0</v>
      </c>
      <c r="AC32" s="394">
        <v>0</v>
      </c>
      <c r="AD32" s="367"/>
      <c r="AE32" s="393">
        <f t="shared" si="2"/>
        <v>300882</v>
      </c>
      <c r="AG32" s="390"/>
      <c r="AH32" s="392"/>
      <c r="AI32" s="391" t="s">
        <v>1327</v>
      </c>
      <c r="AJ32" s="390"/>
      <c r="AK32" s="389"/>
      <c r="AL32" s="391" t="s">
        <v>1534</v>
      </c>
      <c r="AM32" s="390" t="s">
        <v>1535</v>
      </c>
      <c r="AN32" s="389" t="s">
        <v>1547</v>
      </c>
      <c r="AO32" s="388"/>
      <c r="AP32" s="387" t="s">
        <v>319</v>
      </c>
      <c r="AQ32" s="386"/>
      <c r="AR32" s="385"/>
      <c r="AS32" s="384">
        <f t="shared" si="3"/>
        <v>17108</v>
      </c>
      <c r="AT32" s="384" t="str">
        <f>IFERROR(VLOOKUP($AS32,[26]TruckCenterReference!$C$23:$I54,3,FALSE), "")</f>
        <v>New Peterbilt/Labrie Retriever (11yd)</v>
      </c>
      <c r="AU32" s="379" t="str">
        <f t="shared" si="4"/>
        <v>Review</v>
      </c>
      <c r="AV32" s="382"/>
      <c r="AW32" s="381" t="str">
        <f>IFERROR(VLOOKUP($AS32,[26]TruckCenterReference!$C$23:$I54,4,FALSE), "")</f>
        <v>N</v>
      </c>
      <c r="AX32" s="379" t="str">
        <f t="shared" si="5"/>
        <v>ok</v>
      </c>
      <c r="AZ32" s="384" t="str">
        <f t="shared" si="6"/>
        <v>Retriever</v>
      </c>
      <c r="BA32" s="383" t="str">
        <f>IFERROR(VLOOKUP($AS32,[26]TruckCenterReference!$C$23:$I54,6,FALSE), "")</f>
        <v>Retriever</v>
      </c>
      <c r="BB32" s="379" t="str">
        <f t="shared" si="7"/>
        <v>ok</v>
      </c>
      <c r="BC32" s="382"/>
      <c r="BD32" s="381">
        <f>IFERROR(VLOOKUP($AS32,[26]TruckCenterReference!$C$23:$I54,7,FALSE), 0)</f>
        <v>300882</v>
      </c>
      <c r="BE32" s="381">
        <f>IFERROR(VLOOKUP($AS32,[26]TruckCenterReference!$C$23:$K54,9,FALSE), 0)</f>
        <v>0</v>
      </c>
      <c r="BF32" s="381">
        <f>IFERROR(VLOOKUP($AS32,[26]TruckCenterReference!$C$23:$K54,8,FALSE), 0)</f>
        <v>0</v>
      </c>
      <c r="BG32" s="380">
        <f t="shared" si="8"/>
        <v>0</v>
      </c>
      <c r="BH32" s="379" t="str">
        <f t="shared" si="9"/>
        <v>ok</v>
      </c>
    </row>
    <row r="33" spans="1:60" ht="38.25" x14ac:dyDescent="0.25">
      <c r="A33" s="364" t="b">
        <f t="shared" si="0"/>
        <v>0</v>
      </c>
      <c r="B33" s="364" t="str">
        <f t="shared" si="1"/>
        <v>0004-1</v>
      </c>
      <c r="C33" s="405" t="s">
        <v>1326</v>
      </c>
      <c r="D33" s="404">
        <v>1</v>
      </c>
      <c r="E33" s="403"/>
      <c r="F33" s="402">
        <v>4</v>
      </c>
      <c r="G33" s="389">
        <v>1</v>
      </c>
      <c r="H33" s="401" t="s">
        <v>1325</v>
      </c>
      <c r="I33" s="401" t="s">
        <v>1325</v>
      </c>
      <c r="J33" s="401" t="s">
        <v>1324</v>
      </c>
      <c r="K33" s="400"/>
      <c r="L33" s="399" t="s">
        <v>295</v>
      </c>
      <c r="M33" s="399" t="s">
        <v>1323</v>
      </c>
      <c r="N33" s="390">
        <v>7</v>
      </c>
      <c r="O33" s="398" t="s">
        <v>1322</v>
      </c>
      <c r="P33" s="398" t="s">
        <v>756</v>
      </c>
      <c r="Q33" s="397"/>
      <c r="R33" s="396">
        <v>45354</v>
      </c>
      <c r="S33" s="395">
        <v>48268</v>
      </c>
      <c r="T33" s="395">
        <v>139433</v>
      </c>
      <c r="U33" s="395">
        <v>100924</v>
      </c>
      <c r="V33" s="395">
        <v>121107</v>
      </c>
      <c r="W33" s="395">
        <v>56670</v>
      </c>
      <c r="X33" s="395">
        <v>30373</v>
      </c>
      <c r="Y33" s="395">
        <v>139433</v>
      </c>
      <c r="Z33" s="395">
        <v>38850</v>
      </c>
      <c r="AA33" s="395">
        <v>55485</v>
      </c>
      <c r="AB33" s="395">
        <v>66548</v>
      </c>
      <c r="AC33" s="394">
        <v>61233</v>
      </c>
      <c r="AD33" s="367"/>
      <c r="AE33" s="393">
        <f t="shared" si="2"/>
        <v>903678</v>
      </c>
      <c r="AG33" s="390"/>
      <c r="AH33" s="392"/>
      <c r="AI33" s="391" t="s">
        <v>1321</v>
      </c>
      <c r="AJ33" s="390"/>
      <c r="AK33" s="389"/>
      <c r="AL33" s="391" t="s">
        <v>1303</v>
      </c>
      <c r="AM33" s="390" t="s">
        <v>1536</v>
      </c>
      <c r="AN33" s="389" t="s">
        <v>295</v>
      </c>
      <c r="AO33" s="388"/>
      <c r="AP33" s="387" t="s">
        <v>319</v>
      </c>
      <c r="AQ33" s="386"/>
      <c r="AR33" s="385"/>
      <c r="AS33" s="384" t="str">
        <f t="shared" si="3"/>
        <v/>
      </c>
      <c r="AT33" s="384" t="str">
        <f>IFERROR(VLOOKUP($AS33,[26]TruckCenterReference!$C$23:$I55,3,FALSE), "")</f>
        <v/>
      </c>
      <c r="AU33" s="379" t="str">
        <f t="shared" si="4"/>
        <v/>
      </c>
      <c r="AV33" s="382"/>
      <c r="AW33" s="381" t="str">
        <f>IFERROR(VLOOKUP($AS33,[26]TruckCenterReference!$C$23:$I55,4,FALSE), "")</f>
        <v/>
      </c>
      <c r="AX33" s="379" t="str">
        <f t="shared" si="5"/>
        <v/>
      </c>
      <c r="AZ33" s="384" t="str">
        <f t="shared" si="6"/>
        <v/>
      </c>
      <c r="BA33" s="383" t="str">
        <f>IFERROR(VLOOKUP($AS33,[26]TruckCenterReference!$C$23:$I55,6,FALSE), "")</f>
        <v/>
      </c>
      <c r="BB33" s="379" t="str">
        <f t="shared" si="7"/>
        <v/>
      </c>
      <c r="BC33" s="382"/>
      <c r="BD33" s="381">
        <f>IFERROR(VLOOKUP($AS33,[26]TruckCenterReference!$C$23:$I55,7,FALSE), 0)</f>
        <v>0</v>
      </c>
      <c r="BE33" s="381">
        <f>IFERROR(VLOOKUP($AS33,[26]TruckCenterReference!$C$23:$K55,9,FALSE), 0)</f>
        <v>0</v>
      </c>
      <c r="BF33" s="381">
        <f>IFERROR(VLOOKUP($AS33,[26]TruckCenterReference!$C$23:$K55,8,FALSE), 0)</f>
        <v>0</v>
      </c>
      <c r="BG33" s="380" t="str">
        <f t="shared" si="8"/>
        <v/>
      </c>
      <c r="BH33" s="379" t="str">
        <f t="shared" si="9"/>
        <v/>
      </c>
    </row>
    <row r="34" spans="1:60" ht="51" x14ac:dyDescent="0.25">
      <c r="A34" s="364" t="b">
        <f t="shared" si="0"/>
        <v>0</v>
      </c>
      <c r="B34" s="364" t="str">
        <f t="shared" si="1"/>
        <v>0005-1</v>
      </c>
      <c r="C34" s="405" t="s">
        <v>1320</v>
      </c>
      <c r="D34" s="404">
        <v>1</v>
      </c>
      <c r="E34" s="403"/>
      <c r="F34" s="402">
        <v>5</v>
      </c>
      <c r="G34" s="389">
        <v>1</v>
      </c>
      <c r="H34" s="401" t="s">
        <v>1319</v>
      </c>
      <c r="I34" s="401" t="s">
        <v>1319</v>
      </c>
      <c r="J34" s="401" t="s">
        <v>1316</v>
      </c>
      <c r="K34" s="400"/>
      <c r="L34" s="399" t="s">
        <v>1318</v>
      </c>
      <c r="M34" s="399" t="s">
        <v>1317</v>
      </c>
      <c r="N34" s="390">
        <v>10</v>
      </c>
      <c r="O34" s="398" t="s">
        <v>703</v>
      </c>
      <c r="P34" s="398" t="s">
        <v>756</v>
      </c>
      <c r="Q34" s="397">
        <v>16656</v>
      </c>
      <c r="R34" s="396">
        <v>0</v>
      </c>
      <c r="S34" s="395">
        <v>0</v>
      </c>
      <c r="T34" s="395">
        <v>0</v>
      </c>
      <c r="U34" s="395">
        <v>0</v>
      </c>
      <c r="V34" s="395">
        <v>356287</v>
      </c>
      <c r="W34" s="395">
        <v>0</v>
      </c>
      <c r="X34" s="395">
        <v>0</v>
      </c>
      <c r="Y34" s="395">
        <v>0</v>
      </c>
      <c r="Z34" s="395">
        <v>0</v>
      </c>
      <c r="AA34" s="395">
        <v>0</v>
      </c>
      <c r="AB34" s="395">
        <v>0</v>
      </c>
      <c r="AC34" s="394">
        <v>0</v>
      </c>
      <c r="AD34" s="367"/>
      <c r="AE34" s="393">
        <f t="shared" si="2"/>
        <v>356287</v>
      </c>
      <c r="AG34" s="390"/>
      <c r="AH34" s="392"/>
      <c r="AI34" s="391" t="s">
        <v>1316</v>
      </c>
      <c r="AJ34" s="390"/>
      <c r="AK34" s="389"/>
      <c r="AL34" s="391" t="s">
        <v>350</v>
      </c>
      <c r="AM34" s="390" t="s">
        <v>1535</v>
      </c>
      <c r="AN34" s="389" t="s">
        <v>741</v>
      </c>
      <c r="AO34" s="388"/>
      <c r="AP34" s="387" t="s">
        <v>319</v>
      </c>
      <c r="AQ34" s="386"/>
      <c r="AR34" s="385"/>
      <c r="AS34" s="384">
        <f t="shared" si="3"/>
        <v>16656</v>
      </c>
      <c r="AT34" s="384" t="str">
        <f>IFERROR(VLOOKUP($AS34,[26]TruckCenterReference!$C$23:$I56,3,FALSE), "")</f>
        <v>New Other/Other Roll Off  (Chain System)</v>
      </c>
      <c r="AU34" s="379" t="str">
        <f t="shared" si="4"/>
        <v>Review</v>
      </c>
      <c r="AV34" s="382"/>
      <c r="AW34" s="381" t="str">
        <f>IFERROR(VLOOKUP($AS34,[26]TruckCenterReference!$C$23:$I56,4,FALSE), "")</f>
        <v>N</v>
      </c>
      <c r="AX34" s="379" t="str">
        <f t="shared" si="5"/>
        <v>ok</v>
      </c>
      <c r="AZ34" s="384" t="str">
        <f t="shared" si="6"/>
        <v>Roll Off</v>
      </c>
      <c r="BA34" s="383" t="str">
        <f>IFERROR(VLOOKUP($AS34,[26]TruckCenterReference!$C$23:$I56,6,FALSE), "")</f>
        <v>Roll Off</v>
      </c>
      <c r="BB34" s="379" t="str">
        <f t="shared" si="7"/>
        <v>ok</v>
      </c>
      <c r="BC34" s="382"/>
      <c r="BD34" s="381">
        <f>IFERROR(VLOOKUP($AS34,[26]TruckCenterReference!$C$23:$I56,7,FALSE), 0)</f>
        <v>356287</v>
      </c>
      <c r="BE34" s="381">
        <f>IFERROR(VLOOKUP($AS34,[26]TruckCenterReference!$C$23:$K56,9,FALSE), 0)</f>
        <v>0</v>
      </c>
      <c r="BF34" s="381">
        <f>IFERROR(VLOOKUP($AS34,[26]TruckCenterReference!$C$23:$K56,8,FALSE), 0)</f>
        <v>0</v>
      </c>
      <c r="BG34" s="380">
        <f t="shared" si="8"/>
        <v>0</v>
      </c>
      <c r="BH34" s="379" t="str">
        <f t="shared" si="9"/>
        <v>ok</v>
      </c>
    </row>
    <row r="35" spans="1:60" x14ac:dyDescent="0.25">
      <c r="A35" s="364" t="b">
        <f t="shared" si="0"/>
        <v>0</v>
      </c>
      <c r="B35" s="364" t="str">
        <f t="shared" si="1"/>
        <v/>
      </c>
      <c r="C35" s="405" t="s">
        <v>733</v>
      </c>
      <c r="D35" s="404">
        <v>1</v>
      </c>
      <c r="E35" s="403"/>
      <c r="F35" s="402"/>
      <c r="G35" s="389"/>
      <c r="H35" s="401" t="s">
        <v>733</v>
      </c>
      <c r="I35" s="401" t="s">
        <v>733</v>
      </c>
      <c r="J35" s="401" t="s">
        <v>733</v>
      </c>
      <c r="K35" s="400"/>
      <c r="L35" s="399" t="s">
        <v>733</v>
      </c>
      <c r="M35" s="399" t="s">
        <v>733</v>
      </c>
      <c r="N35" s="390"/>
      <c r="O35" s="398" t="s">
        <v>733</v>
      </c>
      <c r="P35" s="398" t="s">
        <v>733</v>
      </c>
      <c r="Q35" s="397"/>
      <c r="R35" s="396">
        <v>0</v>
      </c>
      <c r="S35" s="395">
        <v>0</v>
      </c>
      <c r="T35" s="395">
        <v>0</v>
      </c>
      <c r="U35" s="395">
        <v>0</v>
      </c>
      <c r="V35" s="395">
        <v>0</v>
      </c>
      <c r="W35" s="395">
        <v>0</v>
      </c>
      <c r="X35" s="395">
        <v>0</v>
      </c>
      <c r="Y35" s="395">
        <v>0</v>
      </c>
      <c r="Z35" s="395">
        <v>0</v>
      </c>
      <c r="AA35" s="395">
        <v>0</v>
      </c>
      <c r="AB35" s="395">
        <v>0</v>
      </c>
      <c r="AC35" s="394">
        <v>0</v>
      </c>
      <c r="AD35" s="367"/>
      <c r="AE35" s="393">
        <f t="shared" si="2"/>
        <v>0</v>
      </c>
      <c r="AG35" s="390"/>
      <c r="AH35" s="392"/>
      <c r="AI35" s="391" t="s">
        <v>733</v>
      </c>
      <c r="AJ35" s="390"/>
      <c r="AK35" s="389"/>
      <c r="AL35" s="391"/>
      <c r="AM35" s="390"/>
      <c r="AN35" s="389"/>
      <c r="AO35" s="388"/>
      <c r="AP35" s="387" t="s">
        <v>319</v>
      </c>
      <c r="AQ35" s="386"/>
      <c r="AR35" s="385"/>
      <c r="AS35" s="384" t="str">
        <f t="shared" si="3"/>
        <v/>
      </c>
      <c r="AT35" s="384" t="str">
        <f>IFERROR(VLOOKUP($AS35,[26]TruckCenterReference!$C$23:$I57,3,FALSE), "")</f>
        <v/>
      </c>
      <c r="AU35" s="379" t="str">
        <f t="shared" si="4"/>
        <v/>
      </c>
      <c r="AV35" s="382"/>
      <c r="AW35" s="381" t="str">
        <f>IFERROR(VLOOKUP($AS35,[26]TruckCenterReference!$C$23:$I57,4,FALSE), "")</f>
        <v/>
      </c>
      <c r="AX35" s="379" t="str">
        <f t="shared" si="5"/>
        <v/>
      </c>
      <c r="AZ35" s="384" t="str">
        <f t="shared" si="6"/>
        <v/>
      </c>
      <c r="BA35" s="383" t="str">
        <f>IFERROR(VLOOKUP($AS35,[26]TruckCenterReference!$C$23:$I57,6,FALSE), "")</f>
        <v/>
      </c>
      <c r="BB35" s="379" t="str">
        <f t="shared" si="7"/>
        <v/>
      </c>
      <c r="BC35" s="382"/>
      <c r="BD35" s="381">
        <f>IFERROR(VLOOKUP($AS35,[26]TruckCenterReference!$C$23:$I57,7,FALSE), 0)</f>
        <v>0</v>
      </c>
      <c r="BE35" s="381">
        <f>IFERROR(VLOOKUP($AS35,[26]TruckCenterReference!$C$23:$K57,9,FALSE), 0)</f>
        <v>0</v>
      </c>
      <c r="BF35" s="381">
        <f>IFERROR(VLOOKUP($AS35,[26]TruckCenterReference!$C$23:$K57,8,FALSE), 0)</f>
        <v>0</v>
      </c>
      <c r="BG35" s="380" t="str">
        <f t="shared" si="8"/>
        <v/>
      </c>
      <c r="BH35" s="379" t="str">
        <f t="shared" si="9"/>
        <v/>
      </c>
    </row>
    <row r="36" spans="1:60" x14ac:dyDescent="0.25">
      <c r="A36" s="364" t="b">
        <f t="shared" si="0"/>
        <v>0</v>
      </c>
      <c r="B36" s="364" t="str">
        <f t="shared" si="1"/>
        <v/>
      </c>
      <c r="C36" s="405" t="s">
        <v>733</v>
      </c>
      <c r="D36" s="404">
        <v>1</v>
      </c>
      <c r="E36" s="403"/>
      <c r="F36" s="402"/>
      <c r="G36" s="389"/>
      <c r="H36" s="401" t="s">
        <v>733</v>
      </c>
      <c r="I36" s="401" t="s">
        <v>733</v>
      </c>
      <c r="J36" s="401" t="s">
        <v>733</v>
      </c>
      <c r="K36" s="400"/>
      <c r="L36" s="399" t="s">
        <v>733</v>
      </c>
      <c r="M36" s="399" t="s">
        <v>733</v>
      </c>
      <c r="N36" s="390"/>
      <c r="O36" s="398" t="s">
        <v>733</v>
      </c>
      <c r="P36" s="398" t="s">
        <v>733</v>
      </c>
      <c r="Q36" s="397"/>
      <c r="R36" s="396">
        <v>0</v>
      </c>
      <c r="S36" s="395">
        <v>0</v>
      </c>
      <c r="T36" s="395">
        <v>0</v>
      </c>
      <c r="U36" s="395">
        <v>0</v>
      </c>
      <c r="V36" s="395">
        <v>0</v>
      </c>
      <c r="W36" s="395">
        <v>0</v>
      </c>
      <c r="X36" s="395">
        <v>0</v>
      </c>
      <c r="Y36" s="395">
        <v>0</v>
      </c>
      <c r="Z36" s="395">
        <v>0</v>
      </c>
      <c r="AA36" s="395">
        <v>0</v>
      </c>
      <c r="AB36" s="395">
        <v>0</v>
      </c>
      <c r="AC36" s="394">
        <v>0</v>
      </c>
      <c r="AD36" s="367"/>
      <c r="AE36" s="393">
        <f t="shared" si="2"/>
        <v>0</v>
      </c>
      <c r="AG36" s="390"/>
      <c r="AH36" s="392"/>
      <c r="AI36" s="391" t="s">
        <v>733</v>
      </c>
      <c r="AJ36" s="390"/>
      <c r="AK36" s="389"/>
      <c r="AL36" s="391"/>
      <c r="AM36" s="390"/>
      <c r="AN36" s="389"/>
      <c r="AO36" s="388"/>
      <c r="AP36" s="387" t="s">
        <v>319</v>
      </c>
      <c r="AQ36" s="386"/>
      <c r="AR36" s="385"/>
      <c r="AS36" s="384" t="str">
        <f t="shared" si="3"/>
        <v/>
      </c>
      <c r="AT36" s="384" t="str">
        <f>IFERROR(VLOOKUP($AS36,[26]TruckCenterReference!$C$23:$I58,3,FALSE), "")</f>
        <v/>
      </c>
      <c r="AU36" s="379" t="str">
        <f t="shared" si="4"/>
        <v/>
      </c>
      <c r="AV36" s="382"/>
      <c r="AW36" s="381" t="str">
        <f>IFERROR(VLOOKUP($AS36,[26]TruckCenterReference!$C$23:$I58,4,FALSE), "")</f>
        <v/>
      </c>
      <c r="AX36" s="379" t="str">
        <f t="shared" si="5"/>
        <v/>
      </c>
      <c r="AZ36" s="384" t="str">
        <f t="shared" si="6"/>
        <v/>
      </c>
      <c r="BA36" s="383" t="str">
        <f>IFERROR(VLOOKUP($AS36,[26]TruckCenterReference!$C$23:$I58,6,FALSE), "")</f>
        <v/>
      </c>
      <c r="BB36" s="379" t="str">
        <f t="shared" si="7"/>
        <v/>
      </c>
      <c r="BC36" s="382"/>
      <c r="BD36" s="381">
        <f>IFERROR(VLOOKUP($AS36,[26]TruckCenterReference!$C$23:$I58,7,FALSE), 0)</f>
        <v>0</v>
      </c>
      <c r="BE36" s="381">
        <f>IFERROR(VLOOKUP($AS36,[26]TruckCenterReference!$C$23:$K58,9,FALSE), 0)</f>
        <v>0</v>
      </c>
      <c r="BF36" s="381">
        <f>IFERROR(VLOOKUP($AS36,[26]TruckCenterReference!$C$23:$K58,8,FALSE), 0)</f>
        <v>0</v>
      </c>
      <c r="BG36" s="380" t="str">
        <f t="shared" si="8"/>
        <v/>
      </c>
      <c r="BH36" s="379" t="str">
        <f t="shared" si="9"/>
        <v/>
      </c>
    </row>
    <row r="37" spans="1:60" x14ac:dyDescent="0.25">
      <c r="A37" s="364" t="b">
        <f t="shared" si="0"/>
        <v>0</v>
      </c>
      <c r="B37" s="364" t="str">
        <f t="shared" si="1"/>
        <v/>
      </c>
      <c r="C37" s="405" t="s">
        <v>733</v>
      </c>
      <c r="D37" s="404">
        <v>1</v>
      </c>
      <c r="E37" s="403"/>
      <c r="F37" s="402"/>
      <c r="G37" s="389"/>
      <c r="H37" s="401" t="s">
        <v>733</v>
      </c>
      <c r="I37" s="401" t="s">
        <v>733</v>
      </c>
      <c r="J37" s="401" t="s">
        <v>733</v>
      </c>
      <c r="K37" s="400"/>
      <c r="L37" s="399" t="s">
        <v>733</v>
      </c>
      <c r="M37" s="399" t="s">
        <v>733</v>
      </c>
      <c r="N37" s="390"/>
      <c r="O37" s="398" t="s">
        <v>733</v>
      </c>
      <c r="P37" s="398" t="s">
        <v>733</v>
      </c>
      <c r="Q37" s="397"/>
      <c r="R37" s="396">
        <v>0</v>
      </c>
      <c r="S37" s="395">
        <v>0</v>
      </c>
      <c r="T37" s="395">
        <v>0</v>
      </c>
      <c r="U37" s="395">
        <v>0</v>
      </c>
      <c r="V37" s="395">
        <v>0</v>
      </c>
      <c r="W37" s="395">
        <v>0</v>
      </c>
      <c r="X37" s="395">
        <v>0</v>
      </c>
      <c r="Y37" s="395">
        <v>0</v>
      </c>
      <c r="Z37" s="395">
        <v>0</v>
      </c>
      <c r="AA37" s="395">
        <v>0</v>
      </c>
      <c r="AB37" s="395">
        <v>0</v>
      </c>
      <c r="AC37" s="394">
        <v>0</v>
      </c>
      <c r="AD37" s="367"/>
      <c r="AE37" s="393">
        <f t="shared" si="2"/>
        <v>0</v>
      </c>
      <c r="AG37" s="390"/>
      <c r="AH37" s="392"/>
      <c r="AI37" s="391" t="s">
        <v>733</v>
      </c>
      <c r="AJ37" s="390"/>
      <c r="AK37" s="389"/>
      <c r="AL37" s="391"/>
      <c r="AM37" s="390"/>
      <c r="AN37" s="389"/>
      <c r="AO37" s="388"/>
      <c r="AP37" s="387" t="s">
        <v>319</v>
      </c>
      <c r="AQ37" s="386"/>
      <c r="AR37" s="385"/>
      <c r="AS37" s="384" t="str">
        <f t="shared" si="3"/>
        <v/>
      </c>
      <c r="AT37" s="384" t="str">
        <f>IFERROR(VLOOKUP($AS37,[26]TruckCenterReference!$C$23:$I59,3,FALSE), "")</f>
        <v/>
      </c>
      <c r="AU37" s="379" t="str">
        <f t="shared" si="4"/>
        <v/>
      </c>
      <c r="AV37" s="382"/>
      <c r="AW37" s="381" t="str">
        <f>IFERROR(VLOOKUP($AS37,[26]TruckCenterReference!$C$23:$I59,4,FALSE), "")</f>
        <v/>
      </c>
      <c r="AX37" s="379" t="str">
        <f t="shared" si="5"/>
        <v/>
      </c>
      <c r="AZ37" s="384" t="str">
        <f t="shared" si="6"/>
        <v/>
      </c>
      <c r="BA37" s="383" t="str">
        <f>IFERROR(VLOOKUP($AS37,[26]TruckCenterReference!$C$23:$I59,6,FALSE), "")</f>
        <v/>
      </c>
      <c r="BB37" s="379" t="str">
        <f t="shared" si="7"/>
        <v/>
      </c>
      <c r="BC37" s="382"/>
      <c r="BD37" s="381">
        <f>IFERROR(VLOOKUP($AS37,[26]TruckCenterReference!$C$23:$I59,7,FALSE), 0)</f>
        <v>0</v>
      </c>
      <c r="BE37" s="381">
        <f>IFERROR(VLOOKUP($AS37,[26]TruckCenterReference!$C$23:$K59,9,FALSE), 0)</f>
        <v>0</v>
      </c>
      <c r="BF37" s="381">
        <f>IFERROR(VLOOKUP($AS37,[26]TruckCenterReference!$C$23:$K59,8,FALSE), 0)</f>
        <v>0</v>
      </c>
      <c r="BG37" s="380" t="str">
        <f t="shared" si="8"/>
        <v/>
      </c>
      <c r="BH37" s="379" t="str">
        <f t="shared" si="9"/>
        <v/>
      </c>
    </row>
    <row r="38" spans="1:60" x14ac:dyDescent="0.25">
      <c r="A38" s="364" t="b">
        <f t="shared" si="0"/>
        <v>0</v>
      </c>
      <c r="B38" s="364" t="str">
        <f t="shared" si="1"/>
        <v/>
      </c>
      <c r="C38" s="405" t="s">
        <v>733</v>
      </c>
      <c r="D38" s="404">
        <v>1</v>
      </c>
      <c r="E38" s="403"/>
      <c r="F38" s="402"/>
      <c r="G38" s="389"/>
      <c r="H38" s="401" t="s">
        <v>733</v>
      </c>
      <c r="I38" s="401" t="s">
        <v>733</v>
      </c>
      <c r="J38" s="401" t="s">
        <v>733</v>
      </c>
      <c r="K38" s="400"/>
      <c r="L38" s="399" t="s">
        <v>733</v>
      </c>
      <c r="M38" s="399" t="s">
        <v>733</v>
      </c>
      <c r="N38" s="390"/>
      <c r="O38" s="398" t="s">
        <v>733</v>
      </c>
      <c r="P38" s="398" t="s">
        <v>733</v>
      </c>
      <c r="Q38" s="397"/>
      <c r="R38" s="396">
        <v>0</v>
      </c>
      <c r="S38" s="395">
        <v>0</v>
      </c>
      <c r="T38" s="395">
        <v>0</v>
      </c>
      <c r="U38" s="395">
        <v>0</v>
      </c>
      <c r="V38" s="395">
        <v>0</v>
      </c>
      <c r="W38" s="395">
        <v>0</v>
      </c>
      <c r="X38" s="395">
        <v>0</v>
      </c>
      <c r="Y38" s="395">
        <v>0</v>
      </c>
      <c r="Z38" s="395">
        <v>0</v>
      </c>
      <c r="AA38" s="395">
        <v>0</v>
      </c>
      <c r="AB38" s="395">
        <v>0</v>
      </c>
      <c r="AC38" s="394">
        <v>0</v>
      </c>
      <c r="AD38" s="367"/>
      <c r="AE38" s="393">
        <f t="shared" si="2"/>
        <v>0</v>
      </c>
      <c r="AG38" s="390"/>
      <c r="AH38" s="392"/>
      <c r="AI38" s="391" t="s">
        <v>733</v>
      </c>
      <c r="AJ38" s="390"/>
      <c r="AK38" s="389"/>
      <c r="AL38" s="391"/>
      <c r="AM38" s="390"/>
      <c r="AN38" s="389"/>
      <c r="AO38" s="388"/>
      <c r="AP38" s="387" t="s">
        <v>319</v>
      </c>
      <c r="AQ38" s="386"/>
      <c r="AR38" s="385"/>
      <c r="AS38" s="384" t="str">
        <f t="shared" si="3"/>
        <v/>
      </c>
      <c r="AT38" s="384" t="str">
        <f>IFERROR(VLOOKUP($AS38,[26]TruckCenterReference!$C$23:$I60,3,FALSE), "")</f>
        <v/>
      </c>
      <c r="AU38" s="379" t="str">
        <f t="shared" si="4"/>
        <v/>
      </c>
      <c r="AV38" s="382"/>
      <c r="AW38" s="381" t="str">
        <f>IFERROR(VLOOKUP($AS38,[26]TruckCenterReference!$C$23:$I60,4,FALSE), "")</f>
        <v/>
      </c>
      <c r="AX38" s="379" t="str">
        <f t="shared" si="5"/>
        <v/>
      </c>
      <c r="AZ38" s="384" t="str">
        <f t="shared" si="6"/>
        <v/>
      </c>
      <c r="BA38" s="383" t="str">
        <f>IFERROR(VLOOKUP($AS38,[26]TruckCenterReference!$C$23:$I60,6,FALSE), "")</f>
        <v/>
      </c>
      <c r="BB38" s="379" t="str">
        <f t="shared" si="7"/>
        <v/>
      </c>
      <c r="BC38" s="382"/>
      <c r="BD38" s="381">
        <f>IFERROR(VLOOKUP($AS38,[26]TruckCenterReference!$C$23:$I60,7,FALSE), 0)</f>
        <v>0</v>
      </c>
      <c r="BE38" s="381">
        <f>IFERROR(VLOOKUP($AS38,[26]TruckCenterReference!$C$23:$K60,9,FALSE), 0)</f>
        <v>0</v>
      </c>
      <c r="BF38" s="381">
        <f>IFERROR(VLOOKUP($AS38,[26]TruckCenterReference!$C$23:$K60,8,FALSE), 0)</f>
        <v>0</v>
      </c>
      <c r="BG38" s="380" t="str">
        <f t="shared" si="8"/>
        <v/>
      </c>
      <c r="BH38" s="379" t="str">
        <f t="shared" si="9"/>
        <v/>
      </c>
    </row>
    <row r="39" spans="1:60" x14ac:dyDescent="0.25">
      <c r="A39" s="364" t="b">
        <f t="shared" si="0"/>
        <v>0</v>
      </c>
      <c r="B39" s="364" t="str">
        <f t="shared" si="1"/>
        <v/>
      </c>
      <c r="C39" s="405" t="s">
        <v>733</v>
      </c>
      <c r="D39" s="404">
        <v>1</v>
      </c>
      <c r="E39" s="403"/>
      <c r="F39" s="402"/>
      <c r="G39" s="389"/>
      <c r="H39" s="401" t="s">
        <v>733</v>
      </c>
      <c r="I39" s="401" t="s">
        <v>733</v>
      </c>
      <c r="J39" s="401" t="s">
        <v>733</v>
      </c>
      <c r="K39" s="400"/>
      <c r="L39" s="399" t="s">
        <v>733</v>
      </c>
      <c r="M39" s="399" t="s">
        <v>733</v>
      </c>
      <c r="N39" s="390"/>
      <c r="O39" s="398" t="s">
        <v>733</v>
      </c>
      <c r="P39" s="398" t="s">
        <v>733</v>
      </c>
      <c r="Q39" s="397"/>
      <c r="R39" s="396">
        <v>0</v>
      </c>
      <c r="S39" s="395">
        <v>0</v>
      </c>
      <c r="T39" s="395">
        <v>0</v>
      </c>
      <c r="U39" s="395">
        <v>0</v>
      </c>
      <c r="V39" s="395">
        <v>0</v>
      </c>
      <c r="W39" s="395">
        <v>0</v>
      </c>
      <c r="X39" s="395">
        <v>0</v>
      </c>
      <c r="Y39" s="395">
        <v>0</v>
      </c>
      <c r="Z39" s="395">
        <v>0</v>
      </c>
      <c r="AA39" s="395">
        <v>0</v>
      </c>
      <c r="AB39" s="395">
        <v>0</v>
      </c>
      <c r="AC39" s="394">
        <v>0</v>
      </c>
      <c r="AD39" s="367"/>
      <c r="AE39" s="393">
        <f t="shared" si="2"/>
        <v>0</v>
      </c>
      <c r="AG39" s="390"/>
      <c r="AH39" s="392"/>
      <c r="AI39" s="391" t="s">
        <v>733</v>
      </c>
      <c r="AJ39" s="390"/>
      <c r="AK39" s="389"/>
      <c r="AL39" s="391"/>
      <c r="AM39" s="390"/>
      <c r="AN39" s="389"/>
      <c r="AO39" s="388"/>
      <c r="AP39" s="387" t="s">
        <v>319</v>
      </c>
      <c r="AQ39" s="386"/>
      <c r="AR39" s="385"/>
      <c r="AS39" s="384" t="str">
        <f t="shared" si="3"/>
        <v/>
      </c>
      <c r="AT39" s="384" t="str">
        <f>IFERROR(VLOOKUP($AS39,[26]TruckCenterReference!$C$23:$I61,3,FALSE), "")</f>
        <v/>
      </c>
      <c r="AU39" s="379" t="str">
        <f t="shared" si="4"/>
        <v/>
      </c>
      <c r="AV39" s="382"/>
      <c r="AW39" s="381" t="str">
        <f>IFERROR(VLOOKUP($AS39,[26]TruckCenterReference!$C$23:$I61,4,FALSE), "")</f>
        <v/>
      </c>
      <c r="AX39" s="379" t="str">
        <f t="shared" si="5"/>
        <v/>
      </c>
      <c r="AZ39" s="384" t="str">
        <f t="shared" si="6"/>
        <v/>
      </c>
      <c r="BA39" s="383" t="str">
        <f>IFERROR(VLOOKUP($AS39,[26]TruckCenterReference!$C$23:$I61,6,FALSE), "")</f>
        <v/>
      </c>
      <c r="BB39" s="379" t="str">
        <f t="shared" si="7"/>
        <v/>
      </c>
      <c r="BC39" s="382"/>
      <c r="BD39" s="381">
        <f>IFERROR(VLOOKUP($AS39,[26]TruckCenterReference!$C$23:$I61,7,FALSE), 0)</f>
        <v>0</v>
      </c>
      <c r="BE39" s="381">
        <f>IFERROR(VLOOKUP($AS39,[26]TruckCenterReference!$C$23:$K61,9,FALSE), 0)</f>
        <v>0</v>
      </c>
      <c r="BF39" s="381">
        <f>IFERROR(VLOOKUP($AS39,[26]TruckCenterReference!$C$23:$K61,8,FALSE), 0)</f>
        <v>0</v>
      </c>
      <c r="BG39" s="380" t="str">
        <f t="shared" si="8"/>
        <v/>
      </c>
      <c r="BH39" s="379" t="str">
        <f t="shared" si="9"/>
        <v/>
      </c>
    </row>
    <row r="40" spans="1:60" x14ac:dyDescent="0.25">
      <c r="A40" s="364" t="b">
        <f t="shared" si="0"/>
        <v>0</v>
      </c>
      <c r="B40" s="364" t="str">
        <f t="shared" si="1"/>
        <v/>
      </c>
      <c r="C40" s="405" t="s">
        <v>733</v>
      </c>
      <c r="D40" s="404">
        <v>1</v>
      </c>
      <c r="E40" s="403"/>
      <c r="F40" s="402"/>
      <c r="G40" s="389"/>
      <c r="H40" s="401" t="s">
        <v>733</v>
      </c>
      <c r="I40" s="401" t="s">
        <v>733</v>
      </c>
      <c r="J40" s="401" t="s">
        <v>733</v>
      </c>
      <c r="K40" s="400"/>
      <c r="L40" s="399" t="s">
        <v>733</v>
      </c>
      <c r="M40" s="399" t="s">
        <v>733</v>
      </c>
      <c r="N40" s="390"/>
      <c r="O40" s="398" t="s">
        <v>733</v>
      </c>
      <c r="P40" s="398" t="s">
        <v>733</v>
      </c>
      <c r="Q40" s="397"/>
      <c r="R40" s="396">
        <v>0</v>
      </c>
      <c r="S40" s="395">
        <v>0</v>
      </c>
      <c r="T40" s="395">
        <v>0</v>
      </c>
      <c r="U40" s="395">
        <v>0</v>
      </c>
      <c r="V40" s="395">
        <v>0</v>
      </c>
      <c r="W40" s="395">
        <v>0</v>
      </c>
      <c r="X40" s="395">
        <v>0</v>
      </c>
      <c r="Y40" s="395">
        <v>0</v>
      </c>
      <c r="Z40" s="395">
        <v>0</v>
      </c>
      <c r="AA40" s="395">
        <v>0</v>
      </c>
      <c r="AB40" s="395">
        <v>0</v>
      </c>
      <c r="AC40" s="394">
        <v>0</v>
      </c>
      <c r="AD40" s="367"/>
      <c r="AE40" s="393">
        <f t="shared" si="2"/>
        <v>0</v>
      </c>
      <c r="AG40" s="390"/>
      <c r="AH40" s="392"/>
      <c r="AI40" s="391" t="s">
        <v>733</v>
      </c>
      <c r="AJ40" s="390"/>
      <c r="AK40" s="389"/>
      <c r="AL40" s="391"/>
      <c r="AM40" s="390"/>
      <c r="AN40" s="389"/>
      <c r="AO40" s="388"/>
      <c r="AP40" s="387" t="s">
        <v>319</v>
      </c>
      <c r="AQ40" s="386"/>
      <c r="AR40" s="385"/>
      <c r="AS40" s="384" t="str">
        <f t="shared" si="3"/>
        <v/>
      </c>
      <c r="AT40" s="384" t="str">
        <f>IFERROR(VLOOKUP($AS40,[26]TruckCenterReference!$C$23:$I62,3,FALSE), "")</f>
        <v/>
      </c>
      <c r="AU40" s="379" t="str">
        <f t="shared" si="4"/>
        <v/>
      </c>
      <c r="AV40" s="382"/>
      <c r="AW40" s="381" t="str">
        <f>IFERROR(VLOOKUP($AS40,[26]TruckCenterReference!$C$23:$I62,4,FALSE), "")</f>
        <v/>
      </c>
      <c r="AX40" s="379" t="str">
        <f t="shared" si="5"/>
        <v/>
      </c>
      <c r="AZ40" s="384" t="str">
        <f t="shared" si="6"/>
        <v/>
      </c>
      <c r="BA40" s="383" t="str">
        <f>IFERROR(VLOOKUP($AS40,[26]TruckCenterReference!$C$23:$I62,6,FALSE), "")</f>
        <v/>
      </c>
      <c r="BB40" s="379" t="str">
        <f t="shared" si="7"/>
        <v/>
      </c>
      <c r="BC40" s="382"/>
      <c r="BD40" s="381">
        <f>IFERROR(VLOOKUP($AS40,[26]TruckCenterReference!$C$23:$I62,7,FALSE), 0)</f>
        <v>0</v>
      </c>
      <c r="BE40" s="381">
        <f>IFERROR(VLOOKUP($AS40,[26]TruckCenterReference!$C$23:$K62,9,FALSE), 0)</f>
        <v>0</v>
      </c>
      <c r="BF40" s="381">
        <f>IFERROR(VLOOKUP($AS40,[26]TruckCenterReference!$C$23:$K62,8,FALSE), 0)</f>
        <v>0</v>
      </c>
      <c r="BG40" s="380" t="str">
        <f t="shared" si="8"/>
        <v/>
      </c>
      <c r="BH40" s="379" t="str">
        <f t="shared" si="9"/>
        <v/>
      </c>
    </row>
    <row r="41" spans="1:60" x14ac:dyDescent="0.25">
      <c r="A41" s="364" t="b">
        <f t="shared" si="0"/>
        <v>0</v>
      </c>
      <c r="B41" s="364" t="str">
        <f t="shared" si="1"/>
        <v/>
      </c>
      <c r="C41" s="405" t="s">
        <v>733</v>
      </c>
      <c r="D41" s="404">
        <v>1</v>
      </c>
      <c r="E41" s="403"/>
      <c r="F41" s="402"/>
      <c r="G41" s="389"/>
      <c r="H41" s="401" t="s">
        <v>733</v>
      </c>
      <c r="I41" s="401" t="s">
        <v>733</v>
      </c>
      <c r="J41" s="401" t="s">
        <v>733</v>
      </c>
      <c r="K41" s="400"/>
      <c r="L41" s="399" t="s">
        <v>733</v>
      </c>
      <c r="M41" s="399" t="s">
        <v>733</v>
      </c>
      <c r="N41" s="390"/>
      <c r="O41" s="398" t="s">
        <v>733</v>
      </c>
      <c r="P41" s="398" t="s">
        <v>733</v>
      </c>
      <c r="Q41" s="397"/>
      <c r="R41" s="396">
        <v>0</v>
      </c>
      <c r="S41" s="395">
        <v>0</v>
      </c>
      <c r="T41" s="395">
        <v>0</v>
      </c>
      <c r="U41" s="395">
        <v>0</v>
      </c>
      <c r="V41" s="395">
        <v>0</v>
      </c>
      <c r="W41" s="395">
        <v>0</v>
      </c>
      <c r="X41" s="395">
        <v>0</v>
      </c>
      <c r="Y41" s="395">
        <v>0</v>
      </c>
      <c r="Z41" s="395">
        <v>0</v>
      </c>
      <c r="AA41" s="395">
        <v>0</v>
      </c>
      <c r="AB41" s="395">
        <v>0</v>
      </c>
      <c r="AC41" s="394">
        <v>0</v>
      </c>
      <c r="AD41" s="367"/>
      <c r="AE41" s="393">
        <f t="shared" si="2"/>
        <v>0</v>
      </c>
      <c r="AG41" s="390"/>
      <c r="AH41" s="392"/>
      <c r="AI41" s="391" t="s">
        <v>733</v>
      </c>
      <c r="AJ41" s="390"/>
      <c r="AK41" s="389"/>
      <c r="AL41" s="391"/>
      <c r="AM41" s="390"/>
      <c r="AN41" s="389"/>
      <c r="AO41" s="388"/>
      <c r="AP41" s="387" t="s">
        <v>319</v>
      </c>
      <c r="AQ41" s="386"/>
      <c r="AR41" s="385"/>
      <c r="AS41" s="384" t="str">
        <f t="shared" si="3"/>
        <v/>
      </c>
      <c r="AT41" s="384" t="str">
        <f>IFERROR(VLOOKUP($AS41,[26]TruckCenterReference!$C$23:$I63,3,FALSE), "")</f>
        <v/>
      </c>
      <c r="AU41" s="379" t="str">
        <f t="shared" si="4"/>
        <v/>
      </c>
      <c r="AV41" s="382"/>
      <c r="AW41" s="381" t="str">
        <f>IFERROR(VLOOKUP($AS41,[26]TruckCenterReference!$C$23:$I63,4,FALSE), "")</f>
        <v/>
      </c>
      <c r="AX41" s="379" t="str">
        <f t="shared" si="5"/>
        <v/>
      </c>
      <c r="AZ41" s="384" t="str">
        <f t="shared" si="6"/>
        <v/>
      </c>
      <c r="BA41" s="383" t="str">
        <f>IFERROR(VLOOKUP($AS41,[26]TruckCenterReference!$C$23:$I63,6,FALSE), "")</f>
        <v/>
      </c>
      <c r="BB41" s="379" t="str">
        <f t="shared" si="7"/>
        <v/>
      </c>
      <c r="BC41" s="382"/>
      <c r="BD41" s="381">
        <f>IFERROR(VLOOKUP($AS41,[26]TruckCenterReference!$C$23:$I63,7,FALSE), 0)</f>
        <v>0</v>
      </c>
      <c r="BE41" s="381">
        <f>IFERROR(VLOOKUP($AS41,[26]TruckCenterReference!$C$23:$K63,9,FALSE), 0)</f>
        <v>0</v>
      </c>
      <c r="BF41" s="381">
        <f>IFERROR(VLOOKUP($AS41,[26]TruckCenterReference!$C$23:$K63,8,FALSE), 0)</f>
        <v>0</v>
      </c>
      <c r="BG41" s="380" t="str">
        <f t="shared" si="8"/>
        <v/>
      </c>
      <c r="BH41" s="379" t="str">
        <f t="shared" si="9"/>
        <v/>
      </c>
    </row>
    <row r="42" spans="1:60" x14ac:dyDescent="0.25">
      <c r="A42" s="364" t="b">
        <f t="shared" si="0"/>
        <v>0</v>
      </c>
      <c r="B42" s="364" t="str">
        <f t="shared" si="1"/>
        <v/>
      </c>
      <c r="C42" s="405" t="s">
        <v>733</v>
      </c>
      <c r="D42" s="404">
        <v>1</v>
      </c>
      <c r="E42" s="403"/>
      <c r="F42" s="402"/>
      <c r="G42" s="389"/>
      <c r="H42" s="401" t="s">
        <v>733</v>
      </c>
      <c r="I42" s="401" t="s">
        <v>733</v>
      </c>
      <c r="J42" s="401" t="s">
        <v>733</v>
      </c>
      <c r="K42" s="400"/>
      <c r="L42" s="399" t="s">
        <v>733</v>
      </c>
      <c r="M42" s="399" t="s">
        <v>733</v>
      </c>
      <c r="N42" s="390"/>
      <c r="O42" s="398" t="s">
        <v>733</v>
      </c>
      <c r="P42" s="398" t="s">
        <v>733</v>
      </c>
      <c r="Q42" s="397"/>
      <c r="R42" s="396">
        <v>0</v>
      </c>
      <c r="S42" s="395">
        <v>0</v>
      </c>
      <c r="T42" s="395">
        <v>0</v>
      </c>
      <c r="U42" s="395">
        <v>0</v>
      </c>
      <c r="V42" s="395">
        <v>0</v>
      </c>
      <c r="W42" s="395">
        <v>0</v>
      </c>
      <c r="X42" s="395">
        <v>0</v>
      </c>
      <c r="Y42" s="395">
        <v>0</v>
      </c>
      <c r="Z42" s="395">
        <v>0</v>
      </c>
      <c r="AA42" s="395">
        <v>0</v>
      </c>
      <c r="AB42" s="395">
        <v>0</v>
      </c>
      <c r="AC42" s="394">
        <v>0</v>
      </c>
      <c r="AD42" s="367"/>
      <c r="AE42" s="393">
        <f t="shared" si="2"/>
        <v>0</v>
      </c>
      <c r="AG42" s="390"/>
      <c r="AH42" s="392"/>
      <c r="AI42" s="391" t="s">
        <v>733</v>
      </c>
      <c r="AJ42" s="390"/>
      <c r="AK42" s="389"/>
      <c r="AL42" s="391"/>
      <c r="AM42" s="390"/>
      <c r="AN42" s="389"/>
      <c r="AO42" s="388"/>
      <c r="AP42" s="387" t="s">
        <v>319</v>
      </c>
      <c r="AQ42" s="386"/>
      <c r="AR42" s="385"/>
      <c r="AS42" s="384" t="str">
        <f t="shared" si="3"/>
        <v/>
      </c>
      <c r="AT42" s="384" t="str">
        <f>IFERROR(VLOOKUP($AS42,[26]TruckCenterReference!$C$23:$I64,3,FALSE), "")</f>
        <v/>
      </c>
      <c r="AU42" s="379" t="str">
        <f t="shared" si="4"/>
        <v/>
      </c>
      <c r="AV42" s="382"/>
      <c r="AW42" s="381" t="str">
        <f>IFERROR(VLOOKUP($AS42,[26]TruckCenterReference!$C$23:$I64,4,FALSE), "")</f>
        <v/>
      </c>
      <c r="AX42" s="379" t="str">
        <f t="shared" si="5"/>
        <v/>
      </c>
      <c r="AZ42" s="384" t="str">
        <f t="shared" si="6"/>
        <v/>
      </c>
      <c r="BA42" s="383" t="str">
        <f>IFERROR(VLOOKUP($AS42,[26]TruckCenterReference!$C$23:$I64,6,FALSE), "")</f>
        <v/>
      </c>
      <c r="BB42" s="379" t="str">
        <f t="shared" si="7"/>
        <v/>
      </c>
      <c r="BC42" s="382"/>
      <c r="BD42" s="381">
        <f>IFERROR(VLOOKUP($AS42,[26]TruckCenterReference!$C$23:$I64,7,FALSE), 0)</f>
        <v>0</v>
      </c>
      <c r="BE42" s="381">
        <f>IFERROR(VLOOKUP($AS42,[26]TruckCenterReference!$C$23:$K64,9,FALSE), 0)</f>
        <v>0</v>
      </c>
      <c r="BF42" s="381">
        <f>IFERROR(VLOOKUP($AS42,[26]TruckCenterReference!$C$23:$K64,8,FALSE), 0)</f>
        <v>0</v>
      </c>
      <c r="BG42" s="380" t="str">
        <f t="shared" si="8"/>
        <v/>
      </c>
      <c r="BH42" s="379" t="str">
        <f t="shared" si="9"/>
        <v/>
      </c>
    </row>
    <row r="43" spans="1:60" x14ac:dyDescent="0.25">
      <c r="A43" s="364" t="b">
        <f t="shared" si="0"/>
        <v>0</v>
      </c>
      <c r="B43" s="364" t="str">
        <f t="shared" si="1"/>
        <v/>
      </c>
      <c r="C43" s="405" t="s">
        <v>733</v>
      </c>
      <c r="D43" s="404">
        <v>1</v>
      </c>
      <c r="E43" s="403"/>
      <c r="F43" s="402"/>
      <c r="G43" s="389"/>
      <c r="H43" s="401" t="s">
        <v>733</v>
      </c>
      <c r="I43" s="401" t="s">
        <v>733</v>
      </c>
      <c r="J43" s="401" t="s">
        <v>733</v>
      </c>
      <c r="K43" s="400"/>
      <c r="L43" s="399" t="s">
        <v>733</v>
      </c>
      <c r="M43" s="399" t="s">
        <v>733</v>
      </c>
      <c r="N43" s="390"/>
      <c r="O43" s="398" t="s">
        <v>733</v>
      </c>
      <c r="P43" s="398" t="s">
        <v>733</v>
      </c>
      <c r="Q43" s="397"/>
      <c r="R43" s="396">
        <v>0</v>
      </c>
      <c r="S43" s="395">
        <v>0</v>
      </c>
      <c r="T43" s="395">
        <v>0</v>
      </c>
      <c r="U43" s="395">
        <v>0</v>
      </c>
      <c r="V43" s="395">
        <v>0</v>
      </c>
      <c r="W43" s="395">
        <v>0</v>
      </c>
      <c r="X43" s="395">
        <v>0</v>
      </c>
      <c r="Y43" s="395">
        <v>0</v>
      </c>
      <c r="Z43" s="395">
        <v>0</v>
      </c>
      <c r="AA43" s="395">
        <v>0</v>
      </c>
      <c r="AB43" s="395">
        <v>0</v>
      </c>
      <c r="AC43" s="394">
        <v>0</v>
      </c>
      <c r="AD43" s="367"/>
      <c r="AE43" s="393">
        <f t="shared" si="2"/>
        <v>0</v>
      </c>
      <c r="AG43" s="390"/>
      <c r="AH43" s="392"/>
      <c r="AI43" s="391" t="s">
        <v>733</v>
      </c>
      <c r="AJ43" s="390"/>
      <c r="AK43" s="389"/>
      <c r="AL43" s="391"/>
      <c r="AM43" s="390"/>
      <c r="AN43" s="389"/>
      <c r="AO43" s="388"/>
      <c r="AP43" s="387" t="s">
        <v>319</v>
      </c>
      <c r="AQ43" s="386"/>
      <c r="AR43" s="385"/>
      <c r="AS43" s="384" t="str">
        <f t="shared" si="3"/>
        <v/>
      </c>
      <c r="AT43" s="384" t="str">
        <f>IFERROR(VLOOKUP($AS43,[26]TruckCenterReference!$C$23:$I65,3,FALSE), "")</f>
        <v/>
      </c>
      <c r="AU43" s="379" t="str">
        <f t="shared" si="4"/>
        <v/>
      </c>
      <c r="AV43" s="382"/>
      <c r="AW43" s="381" t="str">
        <f>IFERROR(VLOOKUP($AS43,[26]TruckCenterReference!$C$23:$I65,4,FALSE), "")</f>
        <v/>
      </c>
      <c r="AX43" s="379" t="str">
        <f t="shared" si="5"/>
        <v/>
      </c>
      <c r="AZ43" s="384" t="str">
        <f t="shared" si="6"/>
        <v/>
      </c>
      <c r="BA43" s="383" t="str">
        <f>IFERROR(VLOOKUP($AS43,[26]TruckCenterReference!$C$23:$I65,6,FALSE), "")</f>
        <v/>
      </c>
      <c r="BB43" s="379" t="str">
        <f t="shared" si="7"/>
        <v/>
      </c>
      <c r="BC43" s="382"/>
      <c r="BD43" s="381">
        <f>IFERROR(VLOOKUP($AS43,[26]TruckCenterReference!$C$23:$I65,7,FALSE), 0)</f>
        <v>0</v>
      </c>
      <c r="BE43" s="381">
        <f>IFERROR(VLOOKUP($AS43,[26]TruckCenterReference!$C$23:$K65,9,FALSE), 0)</f>
        <v>0</v>
      </c>
      <c r="BF43" s="381">
        <f>IFERROR(VLOOKUP($AS43,[26]TruckCenterReference!$C$23:$K65,8,FALSE), 0)</f>
        <v>0</v>
      </c>
      <c r="BG43" s="380" t="str">
        <f t="shared" si="8"/>
        <v/>
      </c>
      <c r="BH43" s="379" t="str">
        <f t="shared" si="9"/>
        <v/>
      </c>
    </row>
    <row r="44" spans="1:60" x14ac:dyDescent="0.25">
      <c r="A44" s="364" t="b">
        <f t="shared" si="0"/>
        <v>0</v>
      </c>
      <c r="B44" s="364" t="str">
        <f t="shared" si="1"/>
        <v/>
      </c>
      <c r="C44" s="405" t="s">
        <v>733</v>
      </c>
      <c r="D44" s="404">
        <v>1</v>
      </c>
      <c r="E44" s="403"/>
      <c r="F44" s="402"/>
      <c r="G44" s="389"/>
      <c r="H44" s="401" t="s">
        <v>733</v>
      </c>
      <c r="I44" s="401" t="s">
        <v>733</v>
      </c>
      <c r="J44" s="401" t="s">
        <v>733</v>
      </c>
      <c r="K44" s="400"/>
      <c r="L44" s="399" t="s">
        <v>733</v>
      </c>
      <c r="M44" s="399" t="s">
        <v>733</v>
      </c>
      <c r="N44" s="390"/>
      <c r="O44" s="398" t="s">
        <v>733</v>
      </c>
      <c r="P44" s="398" t="s">
        <v>733</v>
      </c>
      <c r="Q44" s="397"/>
      <c r="R44" s="396">
        <v>0</v>
      </c>
      <c r="S44" s="395">
        <v>0</v>
      </c>
      <c r="T44" s="395">
        <v>0</v>
      </c>
      <c r="U44" s="395">
        <v>0</v>
      </c>
      <c r="V44" s="395">
        <v>0</v>
      </c>
      <c r="W44" s="395">
        <v>0</v>
      </c>
      <c r="X44" s="395">
        <v>0</v>
      </c>
      <c r="Y44" s="395">
        <v>0</v>
      </c>
      <c r="Z44" s="395">
        <v>0</v>
      </c>
      <c r="AA44" s="395">
        <v>0</v>
      </c>
      <c r="AB44" s="395">
        <v>0</v>
      </c>
      <c r="AC44" s="394">
        <v>0</v>
      </c>
      <c r="AD44" s="367"/>
      <c r="AE44" s="393">
        <f t="shared" si="2"/>
        <v>0</v>
      </c>
      <c r="AG44" s="390"/>
      <c r="AH44" s="392"/>
      <c r="AI44" s="391" t="s">
        <v>733</v>
      </c>
      <c r="AJ44" s="390"/>
      <c r="AK44" s="389"/>
      <c r="AL44" s="391"/>
      <c r="AM44" s="390"/>
      <c r="AN44" s="389"/>
      <c r="AO44" s="388"/>
      <c r="AP44" s="387" t="s">
        <v>319</v>
      </c>
      <c r="AQ44" s="386"/>
      <c r="AR44" s="385"/>
      <c r="AS44" s="384" t="str">
        <f t="shared" si="3"/>
        <v/>
      </c>
      <c r="AT44" s="384" t="str">
        <f>IFERROR(VLOOKUP($AS44,[26]TruckCenterReference!$C$23:$I66,3,FALSE), "")</f>
        <v/>
      </c>
      <c r="AU44" s="379" t="str">
        <f t="shared" si="4"/>
        <v/>
      </c>
      <c r="AV44" s="382"/>
      <c r="AW44" s="381" t="str">
        <f>IFERROR(VLOOKUP($AS44,[26]TruckCenterReference!$C$23:$I66,4,FALSE), "")</f>
        <v/>
      </c>
      <c r="AX44" s="379" t="str">
        <f t="shared" si="5"/>
        <v/>
      </c>
      <c r="AZ44" s="384" t="str">
        <f t="shared" si="6"/>
        <v/>
      </c>
      <c r="BA44" s="383" t="str">
        <f>IFERROR(VLOOKUP($AS44,[26]TruckCenterReference!$C$23:$I66,6,FALSE), "")</f>
        <v/>
      </c>
      <c r="BB44" s="379" t="str">
        <f t="shared" si="7"/>
        <v/>
      </c>
      <c r="BC44" s="382"/>
      <c r="BD44" s="381">
        <f>IFERROR(VLOOKUP($AS44,[26]TruckCenterReference!$C$23:$I66,7,FALSE), 0)</f>
        <v>0</v>
      </c>
      <c r="BE44" s="381">
        <f>IFERROR(VLOOKUP($AS44,[26]TruckCenterReference!$C$23:$K66,9,FALSE), 0)</f>
        <v>0</v>
      </c>
      <c r="BF44" s="381">
        <f>IFERROR(VLOOKUP($AS44,[26]TruckCenterReference!$C$23:$K66,8,FALSE), 0)</f>
        <v>0</v>
      </c>
      <c r="BG44" s="380" t="str">
        <f t="shared" si="8"/>
        <v/>
      </c>
      <c r="BH44" s="379" t="str">
        <f t="shared" si="9"/>
        <v/>
      </c>
    </row>
    <row r="45" spans="1:60" x14ac:dyDescent="0.25">
      <c r="A45" s="364" t="b">
        <f t="shared" si="0"/>
        <v>0</v>
      </c>
      <c r="B45" s="364" t="str">
        <f t="shared" si="1"/>
        <v/>
      </c>
      <c r="C45" s="405" t="s">
        <v>733</v>
      </c>
      <c r="D45" s="404">
        <v>1</v>
      </c>
      <c r="E45" s="403"/>
      <c r="F45" s="402"/>
      <c r="G45" s="389"/>
      <c r="H45" s="401" t="s">
        <v>733</v>
      </c>
      <c r="I45" s="401" t="s">
        <v>733</v>
      </c>
      <c r="J45" s="401" t="s">
        <v>733</v>
      </c>
      <c r="K45" s="400"/>
      <c r="L45" s="399" t="s">
        <v>733</v>
      </c>
      <c r="M45" s="399" t="s">
        <v>733</v>
      </c>
      <c r="N45" s="390"/>
      <c r="O45" s="398" t="s">
        <v>733</v>
      </c>
      <c r="P45" s="398" t="s">
        <v>733</v>
      </c>
      <c r="Q45" s="397"/>
      <c r="R45" s="396">
        <v>0</v>
      </c>
      <c r="S45" s="395">
        <v>0</v>
      </c>
      <c r="T45" s="395">
        <v>0</v>
      </c>
      <c r="U45" s="395">
        <v>0</v>
      </c>
      <c r="V45" s="395">
        <v>0</v>
      </c>
      <c r="W45" s="395">
        <v>0</v>
      </c>
      <c r="X45" s="395">
        <v>0</v>
      </c>
      <c r="Y45" s="395">
        <v>0</v>
      </c>
      <c r="Z45" s="395">
        <v>0</v>
      </c>
      <c r="AA45" s="395">
        <v>0</v>
      </c>
      <c r="AB45" s="395">
        <v>0</v>
      </c>
      <c r="AC45" s="394">
        <v>0</v>
      </c>
      <c r="AD45" s="367"/>
      <c r="AE45" s="393">
        <f t="shared" si="2"/>
        <v>0</v>
      </c>
      <c r="AG45" s="390"/>
      <c r="AH45" s="392"/>
      <c r="AI45" s="391" t="s">
        <v>733</v>
      </c>
      <c r="AJ45" s="390"/>
      <c r="AK45" s="389"/>
      <c r="AL45" s="391"/>
      <c r="AM45" s="390"/>
      <c r="AN45" s="389"/>
      <c r="AO45" s="388"/>
      <c r="AP45" s="387" t="s">
        <v>319</v>
      </c>
      <c r="AQ45" s="386"/>
      <c r="AR45" s="385"/>
      <c r="AS45" s="384" t="str">
        <f t="shared" si="3"/>
        <v/>
      </c>
      <c r="AT45" s="384" t="str">
        <f>IFERROR(VLOOKUP($AS45,[26]TruckCenterReference!$C$23:$I67,3,FALSE), "")</f>
        <v/>
      </c>
      <c r="AU45" s="379" t="str">
        <f t="shared" si="4"/>
        <v/>
      </c>
      <c r="AV45" s="382"/>
      <c r="AW45" s="381" t="str">
        <f>IFERROR(VLOOKUP($AS45,[26]TruckCenterReference!$C$23:$I67,4,FALSE), "")</f>
        <v/>
      </c>
      <c r="AX45" s="379" t="str">
        <f t="shared" si="5"/>
        <v/>
      </c>
      <c r="AZ45" s="384" t="str">
        <f t="shared" si="6"/>
        <v/>
      </c>
      <c r="BA45" s="383" t="str">
        <f>IFERROR(VLOOKUP($AS45,[26]TruckCenterReference!$C$23:$I67,6,FALSE), "")</f>
        <v/>
      </c>
      <c r="BB45" s="379" t="str">
        <f t="shared" si="7"/>
        <v/>
      </c>
      <c r="BC45" s="382"/>
      <c r="BD45" s="381">
        <f>IFERROR(VLOOKUP($AS45,[26]TruckCenterReference!$C$23:$I67,7,FALSE), 0)</f>
        <v>0</v>
      </c>
      <c r="BE45" s="381">
        <f>IFERROR(VLOOKUP($AS45,[26]TruckCenterReference!$C$23:$K67,9,FALSE), 0)</f>
        <v>0</v>
      </c>
      <c r="BF45" s="381">
        <f>IFERROR(VLOOKUP($AS45,[26]TruckCenterReference!$C$23:$K67,8,FALSE), 0)</f>
        <v>0</v>
      </c>
      <c r="BG45" s="380" t="str">
        <f t="shared" si="8"/>
        <v/>
      </c>
      <c r="BH45" s="379" t="str">
        <f t="shared" si="9"/>
        <v/>
      </c>
    </row>
    <row r="46" spans="1:60" x14ac:dyDescent="0.25">
      <c r="A46" s="364" t="b">
        <f t="shared" si="0"/>
        <v>0</v>
      </c>
      <c r="B46" s="364" t="str">
        <f t="shared" si="1"/>
        <v/>
      </c>
      <c r="C46" s="405" t="s">
        <v>733</v>
      </c>
      <c r="D46" s="404">
        <v>1</v>
      </c>
      <c r="E46" s="403"/>
      <c r="F46" s="402"/>
      <c r="G46" s="389"/>
      <c r="H46" s="401" t="s">
        <v>733</v>
      </c>
      <c r="I46" s="401" t="s">
        <v>733</v>
      </c>
      <c r="J46" s="401" t="s">
        <v>733</v>
      </c>
      <c r="K46" s="400"/>
      <c r="L46" s="399" t="s">
        <v>733</v>
      </c>
      <c r="M46" s="399" t="s">
        <v>733</v>
      </c>
      <c r="N46" s="390"/>
      <c r="O46" s="398" t="s">
        <v>733</v>
      </c>
      <c r="P46" s="398" t="s">
        <v>733</v>
      </c>
      <c r="Q46" s="397"/>
      <c r="R46" s="396">
        <v>0</v>
      </c>
      <c r="S46" s="395">
        <v>0</v>
      </c>
      <c r="T46" s="395">
        <v>0</v>
      </c>
      <c r="U46" s="395">
        <v>0</v>
      </c>
      <c r="V46" s="395">
        <v>0</v>
      </c>
      <c r="W46" s="395">
        <v>0</v>
      </c>
      <c r="X46" s="395">
        <v>0</v>
      </c>
      <c r="Y46" s="395">
        <v>0</v>
      </c>
      <c r="Z46" s="395">
        <v>0</v>
      </c>
      <c r="AA46" s="395">
        <v>0</v>
      </c>
      <c r="AB46" s="395">
        <v>0</v>
      </c>
      <c r="AC46" s="394">
        <v>0</v>
      </c>
      <c r="AD46" s="367"/>
      <c r="AE46" s="393">
        <f t="shared" si="2"/>
        <v>0</v>
      </c>
      <c r="AG46" s="390"/>
      <c r="AH46" s="392"/>
      <c r="AI46" s="391" t="s">
        <v>733</v>
      </c>
      <c r="AJ46" s="390"/>
      <c r="AK46" s="389"/>
      <c r="AL46" s="391"/>
      <c r="AM46" s="390"/>
      <c r="AN46" s="389"/>
      <c r="AO46" s="388"/>
      <c r="AP46" s="387" t="s">
        <v>319</v>
      </c>
      <c r="AQ46" s="386"/>
      <c r="AR46" s="385"/>
      <c r="AS46" s="384" t="str">
        <f t="shared" si="3"/>
        <v/>
      </c>
      <c r="AT46" s="384" t="str">
        <f>IFERROR(VLOOKUP($AS46,[26]TruckCenterReference!$C$23:$I68,3,FALSE), "")</f>
        <v/>
      </c>
      <c r="AU46" s="379" t="str">
        <f t="shared" si="4"/>
        <v/>
      </c>
      <c r="AV46" s="382"/>
      <c r="AW46" s="381" t="str">
        <f>IFERROR(VLOOKUP($AS46,[26]TruckCenterReference!$C$23:$I68,4,FALSE), "")</f>
        <v/>
      </c>
      <c r="AX46" s="379" t="str">
        <f t="shared" si="5"/>
        <v/>
      </c>
      <c r="AZ46" s="384" t="str">
        <f t="shared" si="6"/>
        <v/>
      </c>
      <c r="BA46" s="383" t="str">
        <f>IFERROR(VLOOKUP($AS46,[26]TruckCenterReference!$C$23:$I68,6,FALSE), "")</f>
        <v/>
      </c>
      <c r="BB46" s="379" t="str">
        <f t="shared" si="7"/>
        <v/>
      </c>
      <c r="BC46" s="382"/>
      <c r="BD46" s="381">
        <f>IFERROR(VLOOKUP($AS46,[26]TruckCenterReference!$C$23:$I68,7,FALSE), 0)</f>
        <v>0</v>
      </c>
      <c r="BE46" s="381">
        <f>IFERROR(VLOOKUP($AS46,[26]TruckCenterReference!$C$23:$K68,9,FALSE), 0)</f>
        <v>0</v>
      </c>
      <c r="BF46" s="381">
        <f>IFERROR(VLOOKUP($AS46,[26]TruckCenterReference!$C$23:$K68,8,FALSE), 0)</f>
        <v>0</v>
      </c>
      <c r="BG46" s="380" t="str">
        <f t="shared" si="8"/>
        <v/>
      </c>
      <c r="BH46" s="379" t="str">
        <f t="shared" si="9"/>
        <v/>
      </c>
    </row>
    <row r="47" spans="1:60" x14ac:dyDescent="0.25">
      <c r="A47" s="364" t="b">
        <f t="shared" si="0"/>
        <v>0</v>
      </c>
      <c r="B47" s="364" t="str">
        <f t="shared" si="1"/>
        <v/>
      </c>
      <c r="C47" s="405" t="s">
        <v>733</v>
      </c>
      <c r="D47" s="404">
        <v>1</v>
      </c>
      <c r="E47" s="403"/>
      <c r="F47" s="402"/>
      <c r="G47" s="389"/>
      <c r="H47" s="401" t="s">
        <v>733</v>
      </c>
      <c r="I47" s="401" t="s">
        <v>733</v>
      </c>
      <c r="J47" s="401" t="s">
        <v>733</v>
      </c>
      <c r="K47" s="400"/>
      <c r="L47" s="399" t="s">
        <v>733</v>
      </c>
      <c r="M47" s="399" t="s">
        <v>733</v>
      </c>
      <c r="N47" s="390"/>
      <c r="O47" s="398" t="s">
        <v>733</v>
      </c>
      <c r="P47" s="398" t="s">
        <v>733</v>
      </c>
      <c r="Q47" s="397"/>
      <c r="R47" s="396">
        <v>0</v>
      </c>
      <c r="S47" s="395">
        <v>0</v>
      </c>
      <c r="T47" s="395">
        <v>0</v>
      </c>
      <c r="U47" s="395">
        <v>0</v>
      </c>
      <c r="V47" s="395">
        <v>0</v>
      </c>
      <c r="W47" s="395">
        <v>0</v>
      </c>
      <c r="X47" s="395">
        <v>0</v>
      </c>
      <c r="Y47" s="395">
        <v>0</v>
      </c>
      <c r="Z47" s="395">
        <v>0</v>
      </c>
      <c r="AA47" s="395">
        <v>0</v>
      </c>
      <c r="AB47" s="395">
        <v>0</v>
      </c>
      <c r="AC47" s="394">
        <v>0</v>
      </c>
      <c r="AD47" s="367"/>
      <c r="AE47" s="393">
        <f t="shared" si="2"/>
        <v>0</v>
      </c>
      <c r="AG47" s="390"/>
      <c r="AH47" s="392"/>
      <c r="AI47" s="391" t="s">
        <v>733</v>
      </c>
      <c r="AJ47" s="390"/>
      <c r="AK47" s="389"/>
      <c r="AL47" s="391"/>
      <c r="AM47" s="390"/>
      <c r="AN47" s="389"/>
      <c r="AO47" s="388"/>
      <c r="AP47" s="387" t="s">
        <v>319</v>
      </c>
      <c r="AQ47" s="386"/>
      <c r="AR47" s="385"/>
      <c r="AS47" s="384" t="str">
        <f t="shared" si="3"/>
        <v/>
      </c>
      <c r="AT47" s="384" t="str">
        <f>IFERROR(VLOOKUP($AS47,[26]TruckCenterReference!$C$23:$I69,3,FALSE), "")</f>
        <v/>
      </c>
      <c r="AU47" s="379" t="str">
        <f t="shared" si="4"/>
        <v/>
      </c>
      <c r="AV47" s="382"/>
      <c r="AW47" s="381" t="str">
        <f>IFERROR(VLOOKUP($AS47,[26]TruckCenterReference!$C$23:$I69,4,FALSE), "")</f>
        <v/>
      </c>
      <c r="AX47" s="379" t="str">
        <f t="shared" si="5"/>
        <v/>
      </c>
      <c r="AZ47" s="384" t="str">
        <f t="shared" si="6"/>
        <v/>
      </c>
      <c r="BA47" s="383" t="str">
        <f>IFERROR(VLOOKUP($AS47,[26]TruckCenterReference!$C$23:$I69,6,FALSE), "")</f>
        <v/>
      </c>
      <c r="BB47" s="379" t="str">
        <f t="shared" si="7"/>
        <v/>
      </c>
      <c r="BC47" s="382"/>
      <c r="BD47" s="381">
        <f>IFERROR(VLOOKUP($AS47,[26]TruckCenterReference!$C$23:$I69,7,FALSE), 0)</f>
        <v>0</v>
      </c>
      <c r="BE47" s="381">
        <f>IFERROR(VLOOKUP($AS47,[26]TruckCenterReference!$C$23:$K69,9,FALSE), 0)</f>
        <v>0</v>
      </c>
      <c r="BF47" s="381">
        <f>IFERROR(VLOOKUP($AS47,[26]TruckCenterReference!$C$23:$K69,8,FALSE), 0)</f>
        <v>0</v>
      </c>
      <c r="BG47" s="380" t="str">
        <f t="shared" si="8"/>
        <v/>
      </c>
      <c r="BH47" s="379" t="str">
        <f t="shared" si="9"/>
        <v/>
      </c>
    </row>
    <row r="48" spans="1:60" x14ac:dyDescent="0.25">
      <c r="A48" s="364" t="b">
        <f t="shared" si="0"/>
        <v>0</v>
      </c>
      <c r="B48" s="364" t="str">
        <f t="shared" si="1"/>
        <v/>
      </c>
      <c r="C48" s="405" t="s">
        <v>733</v>
      </c>
      <c r="D48" s="404">
        <v>1</v>
      </c>
      <c r="E48" s="403"/>
      <c r="F48" s="402"/>
      <c r="G48" s="389"/>
      <c r="H48" s="401" t="s">
        <v>733</v>
      </c>
      <c r="I48" s="401" t="s">
        <v>733</v>
      </c>
      <c r="J48" s="401" t="s">
        <v>733</v>
      </c>
      <c r="K48" s="400"/>
      <c r="L48" s="399" t="s">
        <v>733</v>
      </c>
      <c r="M48" s="399" t="s">
        <v>733</v>
      </c>
      <c r="N48" s="390"/>
      <c r="O48" s="398" t="s">
        <v>733</v>
      </c>
      <c r="P48" s="398" t="s">
        <v>733</v>
      </c>
      <c r="Q48" s="397"/>
      <c r="R48" s="396">
        <v>0</v>
      </c>
      <c r="S48" s="395">
        <v>0</v>
      </c>
      <c r="T48" s="395">
        <v>0</v>
      </c>
      <c r="U48" s="395">
        <v>0</v>
      </c>
      <c r="V48" s="395">
        <v>0</v>
      </c>
      <c r="W48" s="395">
        <v>0</v>
      </c>
      <c r="X48" s="395">
        <v>0</v>
      </c>
      <c r="Y48" s="395">
        <v>0</v>
      </c>
      <c r="Z48" s="395">
        <v>0</v>
      </c>
      <c r="AA48" s="395">
        <v>0</v>
      </c>
      <c r="AB48" s="395">
        <v>0</v>
      </c>
      <c r="AC48" s="394">
        <v>0</v>
      </c>
      <c r="AD48" s="367"/>
      <c r="AE48" s="393">
        <f t="shared" si="2"/>
        <v>0</v>
      </c>
      <c r="AG48" s="390"/>
      <c r="AH48" s="392"/>
      <c r="AI48" s="391" t="s">
        <v>733</v>
      </c>
      <c r="AJ48" s="390"/>
      <c r="AK48" s="389"/>
      <c r="AL48" s="391"/>
      <c r="AM48" s="390"/>
      <c r="AN48" s="389"/>
      <c r="AO48" s="388"/>
      <c r="AP48" s="387" t="s">
        <v>319</v>
      </c>
      <c r="AQ48" s="386"/>
      <c r="AR48" s="385"/>
      <c r="AS48" s="384" t="str">
        <f t="shared" si="3"/>
        <v/>
      </c>
      <c r="AT48" s="384" t="str">
        <f>IFERROR(VLOOKUP($AS48,[26]TruckCenterReference!$C$23:$I70,3,FALSE), "")</f>
        <v/>
      </c>
      <c r="AU48" s="379" t="str">
        <f t="shared" si="4"/>
        <v/>
      </c>
      <c r="AV48" s="382"/>
      <c r="AW48" s="381" t="str">
        <f>IFERROR(VLOOKUP($AS48,[26]TruckCenterReference!$C$23:$I70,4,FALSE), "")</f>
        <v/>
      </c>
      <c r="AX48" s="379" t="str">
        <f t="shared" si="5"/>
        <v/>
      </c>
      <c r="AZ48" s="384" t="str">
        <f t="shared" si="6"/>
        <v/>
      </c>
      <c r="BA48" s="383" t="str">
        <f>IFERROR(VLOOKUP($AS48,[26]TruckCenterReference!$C$23:$I70,6,FALSE), "")</f>
        <v/>
      </c>
      <c r="BB48" s="379" t="str">
        <f t="shared" si="7"/>
        <v/>
      </c>
      <c r="BC48" s="382"/>
      <c r="BD48" s="381">
        <f>IFERROR(VLOOKUP($AS48,[26]TruckCenterReference!$C$23:$I70,7,FALSE), 0)</f>
        <v>0</v>
      </c>
      <c r="BE48" s="381">
        <f>IFERROR(VLOOKUP($AS48,[26]TruckCenterReference!$C$23:$K70,9,FALSE), 0)</f>
        <v>0</v>
      </c>
      <c r="BF48" s="381">
        <f>IFERROR(VLOOKUP($AS48,[26]TruckCenterReference!$C$23:$K70,8,FALSE), 0)</f>
        <v>0</v>
      </c>
      <c r="BG48" s="380" t="str">
        <f t="shared" si="8"/>
        <v/>
      </c>
      <c r="BH48" s="379" t="str">
        <f t="shared" si="9"/>
        <v/>
      </c>
    </row>
    <row r="49" spans="1:60" x14ac:dyDescent="0.25">
      <c r="A49" s="364" t="b">
        <f t="shared" si="0"/>
        <v>0</v>
      </c>
      <c r="B49" s="364" t="str">
        <f t="shared" si="1"/>
        <v/>
      </c>
      <c r="C49" s="405" t="s">
        <v>733</v>
      </c>
      <c r="D49" s="404">
        <v>1</v>
      </c>
      <c r="E49" s="403"/>
      <c r="F49" s="402"/>
      <c r="G49" s="389"/>
      <c r="H49" s="401" t="s">
        <v>733</v>
      </c>
      <c r="I49" s="401" t="s">
        <v>733</v>
      </c>
      <c r="J49" s="401" t="s">
        <v>733</v>
      </c>
      <c r="K49" s="400"/>
      <c r="L49" s="399" t="s">
        <v>733</v>
      </c>
      <c r="M49" s="399" t="s">
        <v>733</v>
      </c>
      <c r="N49" s="390"/>
      <c r="O49" s="398" t="s">
        <v>733</v>
      </c>
      <c r="P49" s="398" t="s">
        <v>733</v>
      </c>
      <c r="Q49" s="397"/>
      <c r="R49" s="396">
        <v>0</v>
      </c>
      <c r="S49" s="395">
        <v>0</v>
      </c>
      <c r="T49" s="395">
        <v>0</v>
      </c>
      <c r="U49" s="395">
        <v>0</v>
      </c>
      <c r="V49" s="395">
        <v>0</v>
      </c>
      <c r="W49" s="395">
        <v>0</v>
      </c>
      <c r="X49" s="395">
        <v>0</v>
      </c>
      <c r="Y49" s="395">
        <v>0</v>
      </c>
      <c r="Z49" s="395">
        <v>0</v>
      </c>
      <c r="AA49" s="395">
        <v>0</v>
      </c>
      <c r="AB49" s="395">
        <v>0</v>
      </c>
      <c r="AC49" s="394">
        <v>0</v>
      </c>
      <c r="AD49" s="367"/>
      <c r="AE49" s="393">
        <f t="shared" si="2"/>
        <v>0</v>
      </c>
      <c r="AG49" s="390"/>
      <c r="AH49" s="392"/>
      <c r="AI49" s="391" t="s">
        <v>733</v>
      </c>
      <c r="AJ49" s="390"/>
      <c r="AK49" s="389"/>
      <c r="AL49" s="391"/>
      <c r="AM49" s="390"/>
      <c r="AN49" s="389"/>
      <c r="AO49" s="388"/>
      <c r="AP49" s="387" t="s">
        <v>319</v>
      </c>
      <c r="AQ49" s="386"/>
      <c r="AR49" s="385"/>
      <c r="AS49" s="384" t="str">
        <f t="shared" si="3"/>
        <v/>
      </c>
      <c r="AT49" s="384" t="str">
        <f>IFERROR(VLOOKUP($AS49,[26]TruckCenterReference!$C$23:$I71,3,FALSE), "")</f>
        <v/>
      </c>
      <c r="AU49" s="379" t="str">
        <f t="shared" si="4"/>
        <v/>
      </c>
      <c r="AV49" s="382"/>
      <c r="AW49" s="381" t="str">
        <f>IFERROR(VLOOKUP($AS49,[26]TruckCenterReference!$C$23:$I71,4,FALSE), "")</f>
        <v/>
      </c>
      <c r="AX49" s="379" t="str">
        <f t="shared" si="5"/>
        <v/>
      </c>
      <c r="AZ49" s="384" t="str">
        <f t="shared" si="6"/>
        <v/>
      </c>
      <c r="BA49" s="383" t="str">
        <f>IFERROR(VLOOKUP($AS49,[26]TruckCenterReference!$C$23:$I71,6,FALSE), "")</f>
        <v/>
      </c>
      <c r="BB49" s="379" t="str">
        <f t="shared" si="7"/>
        <v/>
      </c>
      <c r="BC49" s="382"/>
      <c r="BD49" s="381">
        <f>IFERROR(VLOOKUP($AS49,[26]TruckCenterReference!$C$23:$I71,7,FALSE), 0)</f>
        <v>0</v>
      </c>
      <c r="BE49" s="381">
        <f>IFERROR(VLOOKUP($AS49,[26]TruckCenterReference!$C$23:$K71,9,FALSE), 0)</f>
        <v>0</v>
      </c>
      <c r="BF49" s="381">
        <f>IFERROR(VLOOKUP($AS49,[26]TruckCenterReference!$C$23:$K71,8,FALSE), 0)</f>
        <v>0</v>
      </c>
      <c r="BG49" s="380" t="str">
        <f t="shared" si="8"/>
        <v/>
      </c>
      <c r="BH49" s="379" t="str">
        <f t="shared" si="9"/>
        <v/>
      </c>
    </row>
    <row r="50" spans="1:60" x14ac:dyDescent="0.25">
      <c r="A50" s="364" t="b">
        <f t="shared" si="0"/>
        <v>0</v>
      </c>
      <c r="B50" s="364" t="str">
        <f t="shared" si="1"/>
        <v/>
      </c>
      <c r="C50" s="405" t="s">
        <v>733</v>
      </c>
      <c r="D50" s="404">
        <v>1</v>
      </c>
      <c r="E50" s="403"/>
      <c r="F50" s="402"/>
      <c r="G50" s="389"/>
      <c r="H50" s="401" t="s">
        <v>733</v>
      </c>
      <c r="I50" s="401" t="s">
        <v>733</v>
      </c>
      <c r="J50" s="401" t="s">
        <v>733</v>
      </c>
      <c r="K50" s="400"/>
      <c r="L50" s="399" t="s">
        <v>733</v>
      </c>
      <c r="M50" s="399" t="s">
        <v>733</v>
      </c>
      <c r="N50" s="390"/>
      <c r="O50" s="398" t="s">
        <v>733</v>
      </c>
      <c r="P50" s="398" t="s">
        <v>733</v>
      </c>
      <c r="Q50" s="397"/>
      <c r="R50" s="396">
        <v>0</v>
      </c>
      <c r="S50" s="395">
        <v>0</v>
      </c>
      <c r="T50" s="395">
        <v>0</v>
      </c>
      <c r="U50" s="395">
        <v>0</v>
      </c>
      <c r="V50" s="395">
        <v>0</v>
      </c>
      <c r="W50" s="395">
        <v>0</v>
      </c>
      <c r="X50" s="395">
        <v>0</v>
      </c>
      <c r="Y50" s="395">
        <v>0</v>
      </c>
      <c r="Z50" s="395">
        <v>0</v>
      </c>
      <c r="AA50" s="395">
        <v>0</v>
      </c>
      <c r="AB50" s="395">
        <v>0</v>
      </c>
      <c r="AC50" s="394">
        <v>0</v>
      </c>
      <c r="AD50" s="367"/>
      <c r="AE50" s="393">
        <f t="shared" si="2"/>
        <v>0</v>
      </c>
      <c r="AG50" s="390"/>
      <c r="AH50" s="392"/>
      <c r="AI50" s="391" t="s">
        <v>733</v>
      </c>
      <c r="AJ50" s="390"/>
      <c r="AK50" s="389"/>
      <c r="AL50" s="391"/>
      <c r="AM50" s="390"/>
      <c r="AN50" s="389"/>
      <c r="AO50" s="388"/>
      <c r="AP50" s="387" t="s">
        <v>319</v>
      </c>
      <c r="AQ50" s="386"/>
      <c r="AR50" s="385"/>
      <c r="AS50" s="384" t="str">
        <f t="shared" si="3"/>
        <v/>
      </c>
      <c r="AT50" s="384" t="str">
        <f>IFERROR(VLOOKUP($AS50,[26]TruckCenterReference!$C$23:$I72,3,FALSE), "")</f>
        <v/>
      </c>
      <c r="AU50" s="379" t="str">
        <f t="shared" si="4"/>
        <v/>
      </c>
      <c r="AV50" s="382"/>
      <c r="AW50" s="381" t="str">
        <f>IFERROR(VLOOKUP($AS50,[26]TruckCenterReference!$C$23:$I72,4,FALSE), "")</f>
        <v/>
      </c>
      <c r="AX50" s="379" t="str">
        <f t="shared" si="5"/>
        <v/>
      </c>
      <c r="AZ50" s="384" t="str">
        <f t="shared" si="6"/>
        <v/>
      </c>
      <c r="BA50" s="383" t="str">
        <f>IFERROR(VLOOKUP($AS50,[26]TruckCenterReference!$C$23:$I72,6,FALSE), "")</f>
        <v/>
      </c>
      <c r="BB50" s="379" t="str">
        <f t="shared" si="7"/>
        <v/>
      </c>
      <c r="BC50" s="382"/>
      <c r="BD50" s="381">
        <f>IFERROR(VLOOKUP($AS50,[26]TruckCenterReference!$C$23:$I72,7,FALSE), 0)</f>
        <v>0</v>
      </c>
      <c r="BE50" s="381">
        <f>IFERROR(VLOOKUP($AS50,[26]TruckCenterReference!$C$23:$K72,9,FALSE), 0)</f>
        <v>0</v>
      </c>
      <c r="BF50" s="381">
        <f>IFERROR(VLOOKUP($AS50,[26]TruckCenterReference!$C$23:$K72,8,FALSE), 0)</f>
        <v>0</v>
      </c>
      <c r="BG50" s="380" t="str">
        <f t="shared" si="8"/>
        <v/>
      </c>
      <c r="BH50" s="379" t="str">
        <f t="shared" si="9"/>
        <v/>
      </c>
    </row>
    <row r="51" spans="1:60" x14ac:dyDescent="0.25">
      <c r="A51" s="364" t="b">
        <f t="shared" si="0"/>
        <v>0</v>
      </c>
      <c r="B51" s="364" t="str">
        <f t="shared" si="1"/>
        <v/>
      </c>
      <c r="C51" s="405" t="s">
        <v>733</v>
      </c>
      <c r="D51" s="404">
        <v>1</v>
      </c>
      <c r="E51" s="403"/>
      <c r="F51" s="402"/>
      <c r="G51" s="389"/>
      <c r="H51" s="401" t="s">
        <v>733</v>
      </c>
      <c r="I51" s="401" t="s">
        <v>733</v>
      </c>
      <c r="J51" s="401" t="s">
        <v>733</v>
      </c>
      <c r="K51" s="400"/>
      <c r="L51" s="399" t="s">
        <v>733</v>
      </c>
      <c r="M51" s="399" t="s">
        <v>733</v>
      </c>
      <c r="N51" s="390"/>
      <c r="O51" s="398" t="s">
        <v>733</v>
      </c>
      <c r="P51" s="398" t="s">
        <v>733</v>
      </c>
      <c r="Q51" s="397"/>
      <c r="R51" s="396">
        <v>0</v>
      </c>
      <c r="S51" s="395">
        <v>0</v>
      </c>
      <c r="T51" s="395">
        <v>0</v>
      </c>
      <c r="U51" s="395">
        <v>0</v>
      </c>
      <c r="V51" s="395">
        <v>0</v>
      </c>
      <c r="W51" s="395">
        <v>0</v>
      </c>
      <c r="X51" s="395">
        <v>0</v>
      </c>
      <c r="Y51" s="395">
        <v>0</v>
      </c>
      <c r="Z51" s="395">
        <v>0</v>
      </c>
      <c r="AA51" s="395">
        <v>0</v>
      </c>
      <c r="AB51" s="395">
        <v>0</v>
      </c>
      <c r="AC51" s="394">
        <v>0</v>
      </c>
      <c r="AD51" s="367"/>
      <c r="AE51" s="393">
        <f t="shared" si="2"/>
        <v>0</v>
      </c>
      <c r="AG51" s="390"/>
      <c r="AH51" s="392"/>
      <c r="AI51" s="391" t="s">
        <v>733</v>
      </c>
      <c r="AJ51" s="390"/>
      <c r="AK51" s="389"/>
      <c r="AL51" s="391"/>
      <c r="AM51" s="390"/>
      <c r="AN51" s="389"/>
      <c r="AO51" s="388"/>
      <c r="AP51" s="387" t="s">
        <v>319</v>
      </c>
      <c r="AQ51" s="386"/>
      <c r="AR51" s="385"/>
      <c r="AS51" s="384" t="str">
        <f t="shared" si="3"/>
        <v/>
      </c>
      <c r="AT51" s="384" t="str">
        <f>IFERROR(VLOOKUP($AS51,[26]TruckCenterReference!$C$23:$I73,3,FALSE), "")</f>
        <v/>
      </c>
      <c r="AU51" s="379" t="str">
        <f t="shared" si="4"/>
        <v/>
      </c>
      <c r="AV51" s="382"/>
      <c r="AW51" s="381" t="str">
        <f>IFERROR(VLOOKUP($AS51,[26]TruckCenterReference!$C$23:$I73,4,FALSE), "")</f>
        <v/>
      </c>
      <c r="AX51" s="379" t="str">
        <f t="shared" si="5"/>
        <v/>
      </c>
      <c r="AZ51" s="384" t="str">
        <f t="shared" si="6"/>
        <v/>
      </c>
      <c r="BA51" s="383" t="str">
        <f>IFERROR(VLOOKUP($AS51,[26]TruckCenterReference!$C$23:$I73,6,FALSE), "")</f>
        <v/>
      </c>
      <c r="BB51" s="379" t="str">
        <f t="shared" si="7"/>
        <v/>
      </c>
      <c r="BC51" s="382"/>
      <c r="BD51" s="381">
        <f>IFERROR(VLOOKUP($AS51,[26]TruckCenterReference!$C$23:$I73,7,FALSE), 0)</f>
        <v>0</v>
      </c>
      <c r="BE51" s="381">
        <f>IFERROR(VLOOKUP($AS51,[26]TruckCenterReference!$C$23:$K73,9,FALSE), 0)</f>
        <v>0</v>
      </c>
      <c r="BF51" s="381">
        <f>IFERROR(VLOOKUP($AS51,[26]TruckCenterReference!$C$23:$K73,8,FALSE), 0)</f>
        <v>0</v>
      </c>
      <c r="BG51" s="380" t="str">
        <f t="shared" si="8"/>
        <v/>
      </c>
      <c r="BH51" s="379" t="str">
        <f t="shared" si="9"/>
        <v/>
      </c>
    </row>
    <row r="52" spans="1:60" x14ac:dyDescent="0.25">
      <c r="A52" s="364" t="b">
        <f t="shared" si="0"/>
        <v>0</v>
      </c>
      <c r="B52" s="364" t="str">
        <f t="shared" si="1"/>
        <v/>
      </c>
      <c r="C52" s="405" t="s">
        <v>733</v>
      </c>
      <c r="D52" s="404">
        <v>1</v>
      </c>
      <c r="E52" s="403"/>
      <c r="F52" s="402"/>
      <c r="G52" s="389"/>
      <c r="H52" s="401" t="s">
        <v>733</v>
      </c>
      <c r="I52" s="401" t="s">
        <v>733</v>
      </c>
      <c r="J52" s="401" t="s">
        <v>733</v>
      </c>
      <c r="K52" s="400"/>
      <c r="L52" s="399" t="s">
        <v>733</v>
      </c>
      <c r="M52" s="399" t="s">
        <v>733</v>
      </c>
      <c r="N52" s="390"/>
      <c r="O52" s="398" t="s">
        <v>733</v>
      </c>
      <c r="P52" s="398" t="s">
        <v>733</v>
      </c>
      <c r="Q52" s="397"/>
      <c r="R52" s="396">
        <v>0</v>
      </c>
      <c r="S52" s="395">
        <v>0</v>
      </c>
      <c r="T52" s="395">
        <v>0</v>
      </c>
      <c r="U52" s="395">
        <v>0</v>
      </c>
      <c r="V52" s="395">
        <v>0</v>
      </c>
      <c r="W52" s="395">
        <v>0</v>
      </c>
      <c r="X52" s="395">
        <v>0</v>
      </c>
      <c r="Y52" s="395">
        <v>0</v>
      </c>
      <c r="Z52" s="395">
        <v>0</v>
      </c>
      <c r="AA52" s="395">
        <v>0</v>
      </c>
      <c r="AB52" s="395">
        <v>0</v>
      </c>
      <c r="AC52" s="394">
        <v>0</v>
      </c>
      <c r="AD52" s="367"/>
      <c r="AE52" s="393">
        <f t="shared" si="2"/>
        <v>0</v>
      </c>
      <c r="AG52" s="390"/>
      <c r="AH52" s="392"/>
      <c r="AI52" s="391" t="s">
        <v>733</v>
      </c>
      <c r="AJ52" s="390"/>
      <c r="AK52" s="389"/>
      <c r="AL52" s="391"/>
      <c r="AM52" s="390"/>
      <c r="AN52" s="389"/>
      <c r="AO52" s="388"/>
      <c r="AP52" s="387" t="s">
        <v>319</v>
      </c>
      <c r="AQ52" s="386"/>
      <c r="AR52" s="385"/>
      <c r="AS52" s="384" t="str">
        <f t="shared" si="3"/>
        <v/>
      </c>
      <c r="AT52" s="384" t="str">
        <f>IFERROR(VLOOKUP($AS52,[26]TruckCenterReference!$C$23:$I74,3,FALSE), "")</f>
        <v/>
      </c>
      <c r="AU52" s="379" t="str">
        <f t="shared" si="4"/>
        <v/>
      </c>
      <c r="AV52" s="382"/>
      <c r="AW52" s="381" t="str">
        <f>IFERROR(VLOOKUP($AS52,[26]TruckCenterReference!$C$23:$I74,4,FALSE), "")</f>
        <v/>
      </c>
      <c r="AX52" s="379" t="str">
        <f t="shared" si="5"/>
        <v/>
      </c>
      <c r="AZ52" s="384" t="str">
        <f t="shared" si="6"/>
        <v/>
      </c>
      <c r="BA52" s="383" t="str">
        <f>IFERROR(VLOOKUP($AS52,[26]TruckCenterReference!$C$23:$I74,6,FALSE), "")</f>
        <v/>
      </c>
      <c r="BB52" s="379" t="str">
        <f t="shared" si="7"/>
        <v/>
      </c>
      <c r="BC52" s="382"/>
      <c r="BD52" s="381">
        <f>IFERROR(VLOOKUP($AS52,[26]TruckCenterReference!$C$23:$I74,7,FALSE), 0)</f>
        <v>0</v>
      </c>
      <c r="BE52" s="381">
        <f>IFERROR(VLOOKUP($AS52,[26]TruckCenterReference!$C$23:$K74,9,FALSE), 0)</f>
        <v>0</v>
      </c>
      <c r="BF52" s="381">
        <f>IFERROR(VLOOKUP($AS52,[26]TruckCenterReference!$C$23:$K74,8,FALSE), 0)</f>
        <v>0</v>
      </c>
      <c r="BG52" s="380" t="str">
        <f t="shared" si="8"/>
        <v/>
      </c>
      <c r="BH52" s="379" t="str">
        <f t="shared" si="9"/>
        <v/>
      </c>
    </row>
    <row r="53" spans="1:60" x14ac:dyDescent="0.25">
      <c r="A53" s="364" t="b">
        <f t="shared" si="0"/>
        <v>0</v>
      </c>
      <c r="B53" s="364" t="str">
        <f t="shared" si="1"/>
        <v/>
      </c>
      <c r="C53" s="405" t="s">
        <v>733</v>
      </c>
      <c r="D53" s="404">
        <v>1</v>
      </c>
      <c r="E53" s="403"/>
      <c r="F53" s="402"/>
      <c r="G53" s="389"/>
      <c r="H53" s="401" t="s">
        <v>733</v>
      </c>
      <c r="I53" s="401" t="s">
        <v>733</v>
      </c>
      <c r="J53" s="401" t="s">
        <v>733</v>
      </c>
      <c r="K53" s="400"/>
      <c r="L53" s="399" t="s">
        <v>733</v>
      </c>
      <c r="M53" s="399" t="s">
        <v>733</v>
      </c>
      <c r="N53" s="390"/>
      <c r="O53" s="398" t="s">
        <v>733</v>
      </c>
      <c r="P53" s="398" t="s">
        <v>733</v>
      </c>
      <c r="Q53" s="397"/>
      <c r="R53" s="396">
        <v>0</v>
      </c>
      <c r="S53" s="395">
        <v>0</v>
      </c>
      <c r="T53" s="395">
        <v>0</v>
      </c>
      <c r="U53" s="395">
        <v>0</v>
      </c>
      <c r="V53" s="395">
        <v>0</v>
      </c>
      <c r="W53" s="395">
        <v>0</v>
      </c>
      <c r="X53" s="395">
        <v>0</v>
      </c>
      <c r="Y53" s="395">
        <v>0</v>
      </c>
      <c r="Z53" s="395">
        <v>0</v>
      </c>
      <c r="AA53" s="395">
        <v>0</v>
      </c>
      <c r="AB53" s="395">
        <v>0</v>
      </c>
      <c r="AC53" s="394">
        <v>0</v>
      </c>
      <c r="AD53" s="367"/>
      <c r="AE53" s="393">
        <f t="shared" si="2"/>
        <v>0</v>
      </c>
      <c r="AG53" s="390"/>
      <c r="AH53" s="392"/>
      <c r="AI53" s="391" t="s">
        <v>733</v>
      </c>
      <c r="AJ53" s="390"/>
      <c r="AK53" s="389"/>
      <c r="AL53" s="391"/>
      <c r="AM53" s="390"/>
      <c r="AN53" s="389"/>
      <c r="AO53" s="388"/>
      <c r="AP53" s="387" t="s">
        <v>319</v>
      </c>
      <c r="AQ53" s="386"/>
      <c r="AR53" s="385"/>
      <c r="AS53" s="384" t="str">
        <f t="shared" si="3"/>
        <v/>
      </c>
      <c r="AT53" s="384" t="str">
        <f>IFERROR(VLOOKUP($AS53,[26]TruckCenterReference!$C$23:$I75,3,FALSE), "")</f>
        <v/>
      </c>
      <c r="AU53" s="379" t="str">
        <f t="shared" si="4"/>
        <v/>
      </c>
      <c r="AV53" s="382"/>
      <c r="AW53" s="381" t="str">
        <f>IFERROR(VLOOKUP($AS53,[26]TruckCenterReference!$C$23:$I75,4,FALSE), "")</f>
        <v/>
      </c>
      <c r="AX53" s="379" t="str">
        <f t="shared" si="5"/>
        <v/>
      </c>
      <c r="AZ53" s="384" t="str">
        <f t="shared" si="6"/>
        <v/>
      </c>
      <c r="BA53" s="383" t="str">
        <f>IFERROR(VLOOKUP($AS53,[26]TruckCenterReference!$C$23:$I75,6,FALSE), "")</f>
        <v/>
      </c>
      <c r="BB53" s="379" t="str">
        <f t="shared" si="7"/>
        <v/>
      </c>
      <c r="BC53" s="382"/>
      <c r="BD53" s="381">
        <f>IFERROR(VLOOKUP($AS53,[26]TruckCenterReference!$C$23:$I75,7,FALSE), 0)</f>
        <v>0</v>
      </c>
      <c r="BE53" s="381">
        <f>IFERROR(VLOOKUP($AS53,[26]TruckCenterReference!$C$23:$K75,9,FALSE), 0)</f>
        <v>0</v>
      </c>
      <c r="BF53" s="381">
        <f>IFERROR(VLOOKUP($AS53,[26]TruckCenterReference!$C$23:$K75,8,FALSE), 0)</f>
        <v>0</v>
      </c>
      <c r="BG53" s="380" t="str">
        <f t="shared" si="8"/>
        <v/>
      </c>
      <c r="BH53" s="379" t="str">
        <f t="shared" si="9"/>
        <v/>
      </c>
    </row>
    <row r="54" spans="1:60" x14ac:dyDescent="0.25">
      <c r="A54" s="364" t="b">
        <f t="shared" si="0"/>
        <v>0</v>
      </c>
      <c r="B54" s="364" t="str">
        <f t="shared" si="1"/>
        <v/>
      </c>
      <c r="C54" s="405" t="s">
        <v>733</v>
      </c>
      <c r="D54" s="404">
        <v>1</v>
      </c>
      <c r="E54" s="403"/>
      <c r="F54" s="402"/>
      <c r="G54" s="389"/>
      <c r="H54" s="401" t="s">
        <v>733</v>
      </c>
      <c r="I54" s="401" t="s">
        <v>733</v>
      </c>
      <c r="J54" s="401" t="s">
        <v>733</v>
      </c>
      <c r="K54" s="400"/>
      <c r="L54" s="399" t="s">
        <v>733</v>
      </c>
      <c r="M54" s="399" t="s">
        <v>733</v>
      </c>
      <c r="N54" s="390"/>
      <c r="O54" s="398" t="s">
        <v>733</v>
      </c>
      <c r="P54" s="398" t="s">
        <v>733</v>
      </c>
      <c r="Q54" s="397"/>
      <c r="R54" s="396">
        <v>0</v>
      </c>
      <c r="S54" s="395">
        <v>0</v>
      </c>
      <c r="T54" s="395">
        <v>0</v>
      </c>
      <c r="U54" s="395">
        <v>0</v>
      </c>
      <c r="V54" s="395">
        <v>0</v>
      </c>
      <c r="W54" s="395">
        <v>0</v>
      </c>
      <c r="X54" s="395">
        <v>0</v>
      </c>
      <c r="Y54" s="395">
        <v>0</v>
      </c>
      <c r="Z54" s="395">
        <v>0</v>
      </c>
      <c r="AA54" s="395">
        <v>0</v>
      </c>
      <c r="AB54" s="395">
        <v>0</v>
      </c>
      <c r="AC54" s="394">
        <v>0</v>
      </c>
      <c r="AD54" s="367"/>
      <c r="AE54" s="393">
        <f t="shared" si="2"/>
        <v>0</v>
      </c>
      <c r="AG54" s="390"/>
      <c r="AH54" s="392"/>
      <c r="AI54" s="391" t="s">
        <v>733</v>
      </c>
      <c r="AJ54" s="390"/>
      <c r="AK54" s="389"/>
      <c r="AL54" s="391"/>
      <c r="AM54" s="390"/>
      <c r="AN54" s="389"/>
      <c r="AO54" s="388"/>
      <c r="AP54" s="387" t="s">
        <v>319</v>
      </c>
      <c r="AQ54" s="386"/>
      <c r="AR54" s="385"/>
      <c r="AS54" s="384" t="str">
        <f t="shared" si="3"/>
        <v/>
      </c>
      <c r="AT54" s="384" t="str">
        <f>IFERROR(VLOOKUP($AS54,[26]TruckCenterReference!$C$23:$I76,3,FALSE), "")</f>
        <v/>
      </c>
      <c r="AU54" s="379" t="str">
        <f t="shared" si="4"/>
        <v/>
      </c>
      <c r="AV54" s="382"/>
      <c r="AW54" s="381" t="str">
        <f>IFERROR(VLOOKUP($AS54,[26]TruckCenterReference!$C$23:$I76,4,FALSE), "")</f>
        <v/>
      </c>
      <c r="AX54" s="379" t="str">
        <f t="shared" si="5"/>
        <v/>
      </c>
      <c r="AZ54" s="384" t="str">
        <f t="shared" si="6"/>
        <v/>
      </c>
      <c r="BA54" s="383" t="str">
        <f>IFERROR(VLOOKUP($AS54,[26]TruckCenterReference!$C$23:$I76,6,FALSE), "")</f>
        <v/>
      </c>
      <c r="BB54" s="379" t="str">
        <f t="shared" si="7"/>
        <v/>
      </c>
      <c r="BC54" s="382"/>
      <c r="BD54" s="381">
        <f>IFERROR(VLOOKUP($AS54,[26]TruckCenterReference!$C$23:$I76,7,FALSE), 0)</f>
        <v>0</v>
      </c>
      <c r="BE54" s="381">
        <f>IFERROR(VLOOKUP($AS54,[26]TruckCenterReference!$C$23:$K76,9,FALSE), 0)</f>
        <v>0</v>
      </c>
      <c r="BF54" s="381">
        <f>IFERROR(VLOOKUP($AS54,[26]TruckCenterReference!$C$23:$K76,8,FALSE), 0)</f>
        <v>0</v>
      </c>
      <c r="BG54" s="380" t="str">
        <f t="shared" si="8"/>
        <v/>
      </c>
      <c r="BH54" s="379" t="str">
        <f t="shared" si="9"/>
        <v/>
      </c>
    </row>
    <row r="55" spans="1:60" x14ac:dyDescent="0.25">
      <c r="E55" s="378" t="s">
        <v>1315</v>
      </c>
      <c r="F55" s="377"/>
      <c r="G55" s="376"/>
      <c r="H55" s="370"/>
      <c r="I55" s="370"/>
      <c r="J55" s="370"/>
      <c r="K55" s="370"/>
      <c r="L55" s="370"/>
      <c r="M55" s="370"/>
      <c r="N55" s="367"/>
      <c r="O55" s="367"/>
      <c r="P55" s="367"/>
      <c r="Q55" s="367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7"/>
      <c r="AE55" s="375"/>
      <c r="AG55" s="367"/>
      <c r="AH55" s="367"/>
      <c r="AI55" s="367"/>
      <c r="AJ55" s="367"/>
      <c r="AK55" s="367"/>
      <c r="AL55" s="367"/>
      <c r="AO55" s="367"/>
    </row>
    <row r="56" spans="1:60" ht="15.75" thickBot="1" x14ac:dyDescent="0.3">
      <c r="P56" s="374"/>
      <c r="Q56" s="373" t="s">
        <v>1314</v>
      </c>
      <c r="R56" s="371">
        <f t="shared" ref="R56:AC56" si="10">SUM(R29:R55)</f>
        <v>45354</v>
      </c>
      <c r="S56" s="371">
        <f t="shared" si="10"/>
        <v>753804</v>
      </c>
      <c r="T56" s="371">
        <f t="shared" si="10"/>
        <v>164433</v>
      </c>
      <c r="U56" s="371">
        <f t="shared" si="10"/>
        <v>100924</v>
      </c>
      <c r="V56" s="371">
        <f t="shared" si="10"/>
        <v>477394</v>
      </c>
      <c r="W56" s="371">
        <f t="shared" si="10"/>
        <v>106670</v>
      </c>
      <c r="X56" s="371">
        <f t="shared" si="10"/>
        <v>30373</v>
      </c>
      <c r="Y56" s="371">
        <f t="shared" si="10"/>
        <v>139433</v>
      </c>
      <c r="Z56" s="371">
        <f t="shared" si="10"/>
        <v>88850</v>
      </c>
      <c r="AA56" s="371">
        <f t="shared" si="10"/>
        <v>55485</v>
      </c>
      <c r="AB56" s="371">
        <f t="shared" si="10"/>
        <v>66548</v>
      </c>
      <c r="AC56" s="371">
        <f t="shared" si="10"/>
        <v>89233</v>
      </c>
      <c r="AD56" s="372"/>
      <c r="AE56" s="371">
        <f>SUM(AE29:AE55)</f>
        <v>2118501</v>
      </c>
      <c r="AG56" s="367"/>
      <c r="AH56" s="367"/>
      <c r="AI56" s="367"/>
      <c r="AJ56" s="367"/>
      <c r="AK56" s="367"/>
      <c r="AL56" s="367"/>
      <c r="AO56" s="367"/>
    </row>
    <row r="57" spans="1:60" ht="15.75" thickTop="1" x14ac:dyDescent="0.25">
      <c r="E57" s="370"/>
      <c r="F57" s="370"/>
      <c r="G57" s="370"/>
      <c r="H57" s="370"/>
      <c r="I57" s="370"/>
      <c r="J57" s="370"/>
      <c r="K57" s="370"/>
      <c r="L57" s="370"/>
      <c r="M57" s="370"/>
      <c r="N57" s="367"/>
      <c r="O57" s="367"/>
      <c r="P57" s="367"/>
      <c r="Q57" s="367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7"/>
      <c r="AE57" s="368"/>
      <c r="AG57" s="367"/>
      <c r="AH57" s="367"/>
      <c r="AI57" s="367"/>
      <c r="AJ57" s="367"/>
      <c r="AK57" s="367"/>
      <c r="AL57" s="367"/>
      <c r="AO57" s="367"/>
    </row>
    <row r="58" spans="1:60" x14ac:dyDescent="0.25">
      <c r="AD58" s="367"/>
    </row>
    <row r="59" spans="1:60" x14ac:dyDescent="0.25">
      <c r="AE59" s="366"/>
    </row>
    <row r="61" spans="1:60" x14ac:dyDescent="0.25">
      <c r="V61" s="365"/>
    </row>
    <row r="64" spans="1:60" x14ac:dyDescent="0.25">
      <c r="L64" s="365"/>
      <c r="M64" s="365"/>
      <c r="AE64" s="495" t="s">
        <v>1538</v>
      </c>
      <c r="AF64" s="496" t="s">
        <v>285</v>
      </c>
      <c r="AG64" s="496" t="s">
        <v>1229</v>
      </c>
      <c r="AH64" s="496" t="s">
        <v>1298</v>
      </c>
      <c r="AI64" s="496" t="s">
        <v>1539</v>
      </c>
      <c r="AJ64" s="496"/>
      <c r="AK64" s="496" t="s">
        <v>1540</v>
      </c>
    </row>
    <row r="66" spans="12:38" x14ac:dyDescent="0.25">
      <c r="AE66" s="497" t="s">
        <v>742</v>
      </c>
      <c r="AF66" s="498">
        <f>+SUMIF($AN$30:$AN$54,AE66,$AE$30:$AE$54)</f>
        <v>404654</v>
      </c>
      <c r="AG66" s="364">
        <v>10</v>
      </c>
      <c r="AH66" s="501">
        <f>+AF66/AG66</f>
        <v>40465.4</v>
      </c>
      <c r="AI66" s="501">
        <f>+AH66</f>
        <v>40465.4</v>
      </c>
      <c r="AJ66" s="498"/>
      <c r="AK66" s="498">
        <f>+AF66-AI66</f>
        <v>364188.6</v>
      </c>
    </row>
    <row r="67" spans="12:38" x14ac:dyDescent="0.25">
      <c r="AE67" s="497" t="s">
        <v>743</v>
      </c>
      <c r="AF67" s="498">
        <f>+SUMIF($AN$30:$AN$54,AE67,$AE$30:$AE$54)</f>
        <v>0</v>
      </c>
      <c r="AG67" s="364">
        <v>10</v>
      </c>
      <c r="AH67" s="501">
        <f>+AF67/AG67</f>
        <v>0</v>
      </c>
      <c r="AI67" s="501">
        <f>+AH67</f>
        <v>0</v>
      </c>
      <c r="AJ67" s="498"/>
      <c r="AK67" s="498">
        <f>+AF67-AI67</f>
        <v>0</v>
      </c>
    </row>
    <row r="68" spans="12:38" x14ac:dyDescent="0.25">
      <c r="AE68" s="524" t="s">
        <v>1547</v>
      </c>
      <c r="AF68" s="498">
        <f>+SUMIF($AN$30:$AN$54,AE68,$AE$30:$AE$54)</f>
        <v>300882</v>
      </c>
      <c r="AG68" s="364">
        <v>10</v>
      </c>
      <c r="AH68" s="501">
        <f>+AF68/AG68</f>
        <v>30088.2</v>
      </c>
      <c r="AI68" s="501">
        <f>+AH68</f>
        <v>30088.2</v>
      </c>
      <c r="AJ68" s="498"/>
      <c r="AK68" s="498">
        <f>+AF68-AI68</f>
        <v>270793.8</v>
      </c>
    </row>
    <row r="69" spans="12:38" x14ac:dyDescent="0.25">
      <c r="AE69" s="497" t="s">
        <v>741</v>
      </c>
      <c r="AF69" s="498">
        <f t="shared" ref="AF69:AF71" si="11">+SUMIF($AN$30:$AN$54,AE69,$AE$30:$AE$54)</f>
        <v>356287</v>
      </c>
      <c r="AG69" s="364">
        <v>10</v>
      </c>
      <c r="AH69" s="501">
        <f t="shared" ref="AH69:AH70" si="12">+AF69/AG69</f>
        <v>35628.699999999997</v>
      </c>
      <c r="AI69" s="501">
        <f t="shared" ref="AI69:AI72" si="13">+AH69</f>
        <v>35628.699999999997</v>
      </c>
      <c r="AJ69" s="498"/>
      <c r="AK69" s="498">
        <f t="shared" ref="AK69:AK71" si="14">+AF69-AI69</f>
        <v>320658.3</v>
      </c>
    </row>
    <row r="70" spans="12:38" x14ac:dyDescent="0.25">
      <c r="AE70" s="504" t="s">
        <v>1336</v>
      </c>
      <c r="AF70" s="498">
        <f>+AF75</f>
        <v>119023.45108944086</v>
      </c>
      <c r="AG70" s="364">
        <v>10</v>
      </c>
      <c r="AH70" s="501">
        <f t="shared" si="12"/>
        <v>11902.345108944086</v>
      </c>
      <c r="AI70" s="501">
        <f t="shared" si="13"/>
        <v>11902.345108944086</v>
      </c>
      <c r="AJ70" s="498"/>
      <c r="AK70" s="498">
        <f t="shared" si="14"/>
        <v>107121.10598049677</v>
      </c>
      <c r="AL70" s="520" t="s">
        <v>1550</v>
      </c>
    </row>
    <row r="71" spans="12:38" x14ac:dyDescent="0.25">
      <c r="AE71" s="493" t="s">
        <v>295</v>
      </c>
      <c r="AF71" s="500">
        <f t="shared" si="11"/>
        <v>903678</v>
      </c>
      <c r="AG71" s="499">
        <v>12</v>
      </c>
      <c r="AH71" s="500">
        <f>+AF71/AG71</f>
        <v>75306.5</v>
      </c>
      <c r="AI71" s="500">
        <f t="shared" si="13"/>
        <v>75306.5</v>
      </c>
      <c r="AJ71" s="500"/>
      <c r="AK71" s="500">
        <f t="shared" si="14"/>
        <v>828371.5</v>
      </c>
    </row>
    <row r="72" spans="12:38" x14ac:dyDescent="0.25">
      <c r="AF72" s="534">
        <f>SUM(AF66:AF71)</f>
        <v>2084524.4510894408</v>
      </c>
      <c r="AH72" s="501">
        <f>SUM(AH66:AH71)</f>
        <v>193391.1451089441</v>
      </c>
      <c r="AI72" s="501">
        <f t="shared" si="13"/>
        <v>193391.1451089441</v>
      </c>
      <c r="AJ72" s="501"/>
      <c r="AK72" s="501">
        <f>+AF72-AI72</f>
        <v>1891133.3059804968</v>
      </c>
    </row>
    <row r="73" spans="12:38" x14ac:dyDescent="0.25">
      <c r="AF73" s="534"/>
      <c r="AH73" s="501"/>
      <c r="AI73" s="501"/>
      <c r="AJ73" s="501"/>
      <c r="AK73" s="501"/>
    </row>
    <row r="74" spans="12:38" x14ac:dyDescent="0.25">
      <c r="AE74" s="504" t="s">
        <v>1336</v>
      </c>
      <c r="AF74" s="535">
        <f t="shared" ref="AF74" si="15">+SUMIF($AN$30:$AN$54,AE74,$AE$30:$AE$54)</f>
        <v>153000</v>
      </c>
      <c r="AG74" s="536">
        <v>10</v>
      </c>
      <c r="AH74" s="537">
        <f t="shared" ref="AH74" si="16">+AF74/AG74</f>
        <v>15300</v>
      </c>
      <c r="AI74" s="537">
        <f t="shared" ref="AI74" si="17">+AH74</f>
        <v>15300</v>
      </c>
      <c r="AJ74" s="535"/>
      <c r="AK74" s="535">
        <f t="shared" ref="AK74" si="18">+AF74-AI74</f>
        <v>137700</v>
      </c>
    </row>
    <row r="75" spans="12:38" x14ac:dyDescent="0.25">
      <c r="AE75" s="364">
        <v>2032</v>
      </c>
      <c r="AF75" s="538">
        <f>+AF74*'Land Alloc'!$M$26</f>
        <v>119023.45108944086</v>
      </c>
      <c r="AG75" s="538">
        <v>10</v>
      </c>
      <c r="AH75" s="538">
        <f t="shared" ref="AH75" si="19">+AF75/AG75</f>
        <v>11902.345108944086</v>
      </c>
      <c r="AI75" s="538">
        <f t="shared" ref="AI75" si="20">+AH75</f>
        <v>11902.345108944086</v>
      </c>
      <c r="AJ75" s="539"/>
      <c r="AK75" s="539">
        <f t="shared" ref="AK75" si="21">+AF75-AI75</f>
        <v>107121.10598049677</v>
      </c>
    </row>
    <row r="76" spans="12:38" x14ac:dyDescent="0.25">
      <c r="L76" s="365"/>
      <c r="M76" s="365"/>
      <c r="AE76" s="364">
        <v>2031</v>
      </c>
      <c r="AF76" s="538">
        <f>+AF74*'Land Alloc'!$N$26</f>
        <v>33976.548910559148</v>
      </c>
      <c r="AG76" s="538">
        <v>10</v>
      </c>
      <c r="AH76" s="538">
        <f t="shared" ref="AH76" si="22">+AF76/AG76</f>
        <v>3397.654891055915</v>
      </c>
      <c r="AI76" s="538">
        <f t="shared" ref="AI76" si="23">+AH76</f>
        <v>3397.654891055915</v>
      </c>
      <c r="AJ76" s="539"/>
      <c r="AK76" s="539">
        <f t="shared" ref="AK76" si="24">+AF76-AI76</f>
        <v>30578.894019503234</v>
      </c>
    </row>
    <row r="77" spans="12:38" x14ac:dyDescent="0.25">
      <c r="AE77" s="493" t="s">
        <v>650</v>
      </c>
      <c r="AF77" s="366">
        <f>+AF72+AF76-AE56</f>
        <v>0</v>
      </c>
    </row>
    <row r="79" spans="12:38" x14ac:dyDescent="0.25">
      <c r="AH79" s="72"/>
    </row>
    <row r="80" spans="12:38" x14ac:dyDescent="0.25">
      <c r="AH80" s="33"/>
    </row>
    <row r="81" spans="34:34" x14ac:dyDescent="0.25">
      <c r="AH81" s="104"/>
    </row>
    <row r="82" spans="34:34" x14ac:dyDescent="0.25">
      <c r="AH82" s="33"/>
    </row>
    <row r="83" spans="34:34" x14ac:dyDescent="0.25">
      <c r="AH83" s="33"/>
    </row>
    <row r="84" spans="34:34" x14ac:dyDescent="0.25">
      <c r="AH84" s="33"/>
    </row>
    <row r="85" spans="34:34" x14ac:dyDescent="0.25">
      <c r="AH85" s="33"/>
    </row>
    <row r="86" spans="34:34" x14ac:dyDescent="0.25">
      <c r="AH86" s="33"/>
    </row>
    <row r="87" spans="34:34" x14ac:dyDescent="0.25">
      <c r="AH87" s="33"/>
    </row>
    <row r="88" spans="34:34" x14ac:dyDescent="0.25">
      <c r="AH88" s="33"/>
    </row>
    <row r="89" spans="34:34" x14ac:dyDescent="0.25">
      <c r="AH89" s="33"/>
    </row>
    <row r="90" spans="34:34" x14ac:dyDescent="0.25">
      <c r="AH90" s="33"/>
    </row>
    <row r="91" spans="34:34" x14ac:dyDescent="0.25">
      <c r="AH91" s="33"/>
    </row>
    <row r="92" spans="34:34" x14ac:dyDescent="0.25">
      <c r="AH92" s="33"/>
    </row>
    <row r="93" spans="34:34" x14ac:dyDescent="0.25">
      <c r="AH93" s="33"/>
    </row>
    <row r="94" spans="34:34" x14ac:dyDescent="0.25">
      <c r="AH94" s="72"/>
    </row>
    <row r="95" spans="34:34" x14ac:dyDescent="0.25">
      <c r="AH95" s="33"/>
    </row>
    <row r="96" spans="34:34" x14ac:dyDescent="0.25">
      <c r="AH96" s="33"/>
    </row>
    <row r="97" spans="34:34" x14ac:dyDescent="0.25">
      <c r="AH97" s="33"/>
    </row>
    <row r="98" spans="34:34" x14ac:dyDescent="0.25">
      <c r="AH98" s="33"/>
    </row>
    <row r="99" spans="34:34" x14ac:dyDescent="0.25">
      <c r="AH99" s="33"/>
    </row>
    <row r="100" spans="34:34" x14ac:dyDescent="0.25">
      <c r="AH100" s="33"/>
    </row>
    <row r="101" spans="34:34" x14ac:dyDescent="0.25">
      <c r="AH101" s="33"/>
    </row>
    <row r="102" spans="34:34" x14ac:dyDescent="0.25">
      <c r="AH102" s="33"/>
    </row>
    <row r="103" spans="34:34" x14ac:dyDescent="0.25">
      <c r="AH103" s="33"/>
    </row>
    <row r="104" spans="34:34" x14ac:dyDescent="0.25">
      <c r="AH104" s="33"/>
    </row>
    <row r="105" spans="34:34" x14ac:dyDescent="0.25">
      <c r="AH105" s="33"/>
    </row>
    <row r="106" spans="34:34" x14ac:dyDescent="0.25">
      <c r="AH106" s="33"/>
    </row>
  </sheetData>
  <conditionalFormatting sqref="BB6">
    <cfRule type="cellIs" dxfId="9" priority="10" operator="equal">
      <formula>"Fix!"</formula>
    </cfRule>
  </conditionalFormatting>
  <conditionalFormatting sqref="BH6">
    <cfRule type="cellIs" dxfId="8" priority="8" operator="equal">
      <formula>"Review"</formula>
    </cfRule>
    <cfRule type="cellIs" dxfId="7" priority="9" operator="equal">
      <formula>"Fix!"</formula>
    </cfRule>
  </conditionalFormatting>
  <conditionalFormatting sqref="AU6">
    <cfRule type="cellIs" dxfId="6" priority="7" operator="equal">
      <formula>"Review"</formula>
    </cfRule>
  </conditionalFormatting>
  <conditionalFormatting sqref="AX6">
    <cfRule type="cellIs" dxfId="5" priority="6" operator="equal">
      <formula>"Fix!"</formula>
    </cfRule>
  </conditionalFormatting>
  <conditionalFormatting sqref="BB30:BB54">
    <cfRule type="cellIs" dxfId="4" priority="5" operator="equal">
      <formula>"Fix!"</formula>
    </cfRule>
  </conditionalFormatting>
  <conditionalFormatting sqref="BH30:BH54">
    <cfRule type="cellIs" dxfId="3" priority="3" operator="equal">
      <formula>"Review"</formula>
    </cfRule>
    <cfRule type="cellIs" dxfId="2" priority="4" operator="equal">
      <formula>"Fix!"</formula>
    </cfRule>
  </conditionalFormatting>
  <conditionalFormatting sqref="AU30:AU54">
    <cfRule type="cellIs" dxfId="1" priority="2" operator="equal">
      <formula>"Review"</formula>
    </cfRule>
  </conditionalFormatting>
  <conditionalFormatting sqref="AX30:AX54">
    <cfRule type="cellIs" dxfId="0" priority="1" operator="equal">
      <formula>"Fix!"</formula>
    </cfRule>
  </conditionalFormatting>
  <dataValidations disablePrompts="1" count="5">
    <dataValidation type="list" allowBlank="1" showInputMessage="1" showErrorMessage="1" sqref="Q30:Q54" xr:uid="{EEF50E24-56A0-4718-822D-A9B01A3A85BB}">
      <formula1>",,12397,16656,17108"</formula1>
    </dataValidation>
    <dataValidation type="list" allowBlank="1" showInputMessage="1" showErrorMessage="1" sqref="I15" xr:uid="{00000000-0002-0000-0100-000003000000}">
      <formula1>H19</formula1>
    </dataValidation>
    <dataValidation type="list" allowBlank="1" showInputMessage="1" showErrorMessage="1" sqref="P6 P30:P54" xr:uid="{00000000-0002-0000-0100-000002000000}">
      <formula1>"N,U"</formula1>
    </dataValidation>
    <dataValidation type="list" allowBlank="1" showInputMessage="1" showErrorMessage="1" sqref="O6 O30:O54" xr:uid="{00000000-0002-0000-0100-000001000000}">
      <formula1>"A,R"</formula1>
    </dataValidation>
    <dataValidation type="list" allowBlank="1" showInputMessage="1" showErrorMessage="1" sqref="E6 E30:E54" xr:uid="{00000000-0002-0000-0100-000000000000}">
      <formula1>"Delete!"</formula1>
    </dataValidation>
  </dataValidations>
  <pageMargins left="0.25" right="0.25" top="0.75" bottom="0.75" header="0.3" footer="0.3"/>
  <pageSetup scale="60" fitToHeight="0" pageOrder="overThenDown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B4BD-44B4-48B5-8F9C-376533FBA554}">
  <sheetPr codeName="Sheet1"/>
  <dimension ref="A1:DY280"/>
  <sheetViews>
    <sheetView showGridLines="0" view="pageBreakPreview" topLeftCell="A5" zoomScale="60" zoomScaleNormal="100" workbookViewId="0">
      <pane ySplit="9" topLeftCell="A14" activePane="bottomLeft" state="frozen"/>
      <selection activeCell="M65" sqref="M65"/>
      <selection pane="bottomLeft" activeCell="AR45" sqref="AR45"/>
    </sheetView>
  </sheetViews>
  <sheetFormatPr defaultColWidth="9.33203125" defaultRowHeight="15" outlineLevelCol="1" x14ac:dyDescent="0.25"/>
  <cols>
    <col min="1" max="1" width="4.1640625" style="364" customWidth="1"/>
    <col min="2" max="4" width="9.33203125" style="364"/>
    <col min="5" max="5" width="44.83203125" style="364" customWidth="1"/>
    <col min="6" max="6" width="11.6640625" style="364" customWidth="1"/>
    <col min="7" max="7" width="3.5" style="364" customWidth="1"/>
    <col min="8" max="8" width="24.6640625" style="364" customWidth="1"/>
    <col min="9" max="9" width="12.33203125" style="364" customWidth="1"/>
    <col min="10" max="10" width="9.33203125" style="364" customWidth="1"/>
    <col min="11" max="11" width="18" style="364" customWidth="1" outlineLevel="1"/>
    <col min="12" max="12" width="9.33203125" style="364" customWidth="1" outlineLevel="1"/>
    <col min="13" max="13" width="23.6640625" style="364" customWidth="1" outlineLevel="1"/>
    <col min="14" max="14" width="16.1640625" style="364" bestFit="1" customWidth="1"/>
    <col min="15" max="15" width="20" style="364" bestFit="1" customWidth="1"/>
    <col min="16" max="16" width="22.33203125" style="364" customWidth="1"/>
    <col min="17" max="18" width="9.33203125" style="364" customWidth="1"/>
    <col min="19" max="19" width="18" style="364" customWidth="1"/>
    <col min="20" max="20" width="9.33203125" style="364" hidden="1" customWidth="1" outlineLevel="1"/>
    <col min="21" max="22" width="16.83203125" style="364" hidden="1" customWidth="1" outlineLevel="1"/>
    <col min="23" max="23" width="11.6640625" style="460" hidden="1" customWidth="1" outlineLevel="1"/>
    <col min="24" max="24" width="9.33203125" style="364" hidden="1" customWidth="1" outlineLevel="1"/>
    <col min="25" max="25" width="15.1640625" style="364" hidden="1" customWidth="1" outlineLevel="1"/>
    <col min="26" max="36" width="9.33203125" style="364" hidden="1" customWidth="1" outlineLevel="1"/>
    <col min="37" max="37" width="28.1640625" style="364" customWidth="1" collapsed="1"/>
    <col min="38" max="38" width="25.6640625" style="364" bestFit="1" customWidth="1"/>
    <col min="39" max="42" width="9.33203125" style="364"/>
    <col min="43" max="43" width="13.5" style="364" bestFit="1" customWidth="1"/>
    <col min="44" max="45" width="14.6640625" style="364" bestFit="1" customWidth="1"/>
    <col min="46" max="48" width="16" style="364" bestFit="1" customWidth="1"/>
    <col min="49" max="16384" width="9.33203125" style="364"/>
  </cols>
  <sheetData>
    <row r="1" spans="1:49" x14ac:dyDescent="0.25">
      <c r="B1" s="364" t="s">
        <v>1291</v>
      </c>
      <c r="C1" s="364" t="s">
        <v>1290</v>
      </c>
      <c r="D1" s="364" t="s">
        <v>1289</v>
      </c>
      <c r="E1" s="364" t="s">
        <v>1288</v>
      </c>
      <c r="F1" s="364" t="s">
        <v>1287</v>
      </c>
      <c r="H1" s="364" t="s">
        <v>1286</v>
      </c>
      <c r="I1" s="364" t="s">
        <v>1285</v>
      </c>
      <c r="J1" s="364" t="s">
        <v>1284</v>
      </c>
      <c r="K1" s="364" t="s">
        <v>1283</v>
      </c>
      <c r="L1" s="364" t="s">
        <v>1282</v>
      </c>
      <c r="M1" s="364" t="s">
        <v>1281</v>
      </c>
      <c r="N1" s="364" t="s">
        <v>1280</v>
      </c>
      <c r="O1" s="364" t="s">
        <v>1279</v>
      </c>
      <c r="P1" s="364" t="s">
        <v>1278</v>
      </c>
      <c r="Q1" s="364" t="s">
        <v>1277</v>
      </c>
      <c r="R1" s="364" t="s">
        <v>1276</v>
      </c>
      <c r="S1" s="364" t="s">
        <v>1275</v>
      </c>
      <c r="T1" s="364" t="s">
        <v>1274</v>
      </c>
      <c r="U1" s="364" t="s">
        <v>1273</v>
      </c>
      <c r="W1" s="460" t="s">
        <v>1272</v>
      </c>
      <c r="X1" s="364" t="s">
        <v>1271</v>
      </c>
      <c r="Y1" s="364" t="s">
        <v>1270</v>
      </c>
      <c r="Z1" s="364" t="s">
        <v>1269</v>
      </c>
      <c r="AA1" s="364" t="s">
        <v>1268</v>
      </c>
      <c r="AB1" s="364" t="s">
        <v>1267</v>
      </c>
      <c r="AC1" s="364" t="s">
        <v>1266</v>
      </c>
      <c r="AD1" s="364" t="s">
        <v>694</v>
      </c>
      <c r="AE1" s="364" t="s">
        <v>1265</v>
      </c>
      <c r="AF1" s="364" t="s">
        <v>1264</v>
      </c>
      <c r="AG1" s="364" t="s">
        <v>1263</v>
      </c>
      <c r="AH1" s="364" t="s">
        <v>1262</v>
      </c>
      <c r="AI1" s="364" t="s">
        <v>1261</v>
      </c>
      <c r="AJ1" s="364" t="s">
        <v>1260</v>
      </c>
    </row>
    <row r="2" spans="1:49" x14ac:dyDescent="0.25">
      <c r="B2" s="462"/>
      <c r="C2" s="466"/>
      <c r="D2" s="462"/>
      <c r="E2" s="461"/>
      <c r="F2" s="462"/>
      <c r="G2" s="461"/>
      <c r="H2" s="461"/>
      <c r="I2" s="461"/>
      <c r="J2" s="461"/>
      <c r="K2" s="461"/>
      <c r="L2" s="461"/>
      <c r="M2" s="461"/>
      <c r="N2" s="465"/>
      <c r="O2" s="465"/>
      <c r="P2" s="461"/>
      <c r="Q2" s="462"/>
      <c r="R2" s="462"/>
      <c r="S2" s="463"/>
      <c r="T2" s="462"/>
      <c r="U2" s="463"/>
      <c r="V2" s="463">
        <f>S2-U2</f>
        <v>0</v>
      </c>
      <c r="W2" s="464"/>
      <c r="X2" s="462"/>
      <c r="Y2" s="463"/>
      <c r="Z2" s="461"/>
      <c r="AA2" s="461"/>
      <c r="AB2" s="461"/>
      <c r="AC2" s="461"/>
      <c r="AD2" s="461"/>
      <c r="AE2" s="461"/>
      <c r="AF2" s="462"/>
      <c r="AG2" s="461"/>
      <c r="AH2" s="462"/>
      <c r="AI2" s="461"/>
      <c r="AJ2" s="461"/>
    </row>
    <row r="3" spans="1:49" x14ac:dyDescent="0.25">
      <c r="B3" s="364" t="str">
        <f ca="1">_xll.ReportRange("FARReport",A20:AJ281,A1:AJ1,A2:AJ2,_xll.Param($C$9,$C$10,C12,$M$9,$M$10,$M$11,$S$9,M12,$Y$10,$Y$9,S10,S11,CELL("address",$E$6)),TRUE,FALSE)</f>
        <v>OK!: ReportRange Formula OK [jAction{}]</v>
      </c>
      <c r="L3" s="488" t="s">
        <v>1259</v>
      </c>
      <c r="M3" s="487">
        <f ca="1">MONTH(NOW())</f>
        <v>1</v>
      </c>
      <c r="S3" s="364" t="str">
        <f ca="1">_xll.ReportDrill([30]ProjDepr!D3,,_xll.PairGroup(_xll.Pair('FAR 10.2022 Assets 2032'!C9,[30]ProjDepr!D19),_xll.Pair("C:B",[30]ProjDepr!D20),_xll.Pair("C:C",[30]ProjDepr!D21),_xll.Pair("C:V",[30]ProjDepr!D22)),"Projected Depr")</f>
        <v>OK!: ReportDrill 'Projected Depr' Formula OK [jAction{}]</v>
      </c>
      <c r="Y3" s="364" t="str">
        <f ca="1">_xll.jFreezePanes(A20,A5)</f>
        <v xml:space="preserve">&gt; jFreezePanes is ready. </v>
      </c>
      <c r="AB3" s="364" t="str">
        <f ca="1">_xll.jFocus(C9)</f>
        <v xml:space="preserve">&gt; jFocus is ready. </v>
      </c>
    </row>
    <row r="4" spans="1:49" x14ac:dyDescent="0.25">
      <c r="L4" s="488" t="s">
        <v>1258</v>
      </c>
      <c r="M4" s="487">
        <f ca="1">IF(M3=12,YEAR(NOW()),YEAR(NOW()))</f>
        <v>2023</v>
      </c>
      <c r="R4" s="461"/>
      <c r="S4" s="461" t="s">
        <v>1257</v>
      </c>
      <c r="T4" s="461"/>
      <c r="U4" s="461" t="str">
        <f ca="1">_xll.ReportDrill([30]Invoice!$C$2,,_xll.PairGroup(_xll.Pair("C:P",[30]Invoice!$E$7),_xll.Pair("",[30]Invoice!$E$8,"N"),_xll.Pair("",[30]Invoice!$E$9,"n")),"Drill To All Invoices by PO#")</f>
        <v>OK!: ReportDrill 'Drill To All Invoices by PO#' Formula OK [jAction{}]</v>
      </c>
      <c r="V4" s="461"/>
      <c r="W4" s="486"/>
      <c r="X4" s="461" t="str">
        <f ca="1">_xll.ReportDrill([30]Invoice!$C$2,,_xll.PairGroup(_xll.Pair("C:P",[30]Invoice!$E$7),_xll.Pair("",[30]Invoice!$E$8,"N"),_xll.Pair("C:Z",[30]Invoice!$E$9,"n")),"Drill to Invoice by PO# and Invoice #")</f>
        <v>OK!: ReportDrill 'Drill to Invoice by PO# and Invoice #' Formula OK [jAction{}]</v>
      </c>
    </row>
    <row r="5" spans="1:49" s="470" customFormat="1" ht="18.75" x14ac:dyDescent="0.3">
      <c r="B5" s="485" t="s">
        <v>1256</v>
      </c>
      <c r="H5" s="484" t="s">
        <v>1255</v>
      </c>
      <c r="I5" s="483">
        <f>COUNT(C20:C281)</f>
        <v>261</v>
      </c>
      <c r="V5" s="473"/>
      <c r="AK5" s="352">
        <v>12</v>
      </c>
      <c r="AL5" s="353" t="s">
        <v>308</v>
      </c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</row>
    <row r="6" spans="1:49" s="470" customFormat="1" x14ac:dyDescent="0.25">
      <c r="B6" s="483" t="s">
        <v>1254</v>
      </c>
      <c r="E6" s="470" t="s">
        <v>1525</v>
      </c>
      <c r="W6" s="473"/>
      <c r="AK6" s="352">
        <v>2022</v>
      </c>
      <c r="AL6" s="353" t="s">
        <v>310</v>
      </c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</row>
    <row r="7" spans="1:49" s="470" customFormat="1" x14ac:dyDescent="0.25">
      <c r="H7" s="475"/>
      <c r="I7" s="475"/>
      <c r="W7" s="473"/>
      <c r="AK7" s="352">
        <v>2023</v>
      </c>
      <c r="AL7" s="353" t="s">
        <v>311</v>
      </c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</row>
    <row r="8" spans="1:49" s="470" customFormat="1" x14ac:dyDescent="0.25">
      <c r="B8" s="483"/>
      <c r="R8" s="475"/>
      <c r="W8" s="473"/>
      <c r="AK8" s="352">
        <f>AK7+(AK5/12)</f>
        <v>2024</v>
      </c>
      <c r="AL8" s="353" t="s">
        <v>314</v>
      </c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</row>
    <row r="9" spans="1:49" s="470" customFormat="1" x14ac:dyDescent="0.25">
      <c r="B9" s="475" t="s">
        <v>1253</v>
      </c>
      <c r="C9" s="482" t="s">
        <v>1524</v>
      </c>
      <c r="E9" s="479"/>
      <c r="F9" s="545" t="s">
        <v>1252</v>
      </c>
      <c r="G9" s="545"/>
      <c r="H9" s="545"/>
      <c r="I9" s="545"/>
      <c r="J9" s="545"/>
      <c r="L9" s="475" t="s">
        <v>1251</v>
      </c>
      <c r="M9" s="542"/>
      <c r="N9" s="542"/>
      <c r="O9" s="477" t="s">
        <v>1241</v>
      </c>
      <c r="R9" s="475" t="s">
        <v>1250</v>
      </c>
      <c r="S9" s="481"/>
      <c r="T9" s="479" t="s">
        <v>1249</v>
      </c>
      <c r="W9" s="473"/>
      <c r="X9" s="475" t="s">
        <v>1248</v>
      </c>
      <c r="Y9" s="478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</row>
    <row r="10" spans="1:49" s="470" customFormat="1" x14ac:dyDescent="0.25">
      <c r="B10" s="475" t="s">
        <v>1247</v>
      </c>
      <c r="C10" s="543" t="s">
        <v>732</v>
      </c>
      <c r="D10" s="544"/>
      <c r="E10" s="479" t="s">
        <v>1246</v>
      </c>
      <c r="F10" s="545"/>
      <c r="G10" s="545"/>
      <c r="H10" s="545"/>
      <c r="I10" s="545"/>
      <c r="J10" s="545"/>
      <c r="L10" s="475" t="s">
        <v>1245</v>
      </c>
      <c r="M10" s="542"/>
      <c r="N10" s="542"/>
      <c r="O10" s="477" t="s">
        <v>1241</v>
      </c>
      <c r="R10" s="475" t="s">
        <v>1244</v>
      </c>
      <c r="S10" s="480"/>
      <c r="T10" s="479"/>
      <c r="W10" s="473"/>
      <c r="X10" s="475" t="s">
        <v>1243</v>
      </c>
      <c r="Y10" s="478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</row>
    <row r="11" spans="1:49" s="470" customFormat="1" x14ac:dyDescent="0.25">
      <c r="L11" s="475" t="s">
        <v>1242</v>
      </c>
      <c r="M11" s="542"/>
      <c r="N11" s="542"/>
      <c r="O11" s="477" t="s">
        <v>1241</v>
      </c>
      <c r="R11" s="475" t="s">
        <v>1240</v>
      </c>
      <c r="S11" s="476"/>
      <c r="W11" s="473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</row>
    <row r="12" spans="1:49" s="470" customFormat="1" x14ac:dyDescent="0.25">
      <c r="B12" s="475" t="s">
        <v>1239</v>
      </c>
      <c r="C12" s="476"/>
      <c r="L12" s="475" t="s">
        <v>1238</v>
      </c>
      <c r="M12" s="474"/>
      <c r="N12" s="474"/>
      <c r="O12" s="470" t="s">
        <v>1236</v>
      </c>
      <c r="R12" s="475" t="s">
        <v>1237</v>
      </c>
      <c r="S12" s="474"/>
      <c r="T12" s="470" t="s">
        <v>1236</v>
      </c>
      <c r="W12" s="473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</row>
    <row r="13" spans="1:49" s="470" customFormat="1" ht="60.75" thickBot="1" x14ac:dyDescent="0.3">
      <c r="A13" s="471"/>
      <c r="B13" s="471" t="s">
        <v>709</v>
      </c>
      <c r="C13" s="471" t="s">
        <v>710</v>
      </c>
      <c r="D13" s="471" t="s">
        <v>711</v>
      </c>
      <c r="E13" s="471" t="s">
        <v>678</v>
      </c>
      <c r="F13" s="471" t="s">
        <v>679</v>
      </c>
      <c r="G13" s="471"/>
      <c r="H13" s="471" t="s">
        <v>1235</v>
      </c>
      <c r="I13" s="471" t="s">
        <v>1234</v>
      </c>
      <c r="J13" s="471" t="s">
        <v>1233</v>
      </c>
      <c r="K13" s="471" t="s">
        <v>1232</v>
      </c>
      <c r="L13" s="471" t="s">
        <v>1231</v>
      </c>
      <c r="M13" s="471" t="s">
        <v>1230</v>
      </c>
      <c r="N13" s="471" t="s">
        <v>680</v>
      </c>
      <c r="O13" s="471" t="s">
        <v>681</v>
      </c>
      <c r="P13" s="471" t="s">
        <v>682</v>
      </c>
      <c r="Q13" s="471" t="s">
        <v>1229</v>
      </c>
      <c r="R13" s="471" t="s">
        <v>683</v>
      </c>
      <c r="S13" s="471" t="s">
        <v>285</v>
      </c>
      <c r="T13" s="471" t="s">
        <v>684</v>
      </c>
      <c r="U13" s="471" t="s">
        <v>685</v>
      </c>
      <c r="V13" s="471" t="s">
        <v>686</v>
      </c>
      <c r="W13" s="472" t="s">
        <v>687</v>
      </c>
      <c r="X13" s="471" t="s">
        <v>688</v>
      </c>
      <c r="Y13" s="471" t="s">
        <v>689</v>
      </c>
      <c r="Z13" s="471" t="s">
        <v>690</v>
      </c>
      <c r="AA13" s="471" t="s">
        <v>691</v>
      </c>
      <c r="AB13" s="471" t="s">
        <v>692</v>
      </c>
      <c r="AC13" s="471" t="s">
        <v>693</v>
      </c>
      <c r="AD13" s="471" t="s">
        <v>694</v>
      </c>
      <c r="AE13" s="471" t="s">
        <v>695</v>
      </c>
      <c r="AF13" s="471" t="s">
        <v>696</v>
      </c>
      <c r="AG13" s="471" t="s">
        <v>697</v>
      </c>
      <c r="AH13" s="471" t="s">
        <v>698</v>
      </c>
      <c r="AI13" s="471" t="s">
        <v>699</v>
      </c>
      <c r="AJ13" s="471" t="s">
        <v>700</v>
      </c>
      <c r="AK13" s="350" t="s">
        <v>1292</v>
      </c>
      <c r="AL13" s="350" t="s">
        <v>1293</v>
      </c>
      <c r="AM13" s="350" t="s">
        <v>374</v>
      </c>
      <c r="AN13" s="350" t="s">
        <v>1294</v>
      </c>
      <c r="AO13" s="350" t="s">
        <v>1295</v>
      </c>
      <c r="AP13" s="350" t="s">
        <v>1296</v>
      </c>
      <c r="AQ13" s="350" t="s">
        <v>1297</v>
      </c>
      <c r="AR13" s="350" t="s">
        <v>1298</v>
      </c>
      <c r="AS13" s="350" t="s">
        <v>1299</v>
      </c>
      <c r="AT13" s="350" t="s">
        <v>1300</v>
      </c>
      <c r="AU13" s="350" t="s">
        <v>1301</v>
      </c>
      <c r="AV13" s="350" t="s">
        <v>1302</v>
      </c>
      <c r="AW13" s="350" t="s">
        <v>1308</v>
      </c>
    </row>
    <row r="14" spans="1:49" s="470" customFormat="1" x14ac:dyDescent="0.25">
      <c r="A14" s="492"/>
      <c r="B14" s="462">
        <v>2032</v>
      </c>
      <c r="C14" s="466">
        <v>293711</v>
      </c>
      <c r="D14" s="462" t="s">
        <v>701</v>
      </c>
      <c r="E14" s="461" t="s">
        <v>1485</v>
      </c>
      <c r="F14" s="462"/>
      <c r="G14" s="461"/>
      <c r="H14" s="461"/>
      <c r="I14" s="461"/>
      <c r="J14" s="461">
        <v>0</v>
      </c>
      <c r="K14" s="461" t="s">
        <v>1484</v>
      </c>
      <c r="L14" s="461"/>
      <c r="M14" s="461"/>
      <c r="N14" s="465">
        <v>44879</v>
      </c>
      <c r="O14" s="465">
        <v>44879</v>
      </c>
      <c r="P14" s="461" t="s">
        <v>1475</v>
      </c>
      <c r="Q14" s="462">
        <v>1000</v>
      </c>
      <c r="R14" s="462">
        <v>14010</v>
      </c>
      <c r="S14" s="512">
        <v>4731.5</v>
      </c>
      <c r="T14" s="505">
        <v>4731.5</v>
      </c>
      <c r="U14" s="506"/>
      <c r="V14" s="506"/>
      <c r="W14" s="507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8"/>
      <c r="AL14" s="364" t="s">
        <v>1336</v>
      </c>
      <c r="AM14" s="490">
        <f t="shared" ref="AM14:AM19" si="0">MONTH($N14)</f>
        <v>11</v>
      </c>
      <c r="AN14" s="490">
        <f t="shared" ref="AN14:AN19" si="1">YEAR($N14)</f>
        <v>2022</v>
      </c>
      <c r="AO14" s="490">
        <f t="shared" ref="AO14:AO45" si="2">$AN14+($Q14/100)</f>
        <v>2032</v>
      </c>
      <c r="AP14" s="510">
        <f t="shared" ref="AP14:AP19" si="3">$AO14+($AM14/12)</f>
        <v>2032.9166666666667</v>
      </c>
      <c r="AQ14" s="351">
        <f t="shared" ref="AQ14:AQ19" si="4">IFERROR($S14/($Q14/100)/12,0)</f>
        <v>39.429166666666667</v>
      </c>
      <c r="AR14" s="351">
        <f t="shared" ref="AR14:AR19" si="5">$AQ14*12</f>
        <v>473.15</v>
      </c>
      <c r="AS14" s="351">
        <f t="shared" ref="AS14:AS45" si="6">IF($AP14&lt;=$AK$8,0,IF($AO14&gt;$AK$7,$AR14,($AQ14*$AM14)))</f>
        <v>473.15</v>
      </c>
      <c r="AT14" s="351">
        <f t="shared" ref="AT14:AT45" si="7">IF($AS14=0,$S14,IF($AK$6-AN14&lt;1,0,(($AK$6-$AN14)*AR14)))</f>
        <v>0</v>
      </c>
      <c r="AU14" s="351">
        <f t="shared" ref="AU14:AU19" si="8">IF($AT14=0,$AS14,($AT14+$AS14))</f>
        <v>473.15</v>
      </c>
      <c r="AV14" s="351">
        <f t="shared" ref="AV14:AV45" si="9">$S14-$AU14</f>
        <v>4258.3500000000004</v>
      </c>
      <c r="AW14" s="491" t="s">
        <v>339</v>
      </c>
    </row>
    <row r="15" spans="1:49" s="470" customFormat="1" x14ac:dyDescent="0.25">
      <c r="A15" s="492"/>
      <c r="B15" s="462">
        <v>2032</v>
      </c>
      <c r="C15" s="466">
        <v>293419</v>
      </c>
      <c r="D15" s="462">
        <v>278482</v>
      </c>
      <c r="E15" s="461" t="s">
        <v>1527</v>
      </c>
      <c r="F15" s="462"/>
      <c r="G15" s="461"/>
      <c r="H15" s="461"/>
      <c r="I15" s="461"/>
      <c r="J15" s="461">
        <v>0</v>
      </c>
      <c r="K15" s="461" t="s">
        <v>1528</v>
      </c>
      <c r="L15" s="461"/>
      <c r="M15" s="461"/>
      <c r="N15" s="465">
        <v>44834</v>
      </c>
      <c r="O15" s="465">
        <v>44834</v>
      </c>
      <c r="P15" s="461" t="s">
        <v>1475</v>
      </c>
      <c r="Q15" s="462">
        <v>1000</v>
      </c>
      <c r="R15" s="462">
        <v>14010</v>
      </c>
      <c r="S15" s="512">
        <v>6925.6</v>
      </c>
      <c r="T15" s="505">
        <v>6925.6</v>
      </c>
      <c r="U15" s="506"/>
      <c r="V15" s="506"/>
      <c r="W15" s="507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8"/>
      <c r="AL15" s="364" t="s">
        <v>1336</v>
      </c>
      <c r="AM15" s="490">
        <f t="shared" si="0"/>
        <v>9</v>
      </c>
      <c r="AN15" s="490">
        <f t="shared" si="1"/>
        <v>2022</v>
      </c>
      <c r="AO15" s="490">
        <f t="shared" si="2"/>
        <v>2032</v>
      </c>
      <c r="AP15" s="510">
        <f t="shared" si="3"/>
        <v>2032.75</v>
      </c>
      <c r="AQ15" s="351">
        <f t="shared" si="4"/>
        <v>57.713333333333338</v>
      </c>
      <c r="AR15" s="351">
        <f t="shared" si="5"/>
        <v>692.56000000000006</v>
      </c>
      <c r="AS15" s="351">
        <f t="shared" si="6"/>
        <v>692.56000000000006</v>
      </c>
      <c r="AT15" s="351">
        <f t="shared" si="7"/>
        <v>0</v>
      </c>
      <c r="AU15" s="351">
        <f t="shared" si="8"/>
        <v>692.56000000000006</v>
      </c>
      <c r="AV15" s="351">
        <f t="shared" si="9"/>
        <v>6233.04</v>
      </c>
      <c r="AW15" s="491" t="s">
        <v>339</v>
      </c>
    </row>
    <row r="16" spans="1:49" s="470" customFormat="1" x14ac:dyDescent="0.25">
      <c r="A16" s="492"/>
      <c r="B16" s="462">
        <v>2032</v>
      </c>
      <c r="C16" s="466">
        <v>293418</v>
      </c>
      <c r="D16" s="462">
        <v>278482</v>
      </c>
      <c r="E16" s="461" t="s">
        <v>1529</v>
      </c>
      <c r="F16" s="462"/>
      <c r="G16" s="461"/>
      <c r="H16" s="461"/>
      <c r="I16" s="461"/>
      <c r="J16" s="461">
        <v>0</v>
      </c>
      <c r="K16" s="461" t="s">
        <v>1528</v>
      </c>
      <c r="L16" s="461"/>
      <c r="M16" s="461"/>
      <c r="N16" s="465">
        <v>44834</v>
      </c>
      <c r="O16" s="465">
        <v>44834</v>
      </c>
      <c r="P16" s="461" t="s">
        <v>1475</v>
      </c>
      <c r="Q16" s="462">
        <v>1000</v>
      </c>
      <c r="R16" s="462">
        <v>14010</v>
      </c>
      <c r="S16" s="512">
        <v>918.46</v>
      </c>
      <c r="T16" s="505">
        <v>918.46</v>
      </c>
      <c r="U16" s="506"/>
      <c r="V16" s="506"/>
      <c r="W16" s="507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8"/>
      <c r="AL16" s="364" t="s">
        <v>1336</v>
      </c>
      <c r="AM16" s="490">
        <f t="shared" si="0"/>
        <v>9</v>
      </c>
      <c r="AN16" s="490">
        <f t="shared" si="1"/>
        <v>2022</v>
      </c>
      <c r="AO16" s="490">
        <f t="shared" si="2"/>
        <v>2032</v>
      </c>
      <c r="AP16" s="510">
        <f t="shared" si="3"/>
        <v>2032.75</v>
      </c>
      <c r="AQ16" s="351">
        <f t="shared" si="4"/>
        <v>7.6538333333333339</v>
      </c>
      <c r="AR16" s="351">
        <f t="shared" si="5"/>
        <v>91.846000000000004</v>
      </c>
      <c r="AS16" s="351">
        <f t="shared" si="6"/>
        <v>91.846000000000004</v>
      </c>
      <c r="AT16" s="351">
        <f t="shared" si="7"/>
        <v>0</v>
      </c>
      <c r="AU16" s="351">
        <f t="shared" si="8"/>
        <v>91.846000000000004</v>
      </c>
      <c r="AV16" s="351">
        <f t="shared" si="9"/>
        <v>826.61400000000003</v>
      </c>
      <c r="AW16" s="491" t="s">
        <v>339</v>
      </c>
    </row>
    <row r="17" spans="1:49" s="470" customFormat="1" x14ac:dyDescent="0.25">
      <c r="A17" s="492"/>
      <c r="B17" s="462">
        <v>2032</v>
      </c>
      <c r="C17" s="466">
        <v>293417</v>
      </c>
      <c r="D17" s="462">
        <v>278482</v>
      </c>
      <c r="E17" s="461" t="s">
        <v>1530</v>
      </c>
      <c r="F17" s="462"/>
      <c r="G17" s="461"/>
      <c r="H17" s="461"/>
      <c r="I17" s="461"/>
      <c r="J17" s="461">
        <v>0</v>
      </c>
      <c r="K17" s="461" t="s">
        <v>1528</v>
      </c>
      <c r="L17" s="461"/>
      <c r="M17" s="461"/>
      <c r="N17" s="465">
        <v>44834</v>
      </c>
      <c r="O17" s="465">
        <v>44834</v>
      </c>
      <c r="P17" s="461" t="s">
        <v>1475</v>
      </c>
      <c r="Q17" s="462">
        <v>1000</v>
      </c>
      <c r="R17" s="462">
        <v>14010</v>
      </c>
      <c r="S17" s="512">
        <v>399</v>
      </c>
      <c r="T17" s="505">
        <v>399</v>
      </c>
      <c r="U17" s="506"/>
      <c r="V17" s="506"/>
      <c r="W17" s="507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8"/>
      <c r="AL17" s="364" t="s">
        <v>1336</v>
      </c>
      <c r="AM17" s="490">
        <f t="shared" si="0"/>
        <v>9</v>
      </c>
      <c r="AN17" s="490">
        <f t="shared" si="1"/>
        <v>2022</v>
      </c>
      <c r="AO17" s="490">
        <f t="shared" si="2"/>
        <v>2032</v>
      </c>
      <c r="AP17" s="510">
        <f t="shared" si="3"/>
        <v>2032.75</v>
      </c>
      <c r="AQ17" s="351">
        <f t="shared" si="4"/>
        <v>3.3249999999999997</v>
      </c>
      <c r="AR17" s="351">
        <f t="shared" si="5"/>
        <v>39.9</v>
      </c>
      <c r="AS17" s="351">
        <f t="shared" si="6"/>
        <v>39.9</v>
      </c>
      <c r="AT17" s="351">
        <f t="shared" si="7"/>
        <v>0</v>
      </c>
      <c r="AU17" s="351">
        <f t="shared" si="8"/>
        <v>39.9</v>
      </c>
      <c r="AV17" s="351">
        <f t="shared" si="9"/>
        <v>359.1</v>
      </c>
      <c r="AW17" s="491" t="s">
        <v>339</v>
      </c>
    </row>
    <row r="18" spans="1:49" s="470" customFormat="1" x14ac:dyDescent="0.25">
      <c r="A18" s="492"/>
      <c r="B18" s="462">
        <v>2032</v>
      </c>
      <c r="C18" s="466">
        <v>293416</v>
      </c>
      <c r="D18" s="462">
        <v>278482</v>
      </c>
      <c r="E18" s="461" t="s">
        <v>1531</v>
      </c>
      <c r="F18" s="462"/>
      <c r="G18" s="461"/>
      <c r="H18" s="461"/>
      <c r="I18" s="461"/>
      <c r="J18" s="461">
        <v>0</v>
      </c>
      <c r="K18" s="461" t="s">
        <v>1532</v>
      </c>
      <c r="L18" s="461"/>
      <c r="M18" s="461"/>
      <c r="N18" s="465">
        <v>44834</v>
      </c>
      <c r="O18" s="465">
        <v>44834</v>
      </c>
      <c r="P18" s="461" t="s">
        <v>1475</v>
      </c>
      <c r="Q18" s="462">
        <v>1000</v>
      </c>
      <c r="R18" s="462">
        <v>14010</v>
      </c>
      <c r="S18" s="512">
        <v>1716</v>
      </c>
      <c r="T18" s="505">
        <v>1716</v>
      </c>
      <c r="U18" s="506"/>
      <c r="V18" s="506"/>
      <c r="W18" s="507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8"/>
      <c r="AL18" s="364" t="s">
        <v>1336</v>
      </c>
      <c r="AM18" s="490">
        <f t="shared" si="0"/>
        <v>9</v>
      </c>
      <c r="AN18" s="490">
        <f t="shared" si="1"/>
        <v>2022</v>
      </c>
      <c r="AO18" s="490">
        <f t="shared" si="2"/>
        <v>2032</v>
      </c>
      <c r="AP18" s="510">
        <f t="shared" si="3"/>
        <v>2032.75</v>
      </c>
      <c r="AQ18" s="351">
        <f t="shared" si="4"/>
        <v>14.299999999999999</v>
      </c>
      <c r="AR18" s="351">
        <f t="shared" si="5"/>
        <v>171.6</v>
      </c>
      <c r="AS18" s="351">
        <f t="shared" si="6"/>
        <v>171.6</v>
      </c>
      <c r="AT18" s="351">
        <f t="shared" si="7"/>
        <v>0</v>
      </c>
      <c r="AU18" s="351">
        <f t="shared" si="8"/>
        <v>171.6</v>
      </c>
      <c r="AV18" s="351">
        <f t="shared" si="9"/>
        <v>1544.4</v>
      </c>
      <c r="AW18" s="491" t="s">
        <v>339</v>
      </c>
    </row>
    <row r="19" spans="1:49" s="470" customFormat="1" x14ac:dyDescent="0.25">
      <c r="A19" s="492"/>
      <c r="B19" s="462">
        <v>2032</v>
      </c>
      <c r="C19" s="466">
        <v>293415</v>
      </c>
      <c r="D19" s="462">
        <v>278482</v>
      </c>
      <c r="E19" s="461" t="s">
        <v>1533</v>
      </c>
      <c r="F19" s="462"/>
      <c r="G19" s="461"/>
      <c r="H19" s="461"/>
      <c r="I19" s="461"/>
      <c r="J19" s="461">
        <v>0</v>
      </c>
      <c r="K19" s="461" t="s">
        <v>1528</v>
      </c>
      <c r="L19" s="461"/>
      <c r="M19" s="461"/>
      <c r="N19" s="465">
        <v>44834</v>
      </c>
      <c r="O19" s="465">
        <v>44834</v>
      </c>
      <c r="P19" s="461" t="s">
        <v>1475</v>
      </c>
      <c r="Q19" s="462">
        <v>1000</v>
      </c>
      <c r="R19" s="462">
        <v>14010</v>
      </c>
      <c r="S19" s="512">
        <v>2156.6</v>
      </c>
      <c r="T19" s="505">
        <v>2156.6</v>
      </c>
      <c r="U19" s="506"/>
      <c r="V19" s="506"/>
      <c r="W19" s="507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8"/>
      <c r="AL19" s="364" t="s">
        <v>1336</v>
      </c>
      <c r="AM19" s="490">
        <f t="shared" si="0"/>
        <v>9</v>
      </c>
      <c r="AN19" s="490">
        <f t="shared" si="1"/>
        <v>2022</v>
      </c>
      <c r="AO19" s="490">
        <f t="shared" si="2"/>
        <v>2032</v>
      </c>
      <c r="AP19" s="510">
        <f t="shared" si="3"/>
        <v>2032.75</v>
      </c>
      <c r="AQ19" s="351">
        <f t="shared" si="4"/>
        <v>17.971666666666668</v>
      </c>
      <c r="AR19" s="351">
        <f t="shared" si="5"/>
        <v>215.66000000000003</v>
      </c>
      <c r="AS19" s="351">
        <f t="shared" si="6"/>
        <v>215.66000000000003</v>
      </c>
      <c r="AT19" s="351">
        <f t="shared" si="7"/>
        <v>0</v>
      </c>
      <c r="AU19" s="351">
        <f t="shared" si="8"/>
        <v>215.66000000000003</v>
      </c>
      <c r="AV19" s="351">
        <f t="shared" si="9"/>
        <v>1940.9399999999998</v>
      </c>
      <c r="AW19" s="491" t="s">
        <v>339</v>
      </c>
    </row>
    <row r="20" spans="1:49" x14ac:dyDescent="0.25">
      <c r="B20" s="462">
        <v>2032</v>
      </c>
      <c r="C20" s="466">
        <v>291511</v>
      </c>
      <c r="D20" s="462">
        <v>278482</v>
      </c>
      <c r="E20" s="461" t="s">
        <v>1485</v>
      </c>
      <c r="F20" s="462"/>
      <c r="G20" s="461"/>
      <c r="H20" s="461"/>
      <c r="I20" s="461"/>
      <c r="J20" s="461">
        <v>0</v>
      </c>
      <c r="K20" s="461" t="s">
        <v>1484</v>
      </c>
      <c r="L20" s="461"/>
      <c r="M20" s="461"/>
      <c r="N20" s="465">
        <v>44834</v>
      </c>
      <c r="O20" s="465">
        <v>44834</v>
      </c>
      <c r="P20" s="461" t="s">
        <v>1475</v>
      </c>
      <c r="Q20" s="462">
        <v>1000</v>
      </c>
      <c r="R20" s="462">
        <v>14010</v>
      </c>
      <c r="S20" s="512">
        <v>3891.25</v>
      </c>
      <c r="T20" s="462">
        <v>14016</v>
      </c>
      <c r="U20" s="505">
        <v>32.43</v>
      </c>
      <c r="V20" s="505">
        <f t="shared" ref="V20:V83" si="10">S20-U20</f>
        <v>3858.82</v>
      </c>
      <c r="W20" s="509">
        <v>32.43</v>
      </c>
      <c r="X20" s="462">
        <v>57260</v>
      </c>
      <c r="Y20" s="505">
        <v>32.43</v>
      </c>
      <c r="Z20" s="461" t="s">
        <v>701</v>
      </c>
      <c r="AA20" s="461"/>
      <c r="AB20" s="461" t="s">
        <v>1523</v>
      </c>
      <c r="AC20" s="461"/>
      <c r="AD20" s="461" t="s">
        <v>705</v>
      </c>
      <c r="AE20" s="461" t="s">
        <v>703</v>
      </c>
      <c r="AF20" s="462" t="s">
        <v>351</v>
      </c>
      <c r="AG20" s="461"/>
      <c r="AH20" s="462" t="s">
        <v>707</v>
      </c>
      <c r="AI20" s="461">
        <v>0</v>
      </c>
      <c r="AJ20" s="461">
        <v>0</v>
      </c>
      <c r="AL20" s="364" t="s">
        <v>1336</v>
      </c>
      <c r="AM20" s="490">
        <f>MONTH($N20)</f>
        <v>9</v>
      </c>
      <c r="AN20" s="490">
        <f>YEAR($N20)</f>
        <v>2022</v>
      </c>
      <c r="AO20" s="490">
        <f t="shared" si="2"/>
        <v>2032</v>
      </c>
      <c r="AP20" s="510">
        <f>$AO20+($AM20/12)</f>
        <v>2032.75</v>
      </c>
      <c r="AQ20" s="351">
        <f>IFERROR($S20/($Q20/100)/12,0)</f>
        <v>32.427083333333336</v>
      </c>
      <c r="AR20" s="351">
        <f>$AQ20*12</f>
        <v>389.125</v>
      </c>
      <c r="AS20" s="351">
        <f t="shared" si="6"/>
        <v>389.125</v>
      </c>
      <c r="AT20" s="351">
        <f t="shared" si="7"/>
        <v>0</v>
      </c>
      <c r="AU20" s="351">
        <f>IF($AT20=0,$AS20,($AT20+$AS20))</f>
        <v>389.125</v>
      </c>
      <c r="AV20" s="351">
        <f t="shared" si="9"/>
        <v>3502.125</v>
      </c>
      <c r="AW20" s="491" t="s">
        <v>339</v>
      </c>
    </row>
    <row r="21" spans="1:49" x14ac:dyDescent="0.25">
      <c r="B21" s="462">
        <v>2032</v>
      </c>
      <c r="C21" s="466">
        <v>291284</v>
      </c>
      <c r="D21" s="462" t="s">
        <v>701</v>
      </c>
      <c r="E21" s="461" t="s">
        <v>1522</v>
      </c>
      <c r="F21" s="462">
        <v>351</v>
      </c>
      <c r="G21" s="461"/>
      <c r="H21" s="461"/>
      <c r="I21" s="461"/>
      <c r="J21" s="461">
        <v>0</v>
      </c>
      <c r="K21" s="461" t="s">
        <v>890</v>
      </c>
      <c r="L21" s="461"/>
      <c r="M21" s="461" t="s">
        <v>858</v>
      </c>
      <c r="N21" s="465">
        <v>44844</v>
      </c>
      <c r="O21" s="465">
        <v>44844</v>
      </c>
      <c r="P21" s="461" t="s">
        <v>1520</v>
      </c>
      <c r="Q21" s="462">
        <v>700</v>
      </c>
      <c r="R21" s="462">
        <v>14050</v>
      </c>
      <c r="S21" s="512">
        <v>22826.57</v>
      </c>
      <c r="T21" s="462">
        <v>14056</v>
      </c>
      <c r="U21" s="505">
        <v>271.75</v>
      </c>
      <c r="V21" s="505">
        <f t="shared" si="10"/>
        <v>22554.82</v>
      </c>
      <c r="W21" s="509">
        <v>271.75</v>
      </c>
      <c r="X21" s="462">
        <v>54260</v>
      </c>
      <c r="Y21" s="505">
        <v>271.75</v>
      </c>
      <c r="Z21" s="461" t="s">
        <v>701</v>
      </c>
      <c r="AA21" s="461"/>
      <c r="AB21" s="461">
        <v>50269466</v>
      </c>
      <c r="AC21" s="461"/>
      <c r="AD21" s="461" t="s">
        <v>705</v>
      </c>
      <c r="AE21" s="461" t="s">
        <v>703</v>
      </c>
      <c r="AF21" s="462" t="s">
        <v>351</v>
      </c>
      <c r="AG21" s="461"/>
      <c r="AH21" s="462" t="s">
        <v>707</v>
      </c>
      <c r="AI21" s="461">
        <v>0</v>
      </c>
      <c r="AJ21" s="461">
        <v>0</v>
      </c>
      <c r="AL21" s="364" t="s">
        <v>295</v>
      </c>
      <c r="AM21" s="490">
        <f t="shared" ref="AM21:AM25" si="11">MONTH($N21)</f>
        <v>10</v>
      </c>
      <c r="AN21" s="490">
        <f t="shared" ref="AN21:AN25" si="12">YEAR($N21)</f>
        <v>2022</v>
      </c>
      <c r="AO21" s="490">
        <f t="shared" si="2"/>
        <v>2029</v>
      </c>
      <c r="AP21" s="510">
        <f t="shared" ref="AP21:AP25" si="13">$AO21+($AM21/12)</f>
        <v>2029.8333333333333</v>
      </c>
      <c r="AQ21" s="351">
        <f t="shared" ref="AQ21:AQ25" si="14">IFERROR($S21/($Q21/100)/12,0)</f>
        <v>271.74488095238092</v>
      </c>
      <c r="AR21" s="351">
        <f t="shared" ref="AR21:AR25" si="15">$AQ21*12</f>
        <v>3260.9385714285709</v>
      </c>
      <c r="AS21" s="351">
        <f t="shared" si="6"/>
        <v>3260.9385714285709</v>
      </c>
      <c r="AT21" s="351">
        <f t="shared" si="7"/>
        <v>0</v>
      </c>
      <c r="AU21" s="351">
        <f t="shared" ref="AU21:AU25" si="16">IF($AT21=0,$AS21,($AT21+$AS21))</f>
        <v>3260.9385714285709</v>
      </c>
      <c r="AV21" s="351">
        <f t="shared" si="9"/>
        <v>19565.631428571429</v>
      </c>
      <c r="AW21" s="491" t="s">
        <v>339</v>
      </c>
    </row>
    <row r="22" spans="1:49" x14ac:dyDescent="0.25">
      <c r="B22" s="462">
        <v>2032</v>
      </c>
      <c r="C22" s="466">
        <v>291283</v>
      </c>
      <c r="D22" s="462" t="s">
        <v>701</v>
      </c>
      <c r="E22" s="461" t="s">
        <v>1521</v>
      </c>
      <c r="F22" s="462">
        <v>351</v>
      </c>
      <c r="G22" s="461"/>
      <c r="H22" s="461"/>
      <c r="I22" s="461"/>
      <c r="J22" s="461">
        <v>0</v>
      </c>
      <c r="K22" s="461" t="s">
        <v>890</v>
      </c>
      <c r="L22" s="461"/>
      <c r="M22" s="461" t="s">
        <v>858</v>
      </c>
      <c r="N22" s="465">
        <v>44851</v>
      </c>
      <c r="O22" s="465">
        <v>44851</v>
      </c>
      <c r="P22" s="461" t="s">
        <v>1520</v>
      </c>
      <c r="Q22" s="462">
        <v>700</v>
      </c>
      <c r="R22" s="462">
        <v>14050</v>
      </c>
      <c r="S22" s="512">
        <v>22826.57</v>
      </c>
      <c r="T22" s="462">
        <v>14056</v>
      </c>
      <c r="U22" s="505">
        <v>0</v>
      </c>
      <c r="V22" s="505">
        <f t="shared" si="10"/>
        <v>22826.57</v>
      </c>
      <c r="W22" s="509">
        <v>0</v>
      </c>
      <c r="X22" s="462">
        <v>54260</v>
      </c>
      <c r="Y22" s="505">
        <v>0</v>
      </c>
      <c r="Z22" s="461" t="s">
        <v>701</v>
      </c>
      <c r="AA22" s="461"/>
      <c r="AB22" s="461">
        <v>50269466</v>
      </c>
      <c r="AC22" s="461"/>
      <c r="AD22" s="461" t="s">
        <v>705</v>
      </c>
      <c r="AE22" s="461" t="s">
        <v>703</v>
      </c>
      <c r="AF22" s="462" t="s">
        <v>351</v>
      </c>
      <c r="AG22" s="461"/>
      <c r="AH22" s="462" t="s">
        <v>707</v>
      </c>
      <c r="AI22" s="461">
        <v>0</v>
      </c>
      <c r="AJ22" s="461">
        <v>0</v>
      </c>
      <c r="AL22" s="364" t="s">
        <v>295</v>
      </c>
      <c r="AM22" s="490">
        <f t="shared" si="11"/>
        <v>10</v>
      </c>
      <c r="AN22" s="490">
        <f t="shared" si="12"/>
        <v>2022</v>
      </c>
      <c r="AO22" s="490">
        <f t="shared" si="2"/>
        <v>2029</v>
      </c>
      <c r="AP22" s="510">
        <f t="shared" si="13"/>
        <v>2029.8333333333333</v>
      </c>
      <c r="AQ22" s="351">
        <f t="shared" si="14"/>
        <v>271.74488095238092</v>
      </c>
      <c r="AR22" s="351">
        <f t="shared" si="15"/>
        <v>3260.9385714285709</v>
      </c>
      <c r="AS22" s="351">
        <f t="shared" si="6"/>
        <v>3260.9385714285709</v>
      </c>
      <c r="AT22" s="351">
        <f t="shared" si="7"/>
        <v>0</v>
      </c>
      <c r="AU22" s="351">
        <f t="shared" si="16"/>
        <v>3260.9385714285709</v>
      </c>
      <c r="AV22" s="351">
        <f t="shared" si="9"/>
        <v>19565.631428571429</v>
      </c>
      <c r="AW22" s="491" t="s">
        <v>339</v>
      </c>
    </row>
    <row r="23" spans="1:49" x14ac:dyDescent="0.25">
      <c r="B23" s="462">
        <v>2032</v>
      </c>
      <c r="C23" s="466">
        <v>288015</v>
      </c>
      <c r="D23" s="462">
        <v>234329</v>
      </c>
      <c r="E23" s="461" t="s">
        <v>1519</v>
      </c>
      <c r="F23" s="462"/>
      <c r="G23" s="461"/>
      <c r="H23" s="461" t="s">
        <v>1433</v>
      </c>
      <c r="I23" s="461"/>
      <c r="J23" s="461">
        <v>2019</v>
      </c>
      <c r="K23" s="461" t="s">
        <v>1488</v>
      </c>
      <c r="L23" s="461"/>
      <c r="M23" s="461" t="s">
        <v>962</v>
      </c>
      <c r="N23" s="465">
        <v>44774</v>
      </c>
      <c r="O23" s="465">
        <v>44774</v>
      </c>
      <c r="P23" s="461" t="s">
        <v>1518</v>
      </c>
      <c r="Q23" s="462">
        <v>600</v>
      </c>
      <c r="R23" s="462">
        <v>14040</v>
      </c>
      <c r="S23" s="512">
        <v>215284.94</v>
      </c>
      <c r="T23" s="462">
        <v>14046</v>
      </c>
      <c r="U23" s="505">
        <v>8970.2000000000007</v>
      </c>
      <c r="V23" s="505">
        <f t="shared" si="10"/>
        <v>206314.74</v>
      </c>
      <c r="W23" s="509">
        <v>8970.2000000000007</v>
      </c>
      <c r="X23" s="462">
        <v>51260</v>
      </c>
      <c r="Y23" s="505">
        <v>2990.06</v>
      </c>
      <c r="Z23" s="461" t="s">
        <v>701</v>
      </c>
      <c r="AA23" s="461"/>
      <c r="AB23" s="461">
        <v>4861</v>
      </c>
      <c r="AC23" s="461"/>
      <c r="AD23" s="461" t="s">
        <v>705</v>
      </c>
      <c r="AE23" s="461" t="s">
        <v>703</v>
      </c>
      <c r="AF23" s="462" t="s">
        <v>351</v>
      </c>
      <c r="AG23" s="461"/>
      <c r="AH23" s="462" t="s">
        <v>707</v>
      </c>
      <c r="AI23" s="461">
        <v>0</v>
      </c>
      <c r="AJ23" s="461">
        <v>0</v>
      </c>
      <c r="AL23" s="520" t="s">
        <v>1547</v>
      </c>
      <c r="AM23" s="490">
        <f t="shared" si="11"/>
        <v>8</v>
      </c>
      <c r="AN23" s="490">
        <f t="shared" si="12"/>
        <v>2022</v>
      </c>
      <c r="AO23" s="490">
        <f t="shared" si="2"/>
        <v>2028</v>
      </c>
      <c r="AP23" s="510">
        <f t="shared" si="13"/>
        <v>2028.6666666666667</v>
      </c>
      <c r="AQ23" s="351">
        <f t="shared" si="14"/>
        <v>2990.0686111111113</v>
      </c>
      <c r="AR23" s="351">
        <f t="shared" si="15"/>
        <v>35880.823333333334</v>
      </c>
      <c r="AS23" s="351">
        <f t="shared" si="6"/>
        <v>35880.823333333334</v>
      </c>
      <c r="AT23" s="351">
        <f t="shared" si="7"/>
        <v>0</v>
      </c>
      <c r="AU23" s="351">
        <f t="shared" si="16"/>
        <v>35880.823333333334</v>
      </c>
      <c r="AV23" s="351">
        <f t="shared" si="9"/>
        <v>179404.11666666667</v>
      </c>
      <c r="AW23" s="491" t="s">
        <v>339</v>
      </c>
    </row>
    <row r="24" spans="1:49" x14ac:dyDescent="0.25">
      <c r="B24" s="462">
        <v>2032</v>
      </c>
      <c r="C24" s="466">
        <v>286820</v>
      </c>
      <c r="D24" s="462">
        <v>278482</v>
      </c>
      <c r="E24" s="461" t="s">
        <v>1485</v>
      </c>
      <c r="F24" s="462"/>
      <c r="G24" s="461"/>
      <c r="H24" s="461"/>
      <c r="I24" s="461"/>
      <c r="J24" s="461">
        <v>0</v>
      </c>
      <c r="K24" s="461" t="s">
        <v>1484</v>
      </c>
      <c r="L24" s="461"/>
      <c r="M24" s="461"/>
      <c r="N24" s="465">
        <v>44742</v>
      </c>
      <c r="O24" s="465">
        <v>44742</v>
      </c>
      <c r="P24" s="461" t="s">
        <v>1475</v>
      </c>
      <c r="Q24" s="462">
        <v>1000</v>
      </c>
      <c r="R24" s="462">
        <v>14010</v>
      </c>
      <c r="S24" s="512">
        <v>4923.54</v>
      </c>
      <c r="T24" s="462">
        <v>14016</v>
      </c>
      <c r="U24" s="505">
        <v>164.12</v>
      </c>
      <c r="V24" s="505">
        <f t="shared" si="10"/>
        <v>4759.42</v>
      </c>
      <c r="W24" s="509">
        <v>164.12</v>
      </c>
      <c r="X24" s="462">
        <v>57260</v>
      </c>
      <c r="Y24" s="505">
        <v>41.03</v>
      </c>
      <c r="Z24" s="461" t="s">
        <v>701</v>
      </c>
      <c r="AA24" s="461"/>
      <c r="AB24" s="461" t="s">
        <v>1517</v>
      </c>
      <c r="AC24" s="461"/>
      <c r="AD24" s="461" t="s">
        <v>705</v>
      </c>
      <c r="AE24" s="461" t="s">
        <v>703</v>
      </c>
      <c r="AF24" s="462" t="s">
        <v>351</v>
      </c>
      <c r="AG24" s="461"/>
      <c r="AH24" s="462" t="s">
        <v>707</v>
      </c>
      <c r="AI24" s="461">
        <v>0</v>
      </c>
      <c r="AJ24" s="461">
        <v>0</v>
      </c>
      <c r="AL24" s="364" t="s">
        <v>1336</v>
      </c>
      <c r="AM24" s="490">
        <f t="shared" si="11"/>
        <v>6</v>
      </c>
      <c r="AN24" s="490">
        <f t="shared" si="12"/>
        <v>2022</v>
      </c>
      <c r="AO24" s="490">
        <f t="shared" si="2"/>
        <v>2032</v>
      </c>
      <c r="AP24" s="510">
        <f t="shared" si="13"/>
        <v>2032.5</v>
      </c>
      <c r="AQ24" s="351">
        <f t="shared" si="14"/>
        <v>41.029499999999999</v>
      </c>
      <c r="AR24" s="351">
        <f t="shared" si="15"/>
        <v>492.35399999999998</v>
      </c>
      <c r="AS24" s="351">
        <f t="shared" si="6"/>
        <v>492.35399999999998</v>
      </c>
      <c r="AT24" s="351">
        <f t="shared" si="7"/>
        <v>0</v>
      </c>
      <c r="AU24" s="351">
        <f t="shared" si="16"/>
        <v>492.35399999999998</v>
      </c>
      <c r="AV24" s="351">
        <f t="shared" si="9"/>
        <v>4431.1859999999997</v>
      </c>
      <c r="AW24" s="491" t="s">
        <v>339</v>
      </c>
    </row>
    <row r="25" spans="1:49" x14ac:dyDescent="0.25">
      <c r="B25" s="462">
        <v>2032</v>
      </c>
      <c r="C25" s="466">
        <v>286819</v>
      </c>
      <c r="D25" s="462">
        <v>278482</v>
      </c>
      <c r="E25" s="461" t="s">
        <v>1485</v>
      </c>
      <c r="F25" s="462"/>
      <c r="G25" s="461"/>
      <c r="H25" s="461"/>
      <c r="I25" s="461"/>
      <c r="J25" s="461">
        <v>0</v>
      </c>
      <c r="K25" s="461" t="s">
        <v>1484</v>
      </c>
      <c r="L25" s="461"/>
      <c r="M25" s="461"/>
      <c r="N25" s="465">
        <v>44742</v>
      </c>
      <c r="O25" s="465">
        <v>44742</v>
      </c>
      <c r="P25" s="461" t="s">
        <v>1475</v>
      </c>
      <c r="Q25" s="462">
        <v>1000</v>
      </c>
      <c r="R25" s="462">
        <v>14010</v>
      </c>
      <c r="S25" s="512">
        <v>4710.25</v>
      </c>
      <c r="T25" s="462">
        <v>14016</v>
      </c>
      <c r="U25" s="505">
        <v>157.01</v>
      </c>
      <c r="V25" s="505">
        <f t="shared" si="10"/>
        <v>4553.24</v>
      </c>
      <c r="W25" s="509">
        <v>157.01</v>
      </c>
      <c r="X25" s="462">
        <v>57260</v>
      </c>
      <c r="Y25" s="505">
        <v>39.25</v>
      </c>
      <c r="Z25" s="461" t="s">
        <v>701</v>
      </c>
      <c r="AA25" s="461"/>
      <c r="AB25" s="461" t="s">
        <v>1516</v>
      </c>
      <c r="AC25" s="461"/>
      <c r="AD25" s="461" t="s">
        <v>705</v>
      </c>
      <c r="AE25" s="461" t="s">
        <v>703</v>
      </c>
      <c r="AF25" s="462" t="s">
        <v>351</v>
      </c>
      <c r="AG25" s="461"/>
      <c r="AH25" s="462" t="s">
        <v>707</v>
      </c>
      <c r="AI25" s="461">
        <v>0</v>
      </c>
      <c r="AJ25" s="461">
        <v>0</v>
      </c>
      <c r="AL25" s="364" t="s">
        <v>1336</v>
      </c>
      <c r="AM25" s="490">
        <f t="shared" si="11"/>
        <v>6</v>
      </c>
      <c r="AN25" s="490">
        <f t="shared" si="12"/>
        <v>2022</v>
      </c>
      <c r="AO25" s="490">
        <f t="shared" si="2"/>
        <v>2032</v>
      </c>
      <c r="AP25" s="510">
        <f t="shared" si="13"/>
        <v>2032.5</v>
      </c>
      <c r="AQ25" s="351">
        <f t="shared" si="14"/>
        <v>39.252083333333331</v>
      </c>
      <c r="AR25" s="351">
        <f t="shared" si="15"/>
        <v>471.02499999999998</v>
      </c>
      <c r="AS25" s="351">
        <f t="shared" si="6"/>
        <v>471.02499999999998</v>
      </c>
      <c r="AT25" s="351">
        <f t="shared" si="7"/>
        <v>0</v>
      </c>
      <c r="AU25" s="351">
        <f t="shared" si="16"/>
        <v>471.02499999999998</v>
      </c>
      <c r="AV25" s="351">
        <f t="shared" si="9"/>
        <v>4239.2250000000004</v>
      </c>
      <c r="AW25" s="491" t="s">
        <v>339</v>
      </c>
    </row>
    <row r="26" spans="1:49" x14ac:dyDescent="0.25">
      <c r="B26" s="462">
        <v>2032</v>
      </c>
      <c r="C26" s="466">
        <v>286529</v>
      </c>
      <c r="D26" s="462" t="s">
        <v>701</v>
      </c>
      <c r="E26" s="461" t="s">
        <v>1506</v>
      </c>
      <c r="F26" s="462">
        <v>1</v>
      </c>
      <c r="G26" s="461"/>
      <c r="H26" s="461"/>
      <c r="I26" s="461"/>
      <c r="J26" s="461">
        <v>0</v>
      </c>
      <c r="K26" s="461" t="s">
        <v>909</v>
      </c>
      <c r="L26" s="461"/>
      <c r="M26" s="461" t="s">
        <v>854</v>
      </c>
      <c r="N26" s="465">
        <v>44790</v>
      </c>
      <c r="O26" s="465">
        <v>44790</v>
      </c>
      <c r="P26" s="461" t="s">
        <v>1505</v>
      </c>
      <c r="Q26" s="462">
        <v>1200</v>
      </c>
      <c r="R26" s="462">
        <v>14050</v>
      </c>
      <c r="S26" s="512">
        <v>10153.57</v>
      </c>
      <c r="T26" s="462">
        <v>14056</v>
      </c>
      <c r="U26" s="505">
        <v>141.02000000000001</v>
      </c>
      <c r="V26" s="505">
        <f t="shared" si="10"/>
        <v>10012.549999999999</v>
      </c>
      <c r="W26" s="509">
        <v>141.02000000000001</v>
      </c>
      <c r="X26" s="462">
        <v>54260</v>
      </c>
      <c r="Y26" s="505">
        <v>70.510000000000005</v>
      </c>
      <c r="Z26" s="461" t="s">
        <v>701</v>
      </c>
      <c r="AA26" s="461"/>
      <c r="AB26" s="461" t="s">
        <v>1515</v>
      </c>
      <c r="AC26" s="461"/>
      <c r="AD26" s="461" t="s">
        <v>705</v>
      </c>
      <c r="AE26" s="461" t="s">
        <v>703</v>
      </c>
      <c r="AF26" s="462" t="s">
        <v>351</v>
      </c>
      <c r="AG26" s="461"/>
      <c r="AH26" s="462" t="s">
        <v>707</v>
      </c>
      <c r="AI26" s="461">
        <v>0</v>
      </c>
      <c r="AJ26" s="461">
        <v>0</v>
      </c>
      <c r="AL26" s="364" t="s">
        <v>297</v>
      </c>
      <c r="AM26" s="490">
        <f t="shared" ref="AM26:AM27" si="17">MONTH($N26)</f>
        <v>8</v>
      </c>
      <c r="AN26" s="490">
        <f t="shared" ref="AN26:AN27" si="18">YEAR($N26)</f>
        <v>2022</v>
      </c>
      <c r="AO26" s="490">
        <f t="shared" si="2"/>
        <v>2034</v>
      </c>
      <c r="AP26" s="510">
        <f t="shared" ref="AP26:AP27" si="19">$AO26+($AM26/12)</f>
        <v>2034.6666666666667</v>
      </c>
      <c r="AQ26" s="351">
        <f t="shared" ref="AQ26:AQ27" si="20">IFERROR($S26/($Q26/100)/12,0)</f>
        <v>70.510902777777773</v>
      </c>
      <c r="AR26" s="351">
        <f t="shared" ref="AR26:AR27" si="21">$AQ26*12</f>
        <v>846.13083333333327</v>
      </c>
      <c r="AS26" s="351">
        <f t="shared" si="6"/>
        <v>846.13083333333327</v>
      </c>
      <c r="AT26" s="351">
        <f t="shared" si="7"/>
        <v>0</v>
      </c>
      <c r="AU26" s="351">
        <f t="shared" ref="AU26:AU27" si="22">IF($AT26=0,$AS26,($AT26+$AS26))</f>
        <v>846.13083333333327</v>
      </c>
      <c r="AV26" s="351">
        <f t="shared" si="9"/>
        <v>9307.439166666667</v>
      </c>
      <c r="AW26" s="491" t="s">
        <v>339</v>
      </c>
    </row>
    <row r="27" spans="1:49" x14ac:dyDescent="0.25">
      <c r="B27" s="462">
        <v>2032</v>
      </c>
      <c r="C27" s="466">
        <v>286514</v>
      </c>
      <c r="D27" s="462" t="s">
        <v>701</v>
      </c>
      <c r="E27" s="461" t="s">
        <v>1500</v>
      </c>
      <c r="F27" s="462">
        <v>3</v>
      </c>
      <c r="G27" s="461"/>
      <c r="H27" s="461"/>
      <c r="I27" s="461"/>
      <c r="J27" s="461">
        <v>0</v>
      </c>
      <c r="K27" s="461" t="s">
        <v>909</v>
      </c>
      <c r="L27" s="461"/>
      <c r="M27" s="461" t="s">
        <v>850</v>
      </c>
      <c r="N27" s="465">
        <v>44791</v>
      </c>
      <c r="O27" s="465">
        <v>44791</v>
      </c>
      <c r="P27" s="461" t="s">
        <v>1499</v>
      </c>
      <c r="Q27" s="462">
        <v>1200</v>
      </c>
      <c r="R27" s="462">
        <v>14050</v>
      </c>
      <c r="S27" s="512">
        <v>27587.4</v>
      </c>
      <c r="T27" s="462">
        <v>14056</v>
      </c>
      <c r="U27" s="505">
        <v>383.16</v>
      </c>
      <c r="V27" s="505">
        <f t="shared" si="10"/>
        <v>27204.240000000002</v>
      </c>
      <c r="W27" s="509">
        <v>383.16</v>
      </c>
      <c r="X27" s="462">
        <v>54260</v>
      </c>
      <c r="Y27" s="505">
        <v>191.58</v>
      </c>
      <c r="Z27" s="461" t="s">
        <v>701</v>
      </c>
      <c r="AA27" s="461"/>
      <c r="AB27" s="461" t="s">
        <v>1515</v>
      </c>
      <c r="AC27" s="461"/>
      <c r="AD27" s="461" t="s">
        <v>705</v>
      </c>
      <c r="AE27" s="461" t="s">
        <v>703</v>
      </c>
      <c r="AF27" s="462" t="s">
        <v>351</v>
      </c>
      <c r="AG27" s="461"/>
      <c r="AH27" s="462" t="s">
        <v>707</v>
      </c>
      <c r="AI27" s="461">
        <v>0</v>
      </c>
      <c r="AJ27" s="461">
        <v>0</v>
      </c>
      <c r="AL27" s="364" t="s">
        <v>297</v>
      </c>
      <c r="AM27" s="490">
        <f t="shared" si="17"/>
        <v>8</v>
      </c>
      <c r="AN27" s="490">
        <f t="shared" si="18"/>
        <v>2022</v>
      </c>
      <c r="AO27" s="490">
        <f t="shared" si="2"/>
        <v>2034</v>
      </c>
      <c r="AP27" s="510">
        <f t="shared" si="19"/>
        <v>2034.6666666666667</v>
      </c>
      <c r="AQ27" s="351">
        <f t="shared" si="20"/>
        <v>191.57916666666668</v>
      </c>
      <c r="AR27" s="351">
        <f t="shared" si="21"/>
        <v>2298.9500000000003</v>
      </c>
      <c r="AS27" s="351">
        <f t="shared" si="6"/>
        <v>2298.9500000000003</v>
      </c>
      <c r="AT27" s="351">
        <f t="shared" si="7"/>
        <v>0</v>
      </c>
      <c r="AU27" s="351">
        <f t="shared" si="22"/>
        <v>2298.9500000000003</v>
      </c>
      <c r="AV27" s="351">
        <f t="shared" si="9"/>
        <v>25288.45</v>
      </c>
      <c r="AW27" s="491" t="s">
        <v>339</v>
      </c>
    </row>
    <row r="28" spans="1:49" x14ac:dyDescent="0.25">
      <c r="B28" s="462">
        <v>2032</v>
      </c>
      <c r="C28" s="466">
        <v>286299</v>
      </c>
      <c r="D28" s="462">
        <v>114283</v>
      </c>
      <c r="E28" s="461" t="s">
        <v>1514</v>
      </c>
      <c r="F28" s="462"/>
      <c r="G28" s="461"/>
      <c r="H28" s="461"/>
      <c r="I28" s="461"/>
      <c r="J28" s="461">
        <v>0</v>
      </c>
      <c r="K28" s="461" t="s">
        <v>1513</v>
      </c>
      <c r="L28" s="461"/>
      <c r="M28" s="461" t="s">
        <v>965</v>
      </c>
      <c r="N28" s="465">
        <v>41570</v>
      </c>
      <c r="O28" s="465">
        <v>41570</v>
      </c>
      <c r="P28" s="461" t="s">
        <v>1512</v>
      </c>
      <c r="Q28" s="462">
        <v>300</v>
      </c>
      <c r="R28" s="462">
        <v>14040</v>
      </c>
      <c r="S28" s="512">
        <v>8837.86</v>
      </c>
      <c r="T28" s="462">
        <v>14046</v>
      </c>
      <c r="U28" s="505">
        <v>8837.86</v>
      </c>
      <c r="V28" s="505">
        <f t="shared" si="10"/>
        <v>0</v>
      </c>
      <c r="W28" s="509">
        <v>0</v>
      </c>
      <c r="X28" s="462">
        <v>51260</v>
      </c>
      <c r="Y28" s="505">
        <v>0</v>
      </c>
      <c r="Z28" s="461" t="s">
        <v>701</v>
      </c>
      <c r="AA28" s="461"/>
      <c r="AB28" s="461">
        <v>127594</v>
      </c>
      <c r="AC28" s="461"/>
      <c r="AD28" s="461" t="s">
        <v>705</v>
      </c>
      <c r="AE28" s="461" t="s">
        <v>703</v>
      </c>
      <c r="AF28" s="462" t="s">
        <v>351</v>
      </c>
      <c r="AG28" s="467">
        <v>44773</v>
      </c>
      <c r="AH28" s="462" t="s">
        <v>707</v>
      </c>
      <c r="AI28" s="461">
        <v>0</v>
      </c>
      <c r="AJ28" s="461">
        <v>8837.86</v>
      </c>
      <c r="AL28" s="364" t="s">
        <v>1336</v>
      </c>
      <c r="AM28" s="490">
        <f>MONTH($N28)</f>
        <v>10</v>
      </c>
      <c r="AN28" s="490">
        <f>YEAR($N28)</f>
        <v>2013</v>
      </c>
      <c r="AO28" s="490">
        <f t="shared" si="2"/>
        <v>2016</v>
      </c>
      <c r="AP28" s="510">
        <f>$AO28+($AM28/12)</f>
        <v>2016.8333333333333</v>
      </c>
      <c r="AQ28" s="351">
        <f>IFERROR($S28/($Q28/100)/12,0)</f>
        <v>245.49611111111111</v>
      </c>
      <c r="AR28" s="351">
        <f>$AQ28*12</f>
        <v>2945.9533333333334</v>
      </c>
      <c r="AS28" s="351">
        <f t="shared" si="6"/>
        <v>0</v>
      </c>
      <c r="AT28" s="351">
        <f t="shared" si="7"/>
        <v>8837.86</v>
      </c>
      <c r="AU28" s="351">
        <f>IF($AT28=0,$AS28,($AT28+$AS28))</f>
        <v>8837.86</v>
      </c>
      <c r="AV28" s="351">
        <f t="shared" si="9"/>
        <v>0</v>
      </c>
      <c r="AW28" s="491" t="s">
        <v>339</v>
      </c>
    </row>
    <row r="29" spans="1:49" x14ac:dyDescent="0.25">
      <c r="B29" s="462">
        <v>2032</v>
      </c>
      <c r="C29" s="466">
        <v>286298</v>
      </c>
      <c r="D29" s="462" t="s">
        <v>701</v>
      </c>
      <c r="E29" s="461" t="s">
        <v>1511</v>
      </c>
      <c r="F29" s="462">
        <v>0</v>
      </c>
      <c r="G29" s="461"/>
      <c r="H29" s="461" t="s">
        <v>1510</v>
      </c>
      <c r="I29" s="461"/>
      <c r="J29" s="461">
        <v>2006</v>
      </c>
      <c r="K29" s="461" t="s">
        <v>1509</v>
      </c>
      <c r="L29" s="461" t="s">
        <v>1466</v>
      </c>
      <c r="M29" s="461" t="s">
        <v>779</v>
      </c>
      <c r="N29" s="465">
        <v>39755</v>
      </c>
      <c r="O29" s="465">
        <v>39755</v>
      </c>
      <c r="P29" s="461"/>
      <c r="Q29" s="462">
        <v>700</v>
      </c>
      <c r="R29" s="462">
        <v>14040</v>
      </c>
      <c r="S29" s="512">
        <v>81500</v>
      </c>
      <c r="T29" s="462">
        <v>14046</v>
      </c>
      <c r="U29" s="505">
        <v>81500</v>
      </c>
      <c r="V29" s="505">
        <f t="shared" si="10"/>
        <v>0</v>
      </c>
      <c r="W29" s="509">
        <v>0</v>
      </c>
      <c r="X29" s="462">
        <v>51260</v>
      </c>
      <c r="Y29" s="505">
        <v>0</v>
      </c>
      <c r="Z29" s="461" t="s">
        <v>703</v>
      </c>
      <c r="AA29" s="461" t="s">
        <v>1465</v>
      </c>
      <c r="AB29" s="461"/>
      <c r="AC29" s="461">
        <v>4049</v>
      </c>
      <c r="AD29" s="461" t="s">
        <v>705</v>
      </c>
      <c r="AE29" s="461" t="s">
        <v>703</v>
      </c>
      <c r="AF29" s="462" t="s">
        <v>351</v>
      </c>
      <c r="AG29" s="467">
        <v>44773</v>
      </c>
      <c r="AH29" s="462" t="s">
        <v>707</v>
      </c>
      <c r="AI29" s="461">
        <v>0</v>
      </c>
      <c r="AJ29" s="461">
        <v>81500</v>
      </c>
      <c r="AK29" s="364">
        <v>4049</v>
      </c>
      <c r="AL29" s="540" t="s">
        <v>741</v>
      </c>
      <c r="AM29" s="490">
        <f t="shared" ref="AM29:AM34" si="23">MONTH($N29)</f>
        <v>11</v>
      </c>
      <c r="AN29" s="490">
        <f t="shared" ref="AN29:AN34" si="24">YEAR($N29)</f>
        <v>2008</v>
      </c>
      <c r="AO29" s="490">
        <f t="shared" si="2"/>
        <v>2015</v>
      </c>
      <c r="AP29" s="510">
        <f t="shared" ref="AP29:AP34" si="25">$AO29+($AM29/12)</f>
        <v>2015.9166666666667</v>
      </c>
      <c r="AQ29" s="351">
        <f t="shared" ref="AQ29:AQ34" si="26">IFERROR($S29/($Q29/100)/12,0)</f>
        <v>970.2380952380953</v>
      </c>
      <c r="AR29" s="351">
        <f t="shared" ref="AR29:AR34" si="27">$AQ29*12</f>
        <v>11642.857142857143</v>
      </c>
      <c r="AS29" s="351">
        <f t="shared" si="6"/>
        <v>0</v>
      </c>
      <c r="AT29" s="351">
        <f t="shared" si="7"/>
        <v>81500</v>
      </c>
      <c r="AU29" s="351">
        <f t="shared" ref="AU29:AU34" si="28">IF($AT29=0,$AS29,($AT29+$AS29))</f>
        <v>81500</v>
      </c>
      <c r="AV29" s="351">
        <f t="shared" si="9"/>
        <v>0</v>
      </c>
      <c r="AW29" s="491" t="s">
        <v>339</v>
      </c>
    </row>
    <row r="30" spans="1:49" x14ac:dyDescent="0.25">
      <c r="B30" s="462">
        <v>2032</v>
      </c>
      <c r="C30" s="466">
        <v>286223</v>
      </c>
      <c r="D30" s="462" t="s">
        <v>701</v>
      </c>
      <c r="E30" s="461" t="s">
        <v>1508</v>
      </c>
      <c r="F30" s="462">
        <v>2</v>
      </c>
      <c r="G30" s="461"/>
      <c r="H30" s="461"/>
      <c r="I30" s="461"/>
      <c r="J30" s="461">
        <v>0</v>
      </c>
      <c r="K30" s="461" t="s">
        <v>909</v>
      </c>
      <c r="L30" s="461"/>
      <c r="M30" s="461" t="s">
        <v>856</v>
      </c>
      <c r="N30" s="465">
        <v>44790</v>
      </c>
      <c r="O30" s="465">
        <v>44790</v>
      </c>
      <c r="P30" s="461" t="s">
        <v>1507</v>
      </c>
      <c r="Q30" s="462">
        <v>1200</v>
      </c>
      <c r="R30" s="462">
        <v>14050</v>
      </c>
      <c r="S30" s="512">
        <v>16490.66</v>
      </c>
      <c r="T30" s="462">
        <v>14056</v>
      </c>
      <c r="U30" s="505">
        <v>229.04</v>
      </c>
      <c r="V30" s="505">
        <f t="shared" si="10"/>
        <v>16261.619999999999</v>
      </c>
      <c r="W30" s="509">
        <v>229.04</v>
      </c>
      <c r="X30" s="462">
        <v>54260</v>
      </c>
      <c r="Y30" s="505">
        <v>114.52</v>
      </c>
      <c r="Z30" s="461" t="s">
        <v>701</v>
      </c>
      <c r="AA30" s="461"/>
      <c r="AB30" s="461" t="s">
        <v>1504</v>
      </c>
      <c r="AC30" s="461"/>
      <c r="AD30" s="461" t="s">
        <v>705</v>
      </c>
      <c r="AE30" s="461" t="s">
        <v>703</v>
      </c>
      <c r="AF30" s="462" t="s">
        <v>351</v>
      </c>
      <c r="AG30" s="461"/>
      <c r="AH30" s="462" t="s">
        <v>707</v>
      </c>
      <c r="AI30" s="461">
        <v>0</v>
      </c>
      <c r="AJ30" s="461">
        <v>0</v>
      </c>
      <c r="AL30" s="364" t="s">
        <v>297</v>
      </c>
      <c r="AM30" s="490">
        <f t="shared" si="23"/>
        <v>8</v>
      </c>
      <c r="AN30" s="490">
        <f t="shared" si="24"/>
        <v>2022</v>
      </c>
      <c r="AO30" s="490">
        <f t="shared" si="2"/>
        <v>2034</v>
      </c>
      <c r="AP30" s="510">
        <f t="shared" si="25"/>
        <v>2034.6666666666667</v>
      </c>
      <c r="AQ30" s="351">
        <f t="shared" si="26"/>
        <v>114.51847222222221</v>
      </c>
      <c r="AR30" s="351">
        <f t="shared" si="27"/>
        <v>1374.2216666666666</v>
      </c>
      <c r="AS30" s="351">
        <f t="shared" si="6"/>
        <v>1374.2216666666666</v>
      </c>
      <c r="AT30" s="351">
        <f t="shared" si="7"/>
        <v>0</v>
      </c>
      <c r="AU30" s="351">
        <f t="shared" si="28"/>
        <v>1374.2216666666666</v>
      </c>
      <c r="AV30" s="351">
        <f t="shared" si="9"/>
        <v>15116.438333333334</v>
      </c>
      <c r="AW30" s="491" t="s">
        <v>339</v>
      </c>
    </row>
    <row r="31" spans="1:49" x14ac:dyDescent="0.25">
      <c r="B31" s="462">
        <v>2032</v>
      </c>
      <c r="C31" s="466">
        <v>286222</v>
      </c>
      <c r="D31" s="462" t="s">
        <v>701</v>
      </c>
      <c r="E31" s="461" t="s">
        <v>1506</v>
      </c>
      <c r="F31" s="462">
        <v>2</v>
      </c>
      <c r="G31" s="461"/>
      <c r="H31" s="461"/>
      <c r="I31" s="461"/>
      <c r="J31" s="461">
        <v>0</v>
      </c>
      <c r="K31" s="461" t="s">
        <v>909</v>
      </c>
      <c r="L31" s="461"/>
      <c r="M31" s="461" t="s">
        <v>854</v>
      </c>
      <c r="N31" s="465">
        <v>44790</v>
      </c>
      <c r="O31" s="465">
        <v>44790</v>
      </c>
      <c r="P31" s="461" t="s">
        <v>1505</v>
      </c>
      <c r="Q31" s="462">
        <v>1200</v>
      </c>
      <c r="R31" s="462">
        <v>14050</v>
      </c>
      <c r="S31" s="512">
        <v>20812.5</v>
      </c>
      <c r="T31" s="462">
        <v>14056</v>
      </c>
      <c r="U31" s="505">
        <v>289.07</v>
      </c>
      <c r="V31" s="505">
        <f t="shared" si="10"/>
        <v>20523.43</v>
      </c>
      <c r="W31" s="509">
        <v>289.07</v>
      </c>
      <c r="X31" s="462">
        <v>54260</v>
      </c>
      <c r="Y31" s="505">
        <v>144.54</v>
      </c>
      <c r="Z31" s="461" t="s">
        <v>701</v>
      </c>
      <c r="AA31" s="461"/>
      <c r="AB31" s="461" t="s">
        <v>1504</v>
      </c>
      <c r="AC31" s="461"/>
      <c r="AD31" s="461" t="s">
        <v>705</v>
      </c>
      <c r="AE31" s="461" t="s">
        <v>703</v>
      </c>
      <c r="AF31" s="462" t="s">
        <v>351</v>
      </c>
      <c r="AG31" s="461"/>
      <c r="AH31" s="462" t="s">
        <v>707</v>
      </c>
      <c r="AI31" s="461">
        <v>0</v>
      </c>
      <c r="AJ31" s="461">
        <v>0</v>
      </c>
      <c r="AL31" s="364" t="s">
        <v>297</v>
      </c>
      <c r="AM31" s="490">
        <f t="shared" si="23"/>
        <v>8</v>
      </c>
      <c r="AN31" s="490">
        <f t="shared" si="24"/>
        <v>2022</v>
      </c>
      <c r="AO31" s="490">
        <f t="shared" si="2"/>
        <v>2034</v>
      </c>
      <c r="AP31" s="510">
        <f t="shared" si="25"/>
        <v>2034.6666666666667</v>
      </c>
      <c r="AQ31" s="351">
        <f t="shared" si="26"/>
        <v>144.53125</v>
      </c>
      <c r="AR31" s="351">
        <f t="shared" si="27"/>
        <v>1734.375</v>
      </c>
      <c r="AS31" s="351">
        <f t="shared" si="6"/>
        <v>1734.375</v>
      </c>
      <c r="AT31" s="351">
        <f t="shared" si="7"/>
        <v>0</v>
      </c>
      <c r="AU31" s="351">
        <f t="shared" si="28"/>
        <v>1734.375</v>
      </c>
      <c r="AV31" s="351">
        <f t="shared" si="9"/>
        <v>19078.125</v>
      </c>
      <c r="AW31" s="491" t="s">
        <v>339</v>
      </c>
    </row>
    <row r="32" spans="1:49" x14ac:dyDescent="0.25">
      <c r="B32" s="462">
        <v>2032</v>
      </c>
      <c r="C32" s="466">
        <v>286119</v>
      </c>
      <c r="D32" s="462" t="s">
        <v>701</v>
      </c>
      <c r="E32" s="461" t="s">
        <v>1503</v>
      </c>
      <c r="F32" s="462">
        <v>2</v>
      </c>
      <c r="G32" s="461"/>
      <c r="H32" s="461"/>
      <c r="I32" s="461"/>
      <c r="J32" s="461">
        <v>0</v>
      </c>
      <c r="K32" s="461" t="s">
        <v>909</v>
      </c>
      <c r="L32" s="461"/>
      <c r="M32" s="461" t="s">
        <v>854</v>
      </c>
      <c r="N32" s="465">
        <v>44788</v>
      </c>
      <c r="O32" s="465">
        <v>44788</v>
      </c>
      <c r="P32" s="461" t="s">
        <v>1502</v>
      </c>
      <c r="Q32" s="462">
        <v>1200</v>
      </c>
      <c r="R32" s="462">
        <v>14050</v>
      </c>
      <c r="S32" s="512">
        <v>14521.08</v>
      </c>
      <c r="T32" s="462">
        <v>14056</v>
      </c>
      <c r="U32" s="505">
        <v>302.52</v>
      </c>
      <c r="V32" s="505">
        <f t="shared" si="10"/>
        <v>14218.56</v>
      </c>
      <c r="W32" s="509">
        <v>302.52</v>
      </c>
      <c r="X32" s="462">
        <v>54260</v>
      </c>
      <c r="Y32" s="505">
        <v>100.84</v>
      </c>
      <c r="Z32" s="461" t="s">
        <v>701</v>
      </c>
      <c r="AA32" s="461"/>
      <c r="AB32" s="461" t="s">
        <v>1501</v>
      </c>
      <c r="AC32" s="461"/>
      <c r="AD32" s="461" t="s">
        <v>705</v>
      </c>
      <c r="AE32" s="461" t="s">
        <v>703</v>
      </c>
      <c r="AF32" s="462" t="s">
        <v>351</v>
      </c>
      <c r="AG32" s="461"/>
      <c r="AH32" s="462" t="s">
        <v>707</v>
      </c>
      <c r="AI32" s="461">
        <v>0</v>
      </c>
      <c r="AJ32" s="461">
        <v>0</v>
      </c>
      <c r="AL32" s="364" t="s">
        <v>297</v>
      </c>
      <c r="AM32" s="490">
        <f t="shared" si="23"/>
        <v>8</v>
      </c>
      <c r="AN32" s="490">
        <f t="shared" si="24"/>
        <v>2022</v>
      </c>
      <c r="AO32" s="490">
        <f t="shared" si="2"/>
        <v>2034</v>
      </c>
      <c r="AP32" s="510">
        <f t="shared" si="25"/>
        <v>2034.6666666666667</v>
      </c>
      <c r="AQ32" s="351">
        <f t="shared" si="26"/>
        <v>100.84083333333332</v>
      </c>
      <c r="AR32" s="351">
        <f t="shared" si="27"/>
        <v>1210.0899999999999</v>
      </c>
      <c r="AS32" s="351">
        <f t="shared" si="6"/>
        <v>1210.0899999999999</v>
      </c>
      <c r="AT32" s="351">
        <f t="shared" si="7"/>
        <v>0</v>
      </c>
      <c r="AU32" s="351">
        <f t="shared" si="28"/>
        <v>1210.0899999999999</v>
      </c>
      <c r="AV32" s="351">
        <f t="shared" si="9"/>
        <v>13310.99</v>
      </c>
      <c r="AW32" s="491" t="s">
        <v>339</v>
      </c>
    </row>
    <row r="33" spans="2:49" x14ac:dyDescent="0.25">
      <c r="B33" s="462">
        <v>2032</v>
      </c>
      <c r="C33" s="466">
        <v>286118</v>
      </c>
      <c r="D33" s="462" t="s">
        <v>701</v>
      </c>
      <c r="E33" s="461" t="s">
        <v>1500</v>
      </c>
      <c r="F33" s="462">
        <v>2</v>
      </c>
      <c r="G33" s="461"/>
      <c r="H33" s="461"/>
      <c r="I33" s="461"/>
      <c r="J33" s="461">
        <v>0</v>
      </c>
      <c r="K33" s="461" t="s">
        <v>909</v>
      </c>
      <c r="L33" s="461"/>
      <c r="M33" s="461" t="s">
        <v>850</v>
      </c>
      <c r="N33" s="465">
        <v>44788</v>
      </c>
      <c r="O33" s="465">
        <v>44788</v>
      </c>
      <c r="P33" s="461" t="s">
        <v>1499</v>
      </c>
      <c r="Q33" s="462">
        <v>1200</v>
      </c>
      <c r="R33" s="462">
        <v>14050</v>
      </c>
      <c r="S33" s="512">
        <v>18896.97</v>
      </c>
      <c r="T33" s="462">
        <v>14056</v>
      </c>
      <c r="U33" s="505">
        <v>393.69</v>
      </c>
      <c r="V33" s="505">
        <f t="shared" si="10"/>
        <v>18503.280000000002</v>
      </c>
      <c r="W33" s="509">
        <v>393.69</v>
      </c>
      <c r="X33" s="462">
        <v>54260</v>
      </c>
      <c r="Y33" s="505">
        <v>131.22999999999999</v>
      </c>
      <c r="Z33" s="461" t="s">
        <v>701</v>
      </c>
      <c r="AA33" s="461"/>
      <c r="AB33" s="461" t="s">
        <v>1498</v>
      </c>
      <c r="AC33" s="461"/>
      <c r="AD33" s="461" t="s">
        <v>705</v>
      </c>
      <c r="AE33" s="461" t="s">
        <v>703</v>
      </c>
      <c r="AF33" s="462" t="s">
        <v>351</v>
      </c>
      <c r="AG33" s="461"/>
      <c r="AH33" s="462" t="s">
        <v>707</v>
      </c>
      <c r="AI33" s="461">
        <v>0</v>
      </c>
      <c r="AJ33" s="461">
        <v>0</v>
      </c>
      <c r="AL33" s="364" t="s">
        <v>297</v>
      </c>
      <c r="AM33" s="490">
        <f t="shared" si="23"/>
        <v>8</v>
      </c>
      <c r="AN33" s="490">
        <f t="shared" si="24"/>
        <v>2022</v>
      </c>
      <c r="AO33" s="490">
        <f t="shared" si="2"/>
        <v>2034</v>
      </c>
      <c r="AP33" s="510">
        <f t="shared" si="25"/>
        <v>2034.6666666666667</v>
      </c>
      <c r="AQ33" s="351">
        <f t="shared" si="26"/>
        <v>131.22895833333334</v>
      </c>
      <c r="AR33" s="351">
        <f t="shared" si="27"/>
        <v>1574.7474999999999</v>
      </c>
      <c r="AS33" s="351">
        <f t="shared" si="6"/>
        <v>1574.7474999999999</v>
      </c>
      <c r="AT33" s="351">
        <f t="shared" si="7"/>
        <v>0</v>
      </c>
      <c r="AU33" s="351">
        <f t="shared" si="28"/>
        <v>1574.7474999999999</v>
      </c>
      <c r="AV33" s="351">
        <f t="shared" si="9"/>
        <v>17322.2225</v>
      </c>
      <c r="AW33" s="491" t="s">
        <v>339</v>
      </c>
    </row>
    <row r="34" spans="2:49" x14ac:dyDescent="0.25">
      <c r="B34" s="462">
        <v>2032</v>
      </c>
      <c r="C34" s="466">
        <v>286049</v>
      </c>
      <c r="D34" s="462" t="s">
        <v>701</v>
      </c>
      <c r="E34" s="461" t="s">
        <v>1497</v>
      </c>
      <c r="F34" s="462">
        <v>200</v>
      </c>
      <c r="G34" s="461"/>
      <c r="H34" s="461"/>
      <c r="I34" s="461"/>
      <c r="J34" s="461">
        <v>0</v>
      </c>
      <c r="K34" s="461" t="s">
        <v>890</v>
      </c>
      <c r="L34" s="461"/>
      <c r="M34" s="461" t="s">
        <v>858</v>
      </c>
      <c r="N34" s="465">
        <v>44805</v>
      </c>
      <c r="O34" s="465">
        <v>44805</v>
      </c>
      <c r="P34" s="461" t="s">
        <v>1496</v>
      </c>
      <c r="Q34" s="462">
        <v>700</v>
      </c>
      <c r="R34" s="462">
        <v>14050</v>
      </c>
      <c r="S34" s="512">
        <v>18655.900000000001</v>
      </c>
      <c r="T34" s="462">
        <v>14056</v>
      </c>
      <c r="U34" s="505">
        <v>444.19</v>
      </c>
      <c r="V34" s="505">
        <f t="shared" si="10"/>
        <v>18211.710000000003</v>
      </c>
      <c r="W34" s="509">
        <v>444.19</v>
      </c>
      <c r="X34" s="462">
        <v>54260</v>
      </c>
      <c r="Y34" s="505">
        <v>222.09</v>
      </c>
      <c r="Z34" s="461" t="s">
        <v>701</v>
      </c>
      <c r="AA34" s="461"/>
      <c r="AB34" s="461">
        <v>50258458</v>
      </c>
      <c r="AC34" s="461"/>
      <c r="AD34" s="461" t="s">
        <v>705</v>
      </c>
      <c r="AE34" s="461" t="s">
        <v>703</v>
      </c>
      <c r="AF34" s="462" t="s">
        <v>351</v>
      </c>
      <c r="AG34" s="461"/>
      <c r="AH34" s="462" t="s">
        <v>707</v>
      </c>
      <c r="AI34" s="461">
        <v>0</v>
      </c>
      <c r="AJ34" s="461">
        <v>0</v>
      </c>
      <c r="AL34" s="364" t="s">
        <v>295</v>
      </c>
      <c r="AM34" s="490">
        <f t="shared" si="23"/>
        <v>9</v>
      </c>
      <c r="AN34" s="490">
        <f t="shared" si="24"/>
        <v>2022</v>
      </c>
      <c r="AO34" s="490">
        <f t="shared" si="2"/>
        <v>2029</v>
      </c>
      <c r="AP34" s="510">
        <f t="shared" si="25"/>
        <v>2029.75</v>
      </c>
      <c r="AQ34" s="351">
        <f t="shared" si="26"/>
        <v>222.09404761904764</v>
      </c>
      <c r="AR34" s="351">
        <f t="shared" si="27"/>
        <v>2665.1285714285718</v>
      </c>
      <c r="AS34" s="351">
        <f t="shared" si="6"/>
        <v>2665.1285714285718</v>
      </c>
      <c r="AT34" s="351">
        <f t="shared" si="7"/>
        <v>0</v>
      </c>
      <c r="AU34" s="351">
        <f t="shared" si="28"/>
        <v>2665.1285714285718</v>
      </c>
      <c r="AV34" s="351">
        <f t="shared" si="9"/>
        <v>15990.77142857143</v>
      </c>
      <c r="AW34" s="491" t="s">
        <v>339</v>
      </c>
    </row>
    <row r="35" spans="2:49" x14ac:dyDescent="0.25">
      <c r="B35" s="462">
        <v>2032</v>
      </c>
      <c r="C35" s="466">
        <v>285923</v>
      </c>
      <c r="D35" s="462" t="s">
        <v>701</v>
      </c>
      <c r="E35" s="461" t="s">
        <v>1494</v>
      </c>
      <c r="F35" s="462">
        <v>20</v>
      </c>
      <c r="G35" s="461"/>
      <c r="H35" s="461"/>
      <c r="I35" s="461"/>
      <c r="J35" s="461">
        <v>0</v>
      </c>
      <c r="K35" s="461" t="s">
        <v>909</v>
      </c>
      <c r="L35" s="461"/>
      <c r="M35" s="461" t="s">
        <v>1113</v>
      </c>
      <c r="N35" s="465">
        <v>44769</v>
      </c>
      <c r="O35" s="465">
        <v>44769</v>
      </c>
      <c r="P35" s="461" t="s">
        <v>1491</v>
      </c>
      <c r="Q35" s="462">
        <v>1200</v>
      </c>
      <c r="R35" s="462">
        <v>14050</v>
      </c>
      <c r="S35" s="512">
        <v>31341.42</v>
      </c>
      <c r="T35" s="462">
        <v>14056</v>
      </c>
      <c r="U35" s="505">
        <v>652.94000000000005</v>
      </c>
      <c r="V35" s="505">
        <f t="shared" si="10"/>
        <v>30688.48</v>
      </c>
      <c r="W35" s="509">
        <v>652.94000000000005</v>
      </c>
      <c r="X35" s="462">
        <v>54260</v>
      </c>
      <c r="Y35" s="505">
        <v>217.64</v>
      </c>
      <c r="Z35" s="461" t="s">
        <v>701</v>
      </c>
      <c r="AA35" s="461"/>
      <c r="AB35" s="461" t="s">
        <v>1495</v>
      </c>
      <c r="AC35" s="461"/>
      <c r="AD35" s="461" t="s">
        <v>705</v>
      </c>
      <c r="AE35" s="461" t="s">
        <v>703</v>
      </c>
      <c r="AF35" s="462" t="s">
        <v>351</v>
      </c>
      <c r="AG35" s="461"/>
      <c r="AH35" s="462" t="s">
        <v>707</v>
      </c>
      <c r="AI35" s="461">
        <v>0</v>
      </c>
      <c r="AJ35" s="461">
        <v>0</v>
      </c>
      <c r="AL35" s="364" t="s">
        <v>295</v>
      </c>
      <c r="AM35" s="490">
        <f t="shared" ref="AM35:AM41" si="29">MONTH($N35)</f>
        <v>7</v>
      </c>
      <c r="AN35" s="490">
        <f t="shared" ref="AN35:AN41" si="30">YEAR($N35)</f>
        <v>2022</v>
      </c>
      <c r="AO35" s="490">
        <f t="shared" si="2"/>
        <v>2034</v>
      </c>
      <c r="AP35" s="510">
        <f t="shared" ref="AP35:AP41" si="31">$AO35+($AM35/12)</f>
        <v>2034.5833333333333</v>
      </c>
      <c r="AQ35" s="351">
        <f t="shared" ref="AQ35:AQ41" si="32">IFERROR($S35/($Q35/100)/12,0)</f>
        <v>217.64874999999998</v>
      </c>
      <c r="AR35" s="351">
        <f t="shared" ref="AR35:AR41" si="33">$AQ35*12</f>
        <v>2611.7849999999999</v>
      </c>
      <c r="AS35" s="351">
        <f t="shared" si="6"/>
        <v>2611.7849999999999</v>
      </c>
      <c r="AT35" s="351">
        <f t="shared" si="7"/>
        <v>0</v>
      </c>
      <c r="AU35" s="351">
        <f t="shared" ref="AU35:AU41" si="34">IF($AT35=0,$AS35,($AT35+$AS35))</f>
        <v>2611.7849999999999</v>
      </c>
      <c r="AV35" s="351">
        <f t="shared" si="9"/>
        <v>28729.634999999998</v>
      </c>
      <c r="AW35" s="491" t="s">
        <v>339</v>
      </c>
    </row>
    <row r="36" spans="2:49" x14ac:dyDescent="0.25">
      <c r="B36" s="462">
        <v>2032</v>
      </c>
      <c r="C36" s="466">
        <v>285299</v>
      </c>
      <c r="D36" s="462" t="s">
        <v>701</v>
      </c>
      <c r="E36" s="461" t="s">
        <v>1494</v>
      </c>
      <c r="F36" s="462">
        <v>10</v>
      </c>
      <c r="G36" s="461"/>
      <c r="H36" s="461"/>
      <c r="I36" s="461"/>
      <c r="J36" s="461">
        <v>0</v>
      </c>
      <c r="K36" s="461" t="s">
        <v>909</v>
      </c>
      <c r="L36" s="461"/>
      <c r="M36" s="461" t="s">
        <v>1113</v>
      </c>
      <c r="N36" s="465">
        <v>44769</v>
      </c>
      <c r="O36" s="465">
        <v>44769</v>
      </c>
      <c r="P36" s="461" t="s">
        <v>1491</v>
      </c>
      <c r="Q36" s="462">
        <v>1200</v>
      </c>
      <c r="R36" s="462">
        <v>14050</v>
      </c>
      <c r="S36" s="512">
        <v>15670.71</v>
      </c>
      <c r="T36" s="462">
        <v>14056</v>
      </c>
      <c r="U36" s="505">
        <v>326.47000000000003</v>
      </c>
      <c r="V36" s="505">
        <f t="shared" si="10"/>
        <v>15344.24</v>
      </c>
      <c r="W36" s="509">
        <v>326.47000000000003</v>
      </c>
      <c r="X36" s="462">
        <v>54260</v>
      </c>
      <c r="Y36" s="505">
        <v>108.82</v>
      </c>
      <c r="Z36" s="461" t="s">
        <v>701</v>
      </c>
      <c r="AA36" s="461"/>
      <c r="AB36" s="461" t="s">
        <v>1493</v>
      </c>
      <c r="AC36" s="461"/>
      <c r="AD36" s="461" t="s">
        <v>705</v>
      </c>
      <c r="AE36" s="461" t="s">
        <v>703</v>
      </c>
      <c r="AF36" s="462" t="s">
        <v>351</v>
      </c>
      <c r="AG36" s="461"/>
      <c r="AH36" s="462" t="s">
        <v>707</v>
      </c>
      <c r="AI36" s="461">
        <v>0</v>
      </c>
      <c r="AJ36" s="461">
        <v>0</v>
      </c>
      <c r="AL36" s="364" t="s">
        <v>295</v>
      </c>
      <c r="AM36" s="490">
        <f t="shared" si="29"/>
        <v>7</v>
      </c>
      <c r="AN36" s="490">
        <f t="shared" si="30"/>
        <v>2022</v>
      </c>
      <c r="AO36" s="490">
        <f t="shared" si="2"/>
        <v>2034</v>
      </c>
      <c r="AP36" s="510">
        <f t="shared" si="31"/>
        <v>2034.5833333333333</v>
      </c>
      <c r="AQ36" s="351">
        <f t="shared" si="32"/>
        <v>108.82437499999999</v>
      </c>
      <c r="AR36" s="351">
        <f t="shared" si="33"/>
        <v>1305.8924999999999</v>
      </c>
      <c r="AS36" s="351">
        <f t="shared" si="6"/>
        <v>1305.8924999999999</v>
      </c>
      <c r="AT36" s="351">
        <f t="shared" si="7"/>
        <v>0</v>
      </c>
      <c r="AU36" s="351">
        <f t="shared" si="34"/>
        <v>1305.8924999999999</v>
      </c>
      <c r="AV36" s="351">
        <f t="shared" si="9"/>
        <v>14364.817499999999</v>
      </c>
      <c r="AW36" s="491" t="s">
        <v>339</v>
      </c>
    </row>
    <row r="37" spans="2:49" x14ac:dyDescent="0.25">
      <c r="B37" s="462">
        <v>2032</v>
      </c>
      <c r="C37" s="466">
        <v>285298</v>
      </c>
      <c r="D37" s="462" t="s">
        <v>701</v>
      </c>
      <c r="E37" s="461" t="s">
        <v>1492</v>
      </c>
      <c r="F37" s="462">
        <v>10</v>
      </c>
      <c r="G37" s="461"/>
      <c r="H37" s="461"/>
      <c r="I37" s="461"/>
      <c r="J37" s="461">
        <v>0</v>
      </c>
      <c r="K37" s="461" t="s">
        <v>909</v>
      </c>
      <c r="L37" s="461"/>
      <c r="M37" s="461" t="s">
        <v>1113</v>
      </c>
      <c r="N37" s="465">
        <v>44769</v>
      </c>
      <c r="O37" s="465">
        <v>44769</v>
      </c>
      <c r="P37" s="461" t="s">
        <v>1491</v>
      </c>
      <c r="Q37" s="462">
        <v>1200</v>
      </c>
      <c r="R37" s="462">
        <v>14050</v>
      </c>
      <c r="S37" s="512">
        <v>15670.71</v>
      </c>
      <c r="T37" s="462">
        <v>14056</v>
      </c>
      <c r="U37" s="505">
        <v>326.47000000000003</v>
      </c>
      <c r="V37" s="505">
        <f t="shared" si="10"/>
        <v>15344.24</v>
      </c>
      <c r="W37" s="509">
        <v>326.47000000000003</v>
      </c>
      <c r="X37" s="462">
        <v>54260</v>
      </c>
      <c r="Y37" s="505">
        <v>108.82</v>
      </c>
      <c r="Z37" s="461" t="s">
        <v>701</v>
      </c>
      <c r="AA37" s="461"/>
      <c r="AB37" s="461" t="s">
        <v>1490</v>
      </c>
      <c r="AC37" s="461"/>
      <c r="AD37" s="461" t="s">
        <v>705</v>
      </c>
      <c r="AE37" s="461" t="s">
        <v>703</v>
      </c>
      <c r="AF37" s="462" t="s">
        <v>351</v>
      </c>
      <c r="AG37" s="461"/>
      <c r="AH37" s="462" t="s">
        <v>707</v>
      </c>
      <c r="AI37" s="461">
        <v>0</v>
      </c>
      <c r="AJ37" s="461">
        <v>0</v>
      </c>
      <c r="AL37" s="364" t="s">
        <v>295</v>
      </c>
      <c r="AM37" s="490">
        <f t="shared" si="29"/>
        <v>7</v>
      </c>
      <c r="AN37" s="490">
        <f t="shared" si="30"/>
        <v>2022</v>
      </c>
      <c r="AO37" s="490">
        <f t="shared" si="2"/>
        <v>2034</v>
      </c>
      <c r="AP37" s="510">
        <f t="shared" si="31"/>
        <v>2034.5833333333333</v>
      </c>
      <c r="AQ37" s="351">
        <f t="shared" si="32"/>
        <v>108.82437499999999</v>
      </c>
      <c r="AR37" s="351">
        <f t="shared" si="33"/>
        <v>1305.8924999999999</v>
      </c>
      <c r="AS37" s="351">
        <f t="shared" si="6"/>
        <v>1305.8924999999999</v>
      </c>
      <c r="AT37" s="351">
        <f t="shared" si="7"/>
        <v>0</v>
      </c>
      <c r="AU37" s="351">
        <f t="shared" si="34"/>
        <v>1305.8924999999999</v>
      </c>
      <c r="AV37" s="351">
        <f t="shared" si="9"/>
        <v>14364.817499999999</v>
      </c>
      <c r="AW37" s="491" t="s">
        <v>339</v>
      </c>
    </row>
    <row r="38" spans="2:49" x14ac:dyDescent="0.25">
      <c r="B38" s="462">
        <v>2032</v>
      </c>
      <c r="C38" s="466">
        <v>285273</v>
      </c>
      <c r="D38" s="462" t="s">
        <v>701</v>
      </c>
      <c r="E38" s="461" t="s">
        <v>1489</v>
      </c>
      <c r="F38" s="462">
        <v>300</v>
      </c>
      <c r="G38" s="461"/>
      <c r="H38" s="461"/>
      <c r="I38" s="461"/>
      <c r="J38" s="461">
        <v>0</v>
      </c>
      <c r="K38" s="461" t="s">
        <v>1488</v>
      </c>
      <c r="L38" s="461"/>
      <c r="M38" s="461" t="s">
        <v>858</v>
      </c>
      <c r="N38" s="465">
        <v>44736</v>
      </c>
      <c r="O38" s="465">
        <v>44736</v>
      </c>
      <c r="P38" s="461" t="s">
        <v>1487</v>
      </c>
      <c r="Q38" s="462">
        <v>700</v>
      </c>
      <c r="R38" s="462">
        <v>14050</v>
      </c>
      <c r="S38" s="512">
        <v>143659.5</v>
      </c>
      <c r="T38" s="462">
        <v>14056</v>
      </c>
      <c r="U38" s="505">
        <v>6840.92</v>
      </c>
      <c r="V38" s="505">
        <f t="shared" si="10"/>
        <v>136818.57999999999</v>
      </c>
      <c r="W38" s="509">
        <v>6840.92</v>
      </c>
      <c r="X38" s="462">
        <v>54260</v>
      </c>
      <c r="Y38" s="505">
        <v>1710.22</v>
      </c>
      <c r="Z38" s="461" t="s">
        <v>701</v>
      </c>
      <c r="AA38" s="461"/>
      <c r="AB38" s="461">
        <v>81072</v>
      </c>
      <c r="AC38" s="461"/>
      <c r="AD38" s="461" t="s">
        <v>705</v>
      </c>
      <c r="AE38" s="461" t="s">
        <v>703</v>
      </c>
      <c r="AF38" s="462" t="s">
        <v>351</v>
      </c>
      <c r="AG38" s="461"/>
      <c r="AH38" s="462" t="s">
        <v>707</v>
      </c>
      <c r="AI38" s="461">
        <v>0</v>
      </c>
      <c r="AJ38" s="461">
        <v>0</v>
      </c>
      <c r="AL38" s="364" t="s">
        <v>1304</v>
      </c>
      <c r="AM38" s="490">
        <f t="shared" si="29"/>
        <v>6</v>
      </c>
      <c r="AN38" s="490">
        <f t="shared" si="30"/>
        <v>2022</v>
      </c>
      <c r="AO38" s="490">
        <f t="shared" si="2"/>
        <v>2029</v>
      </c>
      <c r="AP38" s="510">
        <f t="shared" si="31"/>
        <v>2029.5</v>
      </c>
      <c r="AQ38" s="351">
        <f t="shared" si="32"/>
        <v>1710.2321428571429</v>
      </c>
      <c r="AR38" s="351">
        <f t="shared" si="33"/>
        <v>20522.785714285714</v>
      </c>
      <c r="AS38" s="351">
        <f t="shared" si="6"/>
        <v>20522.785714285714</v>
      </c>
      <c r="AT38" s="351">
        <f t="shared" si="7"/>
        <v>0</v>
      </c>
      <c r="AU38" s="351">
        <f t="shared" si="34"/>
        <v>20522.785714285714</v>
      </c>
      <c r="AV38" s="351">
        <f t="shared" si="9"/>
        <v>123136.71428571429</v>
      </c>
      <c r="AW38" s="491" t="s">
        <v>339</v>
      </c>
    </row>
    <row r="39" spans="2:49" x14ac:dyDescent="0.25">
      <c r="B39" s="462">
        <v>2032</v>
      </c>
      <c r="C39" s="466">
        <v>283001</v>
      </c>
      <c r="D39" s="462">
        <v>278482</v>
      </c>
      <c r="E39" s="461" t="s">
        <v>1485</v>
      </c>
      <c r="F39" s="462"/>
      <c r="G39" s="461"/>
      <c r="H39" s="461"/>
      <c r="I39" s="461" t="s">
        <v>988</v>
      </c>
      <c r="J39" s="461">
        <v>0</v>
      </c>
      <c r="K39" s="461" t="s">
        <v>1484</v>
      </c>
      <c r="L39" s="461"/>
      <c r="M39" s="461"/>
      <c r="N39" s="465">
        <v>44681</v>
      </c>
      <c r="O39" s="465">
        <v>44681</v>
      </c>
      <c r="P39" s="461" t="s">
        <v>1475</v>
      </c>
      <c r="Q39" s="462">
        <v>1000</v>
      </c>
      <c r="R39" s="462">
        <v>14010</v>
      </c>
      <c r="S39" s="512">
        <v>4783.55</v>
      </c>
      <c r="T39" s="462">
        <v>14016</v>
      </c>
      <c r="U39" s="505">
        <v>239.18</v>
      </c>
      <c r="V39" s="505">
        <f t="shared" si="10"/>
        <v>4544.37</v>
      </c>
      <c r="W39" s="509">
        <v>239.18</v>
      </c>
      <c r="X39" s="462">
        <v>57260</v>
      </c>
      <c r="Y39" s="505">
        <v>39.869999999999997</v>
      </c>
      <c r="Z39" s="461" t="s">
        <v>701</v>
      </c>
      <c r="AA39" s="461"/>
      <c r="AB39" s="461" t="s">
        <v>1486</v>
      </c>
      <c r="AC39" s="461"/>
      <c r="AD39" s="461" t="s">
        <v>705</v>
      </c>
      <c r="AE39" s="461" t="s">
        <v>703</v>
      </c>
      <c r="AF39" s="462" t="s">
        <v>351</v>
      </c>
      <c r="AG39" s="461"/>
      <c r="AH39" s="462" t="s">
        <v>707</v>
      </c>
      <c r="AI39" s="461">
        <v>0</v>
      </c>
      <c r="AJ39" s="461">
        <v>0</v>
      </c>
      <c r="AL39" s="364" t="s">
        <v>1336</v>
      </c>
      <c r="AM39" s="490">
        <f t="shared" si="29"/>
        <v>4</v>
      </c>
      <c r="AN39" s="490">
        <f t="shared" si="30"/>
        <v>2022</v>
      </c>
      <c r="AO39" s="490">
        <f t="shared" si="2"/>
        <v>2032</v>
      </c>
      <c r="AP39" s="510">
        <f t="shared" si="31"/>
        <v>2032.3333333333333</v>
      </c>
      <c r="AQ39" s="351">
        <f t="shared" si="32"/>
        <v>39.862916666666671</v>
      </c>
      <c r="AR39" s="351">
        <f t="shared" si="33"/>
        <v>478.35500000000002</v>
      </c>
      <c r="AS39" s="351">
        <f t="shared" si="6"/>
        <v>478.35500000000002</v>
      </c>
      <c r="AT39" s="351">
        <f t="shared" si="7"/>
        <v>0</v>
      </c>
      <c r="AU39" s="351">
        <f t="shared" si="34"/>
        <v>478.35500000000002</v>
      </c>
      <c r="AV39" s="351">
        <f t="shared" si="9"/>
        <v>4305.1949999999997</v>
      </c>
      <c r="AW39" s="491" t="s">
        <v>339</v>
      </c>
    </row>
    <row r="40" spans="2:49" x14ac:dyDescent="0.25">
      <c r="B40" s="462">
        <v>2032</v>
      </c>
      <c r="C40" s="466">
        <v>283000</v>
      </c>
      <c r="D40" s="462">
        <v>278482</v>
      </c>
      <c r="E40" s="461" t="s">
        <v>1485</v>
      </c>
      <c r="F40" s="462"/>
      <c r="G40" s="461"/>
      <c r="H40" s="461"/>
      <c r="I40" s="461" t="s">
        <v>988</v>
      </c>
      <c r="J40" s="461">
        <v>0</v>
      </c>
      <c r="K40" s="461" t="s">
        <v>1484</v>
      </c>
      <c r="L40" s="461"/>
      <c r="M40" s="461"/>
      <c r="N40" s="465">
        <v>44681</v>
      </c>
      <c r="O40" s="465">
        <v>44681</v>
      </c>
      <c r="P40" s="461" t="s">
        <v>1475</v>
      </c>
      <c r="Q40" s="462">
        <v>1000</v>
      </c>
      <c r="R40" s="462">
        <v>14010</v>
      </c>
      <c r="S40" s="512">
        <v>10137.73</v>
      </c>
      <c r="T40" s="462">
        <v>14016</v>
      </c>
      <c r="U40" s="505">
        <v>506.89</v>
      </c>
      <c r="V40" s="505">
        <f t="shared" si="10"/>
        <v>9630.84</v>
      </c>
      <c r="W40" s="509">
        <v>506.89</v>
      </c>
      <c r="X40" s="462">
        <v>57260</v>
      </c>
      <c r="Y40" s="505">
        <v>84.48</v>
      </c>
      <c r="Z40" s="461" t="s">
        <v>701</v>
      </c>
      <c r="AA40" s="461"/>
      <c r="AB40" s="461" t="s">
        <v>1483</v>
      </c>
      <c r="AC40" s="461"/>
      <c r="AD40" s="461" t="s">
        <v>705</v>
      </c>
      <c r="AE40" s="461" t="s">
        <v>703</v>
      </c>
      <c r="AF40" s="462" t="s">
        <v>351</v>
      </c>
      <c r="AG40" s="461"/>
      <c r="AH40" s="462" t="s">
        <v>707</v>
      </c>
      <c r="AI40" s="461">
        <v>0</v>
      </c>
      <c r="AJ40" s="461">
        <v>0</v>
      </c>
      <c r="AL40" s="364" t="s">
        <v>1336</v>
      </c>
      <c r="AM40" s="490">
        <f t="shared" si="29"/>
        <v>4</v>
      </c>
      <c r="AN40" s="490">
        <f t="shared" si="30"/>
        <v>2022</v>
      </c>
      <c r="AO40" s="490">
        <f t="shared" si="2"/>
        <v>2032</v>
      </c>
      <c r="AP40" s="510">
        <f t="shared" si="31"/>
        <v>2032.3333333333333</v>
      </c>
      <c r="AQ40" s="351">
        <f t="shared" si="32"/>
        <v>84.481083333333331</v>
      </c>
      <c r="AR40" s="351">
        <f t="shared" si="33"/>
        <v>1013.7729999999999</v>
      </c>
      <c r="AS40" s="351">
        <f t="shared" si="6"/>
        <v>1013.7729999999999</v>
      </c>
      <c r="AT40" s="351">
        <f t="shared" si="7"/>
        <v>0</v>
      </c>
      <c r="AU40" s="351">
        <f t="shared" si="34"/>
        <v>1013.7729999999999</v>
      </c>
      <c r="AV40" s="351">
        <f t="shared" si="9"/>
        <v>9123.9570000000003</v>
      </c>
      <c r="AW40" s="491" t="s">
        <v>339</v>
      </c>
    </row>
    <row r="41" spans="2:49" x14ac:dyDescent="0.25">
      <c r="B41" s="462">
        <v>2032</v>
      </c>
      <c r="C41" s="466">
        <v>282812</v>
      </c>
      <c r="D41" s="462">
        <v>278482</v>
      </c>
      <c r="E41" s="461" t="s">
        <v>1482</v>
      </c>
      <c r="F41" s="462"/>
      <c r="G41" s="461"/>
      <c r="H41" s="461"/>
      <c r="I41" s="461"/>
      <c r="J41" s="461">
        <v>0</v>
      </c>
      <c r="K41" s="461"/>
      <c r="L41" s="461"/>
      <c r="M41" s="461"/>
      <c r="N41" s="465">
        <v>44681</v>
      </c>
      <c r="O41" s="465">
        <v>44681</v>
      </c>
      <c r="P41" s="461" t="s">
        <v>1475</v>
      </c>
      <c r="Q41" s="462">
        <v>1000</v>
      </c>
      <c r="R41" s="462">
        <v>14010</v>
      </c>
      <c r="S41" s="512">
        <v>31277.57</v>
      </c>
      <c r="T41" s="462">
        <v>14016</v>
      </c>
      <c r="U41" s="505">
        <v>1563.88</v>
      </c>
      <c r="V41" s="505">
        <f t="shared" si="10"/>
        <v>29713.69</v>
      </c>
      <c r="W41" s="509">
        <v>1563.88</v>
      </c>
      <c r="X41" s="462">
        <v>57260</v>
      </c>
      <c r="Y41" s="505">
        <v>260.64999999999998</v>
      </c>
      <c r="Z41" s="461" t="s">
        <v>701</v>
      </c>
      <c r="AA41" s="461"/>
      <c r="AB41" s="461"/>
      <c r="AC41" s="461"/>
      <c r="AD41" s="461" t="s">
        <v>705</v>
      </c>
      <c r="AE41" s="461" t="s">
        <v>703</v>
      </c>
      <c r="AF41" s="462" t="s">
        <v>351</v>
      </c>
      <c r="AG41" s="461"/>
      <c r="AH41" s="462" t="s">
        <v>707</v>
      </c>
      <c r="AI41" s="461">
        <v>0</v>
      </c>
      <c r="AJ41" s="461">
        <v>0</v>
      </c>
      <c r="AL41" s="364" t="s">
        <v>1336</v>
      </c>
      <c r="AM41" s="490">
        <f t="shared" si="29"/>
        <v>4</v>
      </c>
      <c r="AN41" s="490">
        <f t="shared" si="30"/>
        <v>2022</v>
      </c>
      <c r="AO41" s="490">
        <f t="shared" si="2"/>
        <v>2032</v>
      </c>
      <c r="AP41" s="510">
        <f t="shared" si="31"/>
        <v>2032.3333333333333</v>
      </c>
      <c r="AQ41" s="351">
        <f t="shared" si="32"/>
        <v>260.64641666666665</v>
      </c>
      <c r="AR41" s="351">
        <f t="shared" si="33"/>
        <v>3127.7569999999996</v>
      </c>
      <c r="AS41" s="351">
        <f t="shared" si="6"/>
        <v>3127.7569999999996</v>
      </c>
      <c r="AT41" s="351">
        <f t="shared" si="7"/>
        <v>0</v>
      </c>
      <c r="AU41" s="351">
        <f t="shared" si="34"/>
        <v>3127.7569999999996</v>
      </c>
      <c r="AV41" s="351">
        <f t="shared" si="9"/>
        <v>28149.813000000002</v>
      </c>
      <c r="AW41" s="491" t="s">
        <v>339</v>
      </c>
    </row>
    <row r="42" spans="2:49" x14ac:dyDescent="0.25">
      <c r="B42" s="462">
        <v>2032</v>
      </c>
      <c r="C42" s="466">
        <v>281829</v>
      </c>
      <c r="D42" s="462" t="s">
        <v>701</v>
      </c>
      <c r="E42" s="461" t="s">
        <v>1481</v>
      </c>
      <c r="F42" s="462"/>
      <c r="G42" s="461"/>
      <c r="H42" s="461" t="s">
        <v>1480</v>
      </c>
      <c r="I42" s="461"/>
      <c r="J42" s="461">
        <v>2007</v>
      </c>
      <c r="K42" s="461"/>
      <c r="L42" s="461"/>
      <c r="M42" s="461" t="s">
        <v>1479</v>
      </c>
      <c r="N42" s="465">
        <v>44501</v>
      </c>
      <c r="O42" s="465">
        <v>44501</v>
      </c>
      <c r="P42" s="461"/>
      <c r="Q42" s="462">
        <v>300</v>
      </c>
      <c r="R42" s="462">
        <v>14040</v>
      </c>
      <c r="S42" s="512">
        <v>2500</v>
      </c>
      <c r="T42" s="462">
        <v>14046</v>
      </c>
      <c r="U42" s="505">
        <v>833.33</v>
      </c>
      <c r="V42" s="505">
        <f t="shared" si="10"/>
        <v>1666.67</v>
      </c>
      <c r="W42" s="509">
        <v>416.66</v>
      </c>
      <c r="X42" s="462">
        <v>51260</v>
      </c>
      <c r="Y42" s="505">
        <v>69.44</v>
      </c>
      <c r="Z42" s="461" t="s">
        <v>703</v>
      </c>
      <c r="AA42" s="461" t="s">
        <v>1478</v>
      </c>
      <c r="AB42" s="461"/>
      <c r="AC42" s="461">
        <v>65</v>
      </c>
      <c r="AD42" s="461" t="s">
        <v>705</v>
      </c>
      <c r="AE42" s="461" t="s">
        <v>703</v>
      </c>
      <c r="AF42" s="462" t="s">
        <v>351</v>
      </c>
      <c r="AG42" s="467">
        <v>44681</v>
      </c>
      <c r="AH42" s="462" t="s">
        <v>707</v>
      </c>
      <c r="AI42" s="461">
        <v>0</v>
      </c>
      <c r="AJ42" s="461">
        <v>416.67</v>
      </c>
      <c r="AK42" s="364">
        <v>65</v>
      </c>
      <c r="AL42" s="364" t="s">
        <v>742</v>
      </c>
      <c r="AM42" s="490">
        <f>MONTH($N42)</f>
        <v>11</v>
      </c>
      <c r="AN42" s="490">
        <f>YEAR($N42)</f>
        <v>2021</v>
      </c>
      <c r="AO42" s="490">
        <f t="shared" si="2"/>
        <v>2024</v>
      </c>
      <c r="AP42" s="510">
        <f>$AO42+($AM42/12)</f>
        <v>2024.9166666666667</v>
      </c>
      <c r="AQ42" s="351">
        <f>IFERROR($S42/($Q42/100)/12,0)</f>
        <v>69.444444444444443</v>
      </c>
      <c r="AR42" s="351">
        <f>$AQ42*12</f>
        <v>833.33333333333326</v>
      </c>
      <c r="AS42" s="351">
        <f t="shared" si="6"/>
        <v>833.33333333333326</v>
      </c>
      <c r="AT42" s="351">
        <f t="shared" si="7"/>
        <v>833.33333333333326</v>
      </c>
      <c r="AU42" s="351">
        <f>IF($AT42=0,$AS42,($AT42+$AS42))</f>
        <v>1666.6666666666665</v>
      </c>
      <c r="AV42" s="351">
        <f t="shared" si="9"/>
        <v>833.33333333333348</v>
      </c>
      <c r="AW42" s="491" t="s">
        <v>339</v>
      </c>
    </row>
    <row r="43" spans="2:49" x14ac:dyDescent="0.25">
      <c r="B43" s="462">
        <v>2032</v>
      </c>
      <c r="C43" s="466">
        <v>278482</v>
      </c>
      <c r="D43" s="462" t="s">
        <v>701</v>
      </c>
      <c r="E43" s="461" t="s">
        <v>1477</v>
      </c>
      <c r="F43" s="462"/>
      <c r="G43" s="461"/>
      <c r="H43" s="461"/>
      <c r="I43" s="461"/>
      <c r="J43" s="461">
        <v>0</v>
      </c>
      <c r="K43" s="461" t="s">
        <v>1476</v>
      </c>
      <c r="L43" s="461"/>
      <c r="M43" s="461"/>
      <c r="N43" s="465">
        <v>44681</v>
      </c>
      <c r="O43" s="465">
        <v>44681</v>
      </c>
      <c r="P43" s="461" t="s">
        <v>1475</v>
      </c>
      <c r="Q43" s="462">
        <v>1000</v>
      </c>
      <c r="R43" s="462">
        <v>14010</v>
      </c>
      <c r="S43" s="512">
        <v>4379.13</v>
      </c>
      <c r="T43" s="462">
        <v>14016</v>
      </c>
      <c r="U43" s="505">
        <v>218.96</v>
      </c>
      <c r="V43" s="505">
        <f t="shared" si="10"/>
        <v>4160.17</v>
      </c>
      <c r="W43" s="509">
        <v>218.96</v>
      </c>
      <c r="X43" s="462">
        <v>57260</v>
      </c>
      <c r="Y43" s="505">
        <v>36.5</v>
      </c>
      <c r="Z43" s="461" t="s">
        <v>701</v>
      </c>
      <c r="AA43" s="461"/>
      <c r="AB43" s="461">
        <v>2200714</v>
      </c>
      <c r="AC43" s="461"/>
      <c r="AD43" s="461" t="s">
        <v>705</v>
      </c>
      <c r="AE43" s="461" t="s">
        <v>703</v>
      </c>
      <c r="AF43" s="462" t="s">
        <v>351</v>
      </c>
      <c r="AG43" s="461"/>
      <c r="AH43" s="462" t="s">
        <v>707</v>
      </c>
      <c r="AI43" s="461">
        <v>0</v>
      </c>
      <c r="AJ43" s="461">
        <v>0</v>
      </c>
      <c r="AL43" s="364" t="s">
        <v>1336</v>
      </c>
      <c r="AM43" s="490">
        <f>MONTH($N43)</f>
        <v>4</v>
      </c>
      <c r="AN43" s="490">
        <f>YEAR($N43)</f>
        <v>2022</v>
      </c>
      <c r="AO43" s="490">
        <f t="shared" si="2"/>
        <v>2032</v>
      </c>
      <c r="AP43" s="510">
        <f>$AO43+($AM43/12)</f>
        <v>2032.3333333333333</v>
      </c>
      <c r="AQ43" s="351">
        <f>IFERROR($S43/($Q43/100)/12,0)</f>
        <v>36.492750000000001</v>
      </c>
      <c r="AR43" s="351">
        <f>$AQ43*12</f>
        <v>437.91300000000001</v>
      </c>
      <c r="AS43" s="351">
        <f t="shared" si="6"/>
        <v>437.91300000000001</v>
      </c>
      <c r="AT43" s="351">
        <f t="shared" si="7"/>
        <v>0</v>
      </c>
      <c r="AU43" s="351">
        <f>IF($AT43=0,$AS43,($AT43+$AS43))</f>
        <v>437.91300000000001</v>
      </c>
      <c r="AV43" s="351">
        <f t="shared" si="9"/>
        <v>3941.2170000000001</v>
      </c>
      <c r="AW43" s="491" t="s">
        <v>339</v>
      </c>
    </row>
    <row r="44" spans="2:49" x14ac:dyDescent="0.25">
      <c r="B44" s="462">
        <v>2032</v>
      </c>
      <c r="C44" s="466">
        <v>277796</v>
      </c>
      <c r="D44" s="462">
        <v>277042</v>
      </c>
      <c r="E44" s="461" t="s">
        <v>1474</v>
      </c>
      <c r="F44" s="462"/>
      <c r="G44" s="461"/>
      <c r="H44" s="461"/>
      <c r="I44" s="461"/>
      <c r="J44" s="461">
        <v>0</v>
      </c>
      <c r="K44" s="461" t="s">
        <v>1473</v>
      </c>
      <c r="L44" s="461"/>
      <c r="M44" s="461" t="s">
        <v>965</v>
      </c>
      <c r="N44" s="465">
        <v>42370</v>
      </c>
      <c r="O44" s="465">
        <v>42370</v>
      </c>
      <c r="P44" s="461" t="s">
        <v>1471</v>
      </c>
      <c r="Q44" s="462">
        <v>300</v>
      </c>
      <c r="R44" s="462">
        <v>14040</v>
      </c>
      <c r="S44" s="512">
        <v>200</v>
      </c>
      <c r="T44" s="462">
        <v>14046</v>
      </c>
      <c r="U44" s="505">
        <v>200</v>
      </c>
      <c r="V44" s="505">
        <f t="shared" si="10"/>
        <v>0</v>
      </c>
      <c r="W44" s="509">
        <v>0</v>
      </c>
      <c r="X44" s="462">
        <v>51260</v>
      </c>
      <c r="Y44" s="505">
        <v>0</v>
      </c>
      <c r="Z44" s="461" t="s">
        <v>701</v>
      </c>
      <c r="AA44" s="461"/>
      <c r="AB44" s="461">
        <v>760330</v>
      </c>
      <c r="AC44" s="461"/>
      <c r="AD44" s="461" t="s">
        <v>705</v>
      </c>
      <c r="AE44" s="461" t="s">
        <v>703</v>
      </c>
      <c r="AF44" s="462" t="s">
        <v>351</v>
      </c>
      <c r="AG44" s="467">
        <v>44651</v>
      </c>
      <c r="AH44" s="462" t="s">
        <v>707</v>
      </c>
      <c r="AI44" s="461">
        <v>0</v>
      </c>
      <c r="AJ44" s="461">
        <v>200</v>
      </c>
      <c r="AK44" s="364">
        <v>400</v>
      </c>
      <c r="AL44" s="540" t="s">
        <v>741</v>
      </c>
      <c r="AM44" s="490">
        <f t="shared" ref="AM44:AM54" si="35">MONTH($N44)</f>
        <v>1</v>
      </c>
      <c r="AN44" s="490">
        <f t="shared" ref="AN44:AN54" si="36">YEAR($N44)</f>
        <v>2016</v>
      </c>
      <c r="AO44" s="490">
        <f t="shared" si="2"/>
        <v>2019</v>
      </c>
      <c r="AP44" s="510">
        <f t="shared" ref="AP44:AP54" si="37">$AO44+($AM44/12)</f>
        <v>2019.0833333333333</v>
      </c>
      <c r="AQ44" s="351">
        <f t="shared" ref="AQ44:AQ54" si="38">IFERROR($S44/($Q44/100)/12,0)</f>
        <v>5.5555555555555562</v>
      </c>
      <c r="AR44" s="351">
        <f t="shared" ref="AR44:AR54" si="39">$AQ44*12</f>
        <v>66.666666666666671</v>
      </c>
      <c r="AS44" s="351">
        <f t="shared" si="6"/>
        <v>0</v>
      </c>
      <c r="AT44" s="351">
        <f t="shared" si="7"/>
        <v>200</v>
      </c>
      <c r="AU44" s="351">
        <f t="shared" ref="AU44:AU54" si="40">IF($AT44=0,$AS44,($AT44+$AS44))</f>
        <v>200</v>
      </c>
      <c r="AV44" s="351">
        <f t="shared" si="9"/>
        <v>0</v>
      </c>
      <c r="AW44" s="491" t="s">
        <v>339</v>
      </c>
    </row>
    <row r="45" spans="2:49" x14ac:dyDescent="0.25">
      <c r="B45" s="462">
        <v>2032</v>
      </c>
      <c r="C45" s="466">
        <v>277795</v>
      </c>
      <c r="D45" s="462">
        <v>277042</v>
      </c>
      <c r="E45" s="461" t="s">
        <v>1472</v>
      </c>
      <c r="F45" s="462"/>
      <c r="G45" s="461"/>
      <c r="H45" s="461"/>
      <c r="I45" s="461"/>
      <c r="J45" s="461">
        <v>0</v>
      </c>
      <c r="K45" s="461"/>
      <c r="L45" s="461"/>
      <c r="M45" s="461" t="s">
        <v>962</v>
      </c>
      <c r="N45" s="465">
        <v>42369</v>
      </c>
      <c r="O45" s="465">
        <v>42369</v>
      </c>
      <c r="P45" s="461" t="s">
        <v>1471</v>
      </c>
      <c r="Q45" s="462">
        <v>300</v>
      </c>
      <c r="R45" s="462">
        <v>14040</v>
      </c>
      <c r="S45" s="512">
        <v>5625.71</v>
      </c>
      <c r="T45" s="462">
        <v>14046</v>
      </c>
      <c r="U45" s="505">
        <v>5625.71</v>
      </c>
      <c r="V45" s="505">
        <f t="shared" si="10"/>
        <v>0</v>
      </c>
      <c r="W45" s="509">
        <v>0</v>
      </c>
      <c r="X45" s="462">
        <v>51260</v>
      </c>
      <c r="Y45" s="505">
        <v>0</v>
      </c>
      <c r="Z45" s="461" t="s">
        <v>701</v>
      </c>
      <c r="AA45" s="461"/>
      <c r="AB45" s="461">
        <v>400</v>
      </c>
      <c r="AC45" s="461"/>
      <c r="AD45" s="461" t="s">
        <v>705</v>
      </c>
      <c r="AE45" s="461" t="s">
        <v>703</v>
      </c>
      <c r="AF45" s="462" t="s">
        <v>351</v>
      </c>
      <c r="AG45" s="467">
        <v>44651</v>
      </c>
      <c r="AH45" s="462" t="s">
        <v>707</v>
      </c>
      <c r="AI45" s="461">
        <v>0</v>
      </c>
      <c r="AJ45" s="461">
        <v>5625.71</v>
      </c>
      <c r="AK45" s="364">
        <v>400</v>
      </c>
      <c r="AL45" s="540" t="s">
        <v>741</v>
      </c>
      <c r="AM45" s="490">
        <f t="shared" si="35"/>
        <v>12</v>
      </c>
      <c r="AN45" s="490">
        <f t="shared" si="36"/>
        <v>2015</v>
      </c>
      <c r="AO45" s="490">
        <f t="shared" si="2"/>
        <v>2018</v>
      </c>
      <c r="AP45" s="510">
        <f t="shared" si="37"/>
        <v>2019</v>
      </c>
      <c r="AQ45" s="351">
        <f t="shared" si="38"/>
        <v>156.26972222222221</v>
      </c>
      <c r="AR45" s="351">
        <f t="shared" si="39"/>
        <v>1875.2366666666667</v>
      </c>
      <c r="AS45" s="351">
        <f t="shared" si="6"/>
        <v>0</v>
      </c>
      <c r="AT45" s="351">
        <f t="shared" si="7"/>
        <v>5625.71</v>
      </c>
      <c r="AU45" s="351">
        <f t="shared" si="40"/>
        <v>5625.71</v>
      </c>
      <c r="AV45" s="351">
        <f t="shared" si="9"/>
        <v>0</v>
      </c>
      <c r="AW45" s="491" t="s">
        <v>339</v>
      </c>
    </row>
    <row r="46" spans="2:49" x14ac:dyDescent="0.25">
      <c r="B46" s="462">
        <v>2032</v>
      </c>
      <c r="C46" s="466">
        <v>277794</v>
      </c>
      <c r="D46" s="462">
        <v>277042</v>
      </c>
      <c r="E46" s="461" t="s">
        <v>1470</v>
      </c>
      <c r="F46" s="462"/>
      <c r="G46" s="461"/>
      <c r="H46" s="461"/>
      <c r="I46" s="461"/>
      <c r="J46" s="461">
        <v>0</v>
      </c>
      <c r="K46" s="461"/>
      <c r="L46" s="461"/>
      <c r="M46" s="461" t="s">
        <v>962</v>
      </c>
      <c r="N46" s="465">
        <v>42308</v>
      </c>
      <c r="O46" s="465">
        <v>42308</v>
      </c>
      <c r="P46" s="461" t="s">
        <v>1469</v>
      </c>
      <c r="Q46" s="462">
        <v>300</v>
      </c>
      <c r="R46" s="462">
        <v>14040</v>
      </c>
      <c r="S46" s="512">
        <v>621.17999999999995</v>
      </c>
      <c r="T46" s="462">
        <v>14046</v>
      </c>
      <c r="U46" s="505">
        <v>621.17999999999995</v>
      </c>
      <c r="V46" s="505">
        <f t="shared" si="10"/>
        <v>0</v>
      </c>
      <c r="W46" s="509">
        <v>0</v>
      </c>
      <c r="X46" s="462">
        <v>51260</v>
      </c>
      <c r="Y46" s="505">
        <v>0</v>
      </c>
      <c r="Z46" s="461" t="s">
        <v>701</v>
      </c>
      <c r="AA46" s="461"/>
      <c r="AB46" s="461">
        <v>5029215</v>
      </c>
      <c r="AC46" s="461"/>
      <c r="AD46" s="461" t="s">
        <v>705</v>
      </c>
      <c r="AE46" s="461" t="s">
        <v>703</v>
      </c>
      <c r="AF46" s="462" t="s">
        <v>351</v>
      </c>
      <c r="AG46" s="467">
        <v>44651</v>
      </c>
      <c r="AH46" s="462" t="s">
        <v>707</v>
      </c>
      <c r="AI46" s="461">
        <v>0</v>
      </c>
      <c r="AJ46" s="461">
        <v>621.17999999999995</v>
      </c>
      <c r="AK46" s="364">
        <v>400</v>
      </c>
      <c r="AL46" s="540" t="s">
        <v>741</v>
      </c>
      <c r="AM46" s="490">
        <f t="shared" si="35"/>
        <v>10</v>
      </c>
      <c r="AN46" s="490">
        <f t="shared" si="36"/>
        <v>2015</v>
      </c>
      <c r="AO46" s="490">
        <f t="shared" ref="AO46:AO77" si="41">$AN46+($Q46/100)</f>
        <v>2018</v>
      </c>
      <c r="AP46" s="510">
        <f t="shared" si="37"/>
        <v>2018.8333333333333</v>
      </c>
      <c r="AQ46" s="351">
        <f t="shared" si="38"/>
        <v>17.254999999999999</v>
      </c>
      <c r="AR46" s="351">
        <f t="shared" si="39"/>
        <v>207.06</v>
      </c>
      <c r="AS46" s="351">
        <f t="shared" ref="AS46:AS77" si="42">IF($AP46&lt;=$AK$8,0,IF($AO46&gt;$AK$7,$AR46,($AQ46*$AM46)))</f>
        <v>0</v>
      </c>
      <c r="AT46" s="351">
        <f t="shared" ref="AT46:AT77" si="43">IF($AS46=0,$S46,IF($AK$6-AN46&lt;1,0,(($AK$6-$AN46)*AR46)))</f>
        <v>621.17999999999995</v>
      </c>
      <c r="AU46" s="351">
        <f t="shared" si="40"/>
        <v>621.17999999999995</v>
      </c>
      <c r="AV46" s="351">
        <f t="shared" ref="AV46:AV77" si="44">$S46-$AU46</f>
        <v>0</v>
      </c>
      <c r="AW46" s="491" t="s">
        <v>339</v>
      </c>
    </row>
    <row r="47" spans="2:49" x14ac:dyDescent="0.25">
      <c r="B47" s="462">
        <v>2032</v>
      </c>
      <c r="C47" s="466">
        <v>277043</v>
      </c>
      <c r="D47" s="462" t="s">
        <v>701</v>
      </c>
      <c r="E47" s="461" t="s">
        <v>1468</v>
      </c>
      <c r="F47" s="462">
        <v>0</v>
      </c>
      <c r="G47" s="461"/>
      <c r="H47" s="461" t="s">
        <v>1467</v>
      </c>
      <c r="I47" s="461"/>
      <c r="J47" s="461">
        <v>2001</v>
      </c>
      <c r="K47" s="461" t="s">
        <v>956</v>
      </c>
      <c r="L47" s="461" t="s">
        <v>1466</v>
      </c>
      <c r="M47" s="461" t="s">
        <v>779</v>
      </c>
      <c r="N47" s="465">
        <v>39755</v>
      </c>
      <c r="O47" s="465">
        <v>39755</v>
      </c>
      <c r="P47" s="461"/>
      <c r="Q47" s="462">
        <v>400</v>
      </c>
      <c r="R47" s="462">
        <v>14040</v>
      </c>
      <c r="S47" s="512">
        <v>51500</v>
      </c>
      <c r="T47" s="462">
        <v>14046</v>
      </c>
      <c r="U47" s="505">
        <v>51500</v>
      </c>
      <c r="V47" s="505">
        <f t="shared" si="10"/>
        <v>0</v>
      </c>
      <c r="W47" s="509">
        <v>0</v>
      </c>
      <c r="X47" s="462">
        <v>51260</v>
      </c>
      <c r="Y47" s="505">
        <v>0</v>
      </c>
      <c r="Z47" s="461" t="s">
        <v>703</v>
      </c>
      <c r="AA47" s="461" t="s">
        <v>1465</v>
      </c>
      <c r="AB47" s="461"/>
      <c r="AC47" s="461">
        <v>433</v>
      </c>
      <c r="AD47" s="461" t="s">
        <v>705</v>
      </c>
      <c r="AE47" s="461" t="s">
        <v>703</v>
      </c>
      <c r="AF47" s="462" t="s">
        <v>351</v>
      </c>
      <c r="AG47" s="467">
        <v>44651</v>
      </c>
      <c r="AH47" s="462" t="s">
        <v>707</v>
      </c>
      <c r="AI47" s="461">
        <v>0</v>
      </c>
      <c r="AJ47" s="461">
        <v>51500</v>
      </c>
      <c r="AK47" s="364">
        <v>433</v>
      </c>
      <c r="AL47" s="540" t="s">
        <v>741</v>
      </c>
      <c r="AM47" s="490">
        <f t="shared" si="35"/>
        <v>11</v>
      </c>
      <c r="AN47" s="490">
        <f t="shared" si="36"/>
        <v>2008</v>
      </c>
      <c r="AO47" s="490">
        <f t="shared" si="41"/>
        <v>2012</v>
      </c>
      <c r="AP47" s="510">
        <f t="shared" si="37"/>
        <v>2012.9166666666667</v>
      </c>
      <c r="AQ47" s="351">
        <f t="shared" si="38"/>
        <v>1072.9166666666667</v>
      </c>
      <c r="AR47" s="351">
        <f t="shared" si="39"/>
        <v>12875</v>
      </c>
      <c r="AS47" s="351">
        <f t="shared" si="42"/>
        <v>0</v>
      </c>
      <c r="AT47" s="351">
        <f t="shared" si="43"/>
        <v>51500</v>
      </c>
      <c r="AU47" s="351">
        <f t="shared" si="40"/>
        <v>51500</v>
      </c>
      <c r="AV47" s="351">
        <f t="shared" si="44"/>
        <v>0</v>
      </c>
      <c r="AW47" s="491" t="s">
        <v>339</v>
      </c>
    </row>
    <row r="48" spans="2:49" x14ac:dyDescent="0.25">
      <c r="B48" s="462">
        <v>2032</v>
      </c>
      <c r="C48" s="466">
        <v>277042</v>
      </c>
      <c r="D48" s="462" t="s">
        <v>701</v>
      </c>
      <c r="E48" s="461" t="s">
        <v>1464</v>
      </c>
      <c r="F48" s="462"/>
      <c r="G48" s="461"/>
      <c r="H48" s="461" t="s">
        <v>1463</v>
      </c>
      <c r="I48" s="461" t="s">
        <v>1462</v>
      </c>
      <c r="J48" s="461">
        <v>1993</v>
      </c>
      <c r="K48" s="461"/>
      <c r="L48" s="461"/>
      <c r="M48" s="461" t="s">
        <v>779</v>
      </c>
      <c r="N48" s="465">
        <v>42248</v>
      </c>
      <c r="O48" s="465">
        <v>42248</v>
      </c>
      <c r="P48" s="461"/>
      <c r="Q48" s="462">
        <v>300</v>
      </c>
      <c r="R48" s="462">
        <v>14040</v>
      </c>
      <c r="S48" s="512">
        <v>2500</v>
      </c>
      <c r="T48" s="462">
        <v>14046</v>
      </c>
      <c r="U48" s="505">
        <v>2500</v>
      </c>
      <c r="V48" s="505">
        <f t="shared" si="10"/>
        <v>0</v>
      </c>
      <c r="W48" s="509">
        <v>0</v>
      </c>
      <c r="X48" s="462">
        <v>51260</v>
      </c>
      <c r="Y48" s="505">
        <v>0</v>
      </c>
      <c r="Z48" s="461" t="s">
        <v>703</v>
      </c>
      <c r="AA48" s="461" t="s">
        <v>1461</v>
      </c>
      <c r="AB48" s="461"/>
      <c r="AC48" s="461">
        <v>400</v>
      </c>
      <c r="AD48" s="461" t="s">
        <v>705</v>
      </c>
      <c r="AE48" s="461" t="s">
        <v>703</v>
      </c>
      <c r="AF48" s="462" t="s">
        <v>351</v>
      </c>
      <c r="AG48" s="467">
        <v>44651</v>
      </c>
      <c r="AH48" s="462" t="s">
        <v>707</v>
      </c>
      <c r="AI48" s="461">
        <v>0</v>
      </c>
      <c r="AJ48" s="461">
        <v>2500</v>
      </c>
      <c r="AK48" s="364">
        <v>400</v>
      </c>
      <c r="AL48" s="540" t="s">
        <v>741</v>
      </c>
      <c r="AM48" s="490">
        <f t="shared" si="35"/>
        <v>9</v>
      </c>
      <c r="AN48" s="490">
        <f t="shared" si="36"/>
        <v>2015</v>
      </c>
      <c r="AO48" s="490">
        <f t="shared" si="41"/>
        <v>2018</v>
      </c>
      <c r="AP48" s="510">
        <f t="shared" si="37"/>
        <v>2018.75</v>
      </c>
      <c r="AQ48" s="351">
        <f t="shared" si="38"/>
        <v>69.444444444444443</v>
      </c>
      <c r="AR48" s="351">
        <f t="shared" si="39"/>
        <v>833.33333333333326</v>
      </c>
      <c r="AS48" s="351">
        <f t="shared" si="42"/>
        <v>0</v>
      </c>
      <c r="AT48" s="351">
        <f t="shared" si="43"/>
        <v>2500</v>
      </c>
      <c r="AU48" s="351">
        <f t="shared" si="40"/>
        <v>2500</v>
      </c>
      <c r="AV48" s="351">
        <f t="shared" si="44"/>
        <v>0</v>
      </c>
      <c r="AW48" s="491" t="s">
        <v>339</v>
      </c>
    </row>
    <row r="49" spans="2:129" x14ac:dyDescent="0.25">
      <c r="B49" s="462">
        <v>2032</v>
      </c>
      <c r="C49" s="466">
        <v>276879</v>
      </c>
      <c r="D49" s="462" t="s">
        <v>701</v>
      </c>
      <c r="E49" s="461" t="s">
        <v>1460</v>
      </c>
      <c r="F49" s="462">
        <v>10</v>
      </c>
      <c r="G49" s="461"/>
      <c r="H49" s="461"/>
      <c r="I49" s="461"/>
      <c r="J49" s="461">
        <v>0</v>
      </c>
      <c r="K49" s="461" t="s">
        <v>909</v>
      </c>
      <c r="L49" s="461"/>
      <c r="M49" s="461" t="s">
        <v>1113</v>
      </c>
      <c r="N49" s="465">
        <v>44652</v>
      </c>
      <c r="O49" s="465">
        <v>44652</v>
      </c>
      <c r="P49" s="461" t="s">
        <v>1450</v>
      </c>
      <c r="Q49" s="462">
        <v>1200</v>
      </c>
      <c r="R49" s="462">
        <v>14050</v>
      </c>
      <c r="S49" s="512">
        <v>14636.74</v>
      </c>
      <c r="T49" s="462">
        <v>14056</v>
      </c>
      <c r="U49" s="505">
        <v>711.51</v>
      </c>
      <c r="V49" s="505">
        <f t="shared" si="10"/>
        <v>13925.23</v>
      </c>
      <c r="W49" s="509">
        <v>711.51</v>
      </c>
      <c r="X49" s="462">
        <v>54260</v>
      </c>
      <c r="Y49" s="505">
        <v>101.64</v>
      </c>
      <c r="Z49" s="461" t="s">
        <v>701</v>
      </c>
      <c r="AA49" s="461"/>
      <c r="AB49" s="461" t="s">
        <v>1459</v>
      </c>
      <c r="AC49" s="461"/>
      <c r="AD49" s="461" t="s">
        <v>705</v>
      </c>
      <c r="AE49" s="461" t="s">
        <v>703</v>
      </c>
      <c r="AF49" s="462" t="s">
        <v>351</v>
      </c>
      <c r="AG49" s="461"/>
      <c r="AH49" s="462" t="s">
        <v>707</v>
      </c>
      <c r="AI49" s="461">
        <v>0</v>
      </c>
      <c r="AJ49" s="461">
        <v>0</v>
      </c>
      <c r="AL49" s="364" t="s">
        <v>295</v>
      </c>
      <c r="AM49" s="490">
        <f t="shared" si="35"/>
        <v>4</v>
      </c>
      <c r="AN49" s="490">
        <f t="shared" si="36"/>
        <v>2022</v>
      </c>
      <c r="AO49" s="490">
        <f t="shared" si="41"/>
        <v>2034</v>
      </c>
      <c r="AP49" s="510">
        <f t="shared" si="37"/>
        <v>2034.3333333333333</v>
      </c>
      <c r="AQ49" s="351">
        <f t="shared" si="38"/>
        <v>101.64402777777777</v>
      </c>
      <c r="AR49" s="351">
        <f t="shared" si="39"/>
        <v>1219.7283333333332</v>
      </c>
      <c r="AS49" s="351">
        <f t="shared" si="42"/>
        <v>1219.7283333333332</v>
      </c>
      <c r="AT49" s="351">
        <f t="shared" si="43"/>
        <v>0</v>
      </c>
      <c r="AU49" s="351">
        <f t="shared" si="40"/>
        <v>1219.7283333333332</v>
      </c>
      <c r="AV49" s="351">
        <f t="shared" si="44"/>
        <v>13417.011666666667</v>
      </c>
      <c r="AW49" s="491" t="s">
        <v>339</v>
      </c>
    </row>
    <row r="50" spans="2:129" x14ac:dyDescent="0.25">
      <c r="B50" s="462">
        <v>2032</v>
      </c>
      <c r="C50" s="466">
        <v>276049</v>
      </c>
      <c r="D50" s="462">
        <v>276048</v>
      </c>
      <c r="E50" s="461" t="s">
        <v>1458</v>
      </c>
      <c r="F50" s="462">
        <v>1</v>
      </c>
      <c r="G50" s="461"/>
      <c r="H50" s="461"/>
      <c r="I50" s="461"/>
      <c r="J50" s="461">
        <v>0</v>
      </c>
      <c r="K50" s="461" t="s">
        <v>1457</v>
      </c>
      <c r="L50" s="461"/>
      <c r="M50" s="461"/>
      <c r="N50" s="465">
        <v>44617</v>
      </c>
      <c r="O50" s="465">
        <v>44617</v>
      </c>
      <c r="P50" s="461" t="s">
        <v>1454</v>
      </c>
      <c r="Q50" s="462">
        <v>300</v>
      </c>
      <c r="R50" s="462">
        <v>14110</v>
      </c>
      <c r="S50" s="512">
        <v>281</v>
      </c>
      <c r="T50" s="462">
        <v>14116</v>
      </c>
      <c r="U50" s="505">
        <v>62.45</v>
      </c>
      <c r="V50" s="505">
        <f t="shared" si="10"/>
        <v>218.55</v>
      </c>
      <c r="W50" s="509">
        <v>62.45</v>
      </c>
      <c r="X50" s="462">
        <v>70260</v>
      </c>
      <c r="Y50" s="505">
        <v>7.81</v>
      </c>
      <c r="Z50" s="461" t="s">
        <v>701</v>
      </c>
      <c r="AA50" s="461"/>
      <c r="AB50" s="461">
        <v>8861034</v>
      </c>
      <c r="AC50" s="461"/>
      <c r="AD50" s="461" t="s">
        <v>705</v>
      </c>
      <c r="AE50" s="461" t="s">
        <v>703</v>
      </c>
      <c r="AF50" s="462" t="s">
        <v>351</v>
      </c>
      <c r="AG50" s="461"/>
      <c r="AH50" s="462" t="s">
        <v>707</v>
      </c>
      <c r="AI50" s="461">
        <v>0</v>
      </c>
      <c r="AJ50" s="461">
        <v>0</v>
      </c>
      <c r="AL50" s="364" t="s">
        <v>302</v>
      </c>
      <c r="AM50" s="490">
        <f t="shared" si="35"/>
        <v>2</v>
      </c>
      <c r="AN50" s="490">
        <f t="shared" si="36"/>
        <v>2022</v>
      </c>
      <c r="AO50" s="490">
        <f t="shared" si="41"/>
        <v>2025</v>
      </c>
      <c r="AP50" s="510">
        <f t="shared" si="37"/>
        <v>2025.1666666666667</v>
      </c>
      <c r="AQ50" s="351">
        <f t="shared" si="38"/>
        <v>7.8055555555555562</v>
      </c>
      <c r="AR50" s="351">
        <f t="shared" si="39"/>
        <v>93.666666666666671</v>
      </c>
      <c r="AS50" s="351">
        <f t="shared" si="42"/>
        <v>93.666666666666671</v>
      </c>
      <c r="AT50" s="351">
        <f t="shared" si="43"/>
        <v>0</v>
      </c>
      <c r="AU50" s="351">
        <f t="shared" si="40"/>
        <v>93.666666666666671</v>
      </c>
      <c r="AV50" s="351">
        <f t="shared" si="44"/>
        <v>187.33333333333331</v>
      </c>
      <c r="AW50" s="491" t="s">
        <v>339</v>
      </c>
    </row>
    <row r="51" spans="2:129" x14ac:dyDescent="0.25">
      <c r="B51" s="462">
        <v>2032</v>
      </c>
      <c r="C51" s="466">
        <v>276048</v>
      </c>
      <c r="D51" s="462" t="s">
        <v>701</v>
      </c>
      <c r="E51" s="461" t="s">
        <v>1456</v>
      </c>
      <c r="F51" s="462">
        <v>1</v>
      </c>
      <c r="G51" s="461"/>
      <c r="H51" s="461"/>
      <c r="I51" s="461"/>
      <c r="J51" s="461">
        <v>0</v>
      </c>
      <c r="K51" s="461" t="s">
        <v>1455</v>
      </c>
      <c r="L51" s="461"/>
      <c r="M51" s="461"/>
      <c r="N51" s="465">
        <v>44617</v>
      </c>
      <c r="O51" s="465">
        <v>44617</v>
      </c>
      <c r="P51" s="461" t="s">
        <v>1454</v>
      </c>
      <c r="Q51" s="462">
        <v>300</v>
      </c>
      <c r="R51" s="462">
        <v>14110</v>
      </c>
      <c r="S51" s="512">
        <v>1406.86</v>
      </c>
      <c r="T51" s="462">
        <v>14116</v>
      </c>
      <c r="U51" s="505">
        <v>312.64</v>
      </c>
      <c r="V51" s="505">
        <f t="shared" si="10"/>
        <v>1094.2199999999998</v>
      </c>
      <c r="W51" s="509">
        <v>312.64</v>
      </c>
      <c r="X51" s="462">
        <v>70260</v>
      </c>
      <c r="Y51" s="505">
        <v>39.08</v>
      </c>
      <c r="Z51" s="461" t="s">
        <v>701</v>
      </c>
      <c r="AA51" s="461"/>
      <c r="AB51" s="461" t="s">
        <v>1453</v>
      </c>
      <c r="AC51" s="461"/>
      <c r="AD51" s="461" t="s">
        <v>705</v>
      </c>
      <c r="AE51" s="461" t="s">
        <v>703</v>
      </c>
      <c r="AF51" s="462" t="s">
        <v>351</v>
      </c>
      <c r="AG51" s="461"/>
      <c r="AH51" s="462" t="s">
        <v>707</v>
      </c>
      <c r="AI51" s="461">
        <v>0</v>
      </c>
      <c r="AJ51" s="461">
        <v>0</v>
      </c>
      <c r="AL51" s="364" t="s">
        <v>302</v>
      </c>
      <c r="AM51" s="490">
        <f t="shared" si="35"/>
        <v>2</v>
      </c>
      <c r="AN51" s="490">
        <f t="shared" si="36"/>
        <v>2022</v>
      </c>
      <c r="AO51" s="490">
        <f t="shared" si="41"/>
        <v>2025</v>
      </c>
      <c r="AP51" s="510">
        <f t="shared" si="37"/>
        <v>2025.1666666666667</v>
      </c>
      <c r="AQ51" s="351">
        <f t="shared" si="38"/>
        <v>39.079444444444441</v>
      </c>
      <c r="AR51" s="351">
        <f t="shared" si="39"/>
        <v>468.95333333333326</v>
      </c>
      <c r="AS51" s="351">
        <f t="shared" si="42"/>
        <v>468.95333333333326</v>
      </c>
      <c r="AT51" s="351">
        <f t="shared" si="43"/>
        <v>0</v>
      </c>
      <c r="AU51" s="351">
        <f t="shared" si="40"/>
        <v>468.95333333333326</v>
      </c>
      <c r="AV51" s="351">
        <f t="shared" si="44"/>
        <v>937.90666666666664</v>
      </c>
      <c r="AW51" s="491" t="s">
        <v>339</v>
      </c>
    </row>
    <row r="52" spans="2:129" x14ac:dyDescent="0.25">
      <c r="B52" s="462">
        <v>2032</v>
      </c>
      <c r="C52" s="466">
        <v>275805</v>
      </c>
      <c r="D52" s="462" t="s">
        <v>701</v>
      </c>
      <c r="E52" s="461" t="s">
        <v>1452</v>
      </c>
      <c r="F52" s="462">
        <v>702</v>
      </c>
      <c r="G52" s="461"/>
      <c r="H52" s="461"/>
      <c r="I52" s="461" t="s">
        <v>988</v>
      </c>
      <c r="J52" s="461">
        <v>0</v>
      </c>
      <c r="K52" s="461" t="s">
        <v>890</v>
      </c>
      <c r="L52" s="461"/>
      <c r="M52" s="461" t="s">
        <v>858</v>
      </c>
      <c r="N52" s="465">
        <v>44596</v>
      </c>
      <c r="O52" s="465">
        <v>44596</v>
      </c>
      <c r="P52" s="461" t="s">
        <v>1438</v>
      </c>
      <c r="Q52" s="462">
        <v>700</v>
      </c>
      <c r="R52" s="462">
        <v>14050</v>
      </c>
      <c r="S52" s="512">
        <v>47231.57</v>
      </c>
      <c r="T52" s="462">
        <v>14056</v>
      </c>
      <c r="U52" s="505">
        <v>5060.53</v>
      </c>
      <c r="V52" s="505">
        <f t="shared" si="10"/>
        <v>42171.040000000001</v>
      </c>
      <c r="W52" s="509">
        <v>5060.53</v>
      </c>
      <c r="X52" s="462">
        <v>54260</v>
      </c>
      <c r="Y52" s="505">
        <v>562.28</v>
      </c>
      <c r="Z52" s="461" t="s">
        <v>701</v>
      </c>
      <c r="AA52" s="461"/>
      <c r="AB52" s="461">
        <v>50217427</v>
      </c>
      <c r="AC52" s="461"/>
      <c r="AD52" s="461" t="s">
        <v>705</v>
      </c>
      <c r="AE52" s="461" t="s">
        <v>703</v>
      </c>
      <c r="AF52" s="462" t="s">
        <v>351</v>
      </c>
      <c r="AG52" s="461"/>
      <c r="AH52" s="462" t="s">
        <v>707</v>
      </c>
      <c r="AI52" s="461">
        <v>0</v>
      </c>
      <c r="AJ52" s="461">
        <v>0</v>
      </c>
      <c r="AL52" s="364" t="s">
        <v>367</v>
      </c>
      <c r="AM52" s="490">
        <f t="shared" si="35"/>
        <v>2</v>
      </c>
      <c r="AN52" s="490">
        <f t="shared" si="36"/>
        <v>2022</v>
      </c>
      <c r="AO52" s="490">
        <f t="shared" si="41"/>
        <v>2029</v>
      </c>
      <c r="AP52" s="510">
        <f t="shared" si="37"/>
        <v>2029.1666666666667</v>
      </c>
      <c r="AQ52" s="351">
        <f t="shared" si="38"/>
        <v>562.2805952380952</v>
      </c>
      <c r="AR52" s="351">
        <f t="shared" si="39"/>
        <v>6747.3671428571424</v>
      </c>
      <c r="AS52" s="351">
        <f t="shared" si="42"/>
        <v>6747.3671428571424</v>
      </c>
      <c r="AT52" s="351">
        <f t="shared" si="43"/>
        <v>0</v>
      </c>
      <c r="AU52" s="351">
        <f t="shared" si="40"/>
        <v>6747.3671428571424</v>
      </c>
      <c r="AV52" s="351">
        <f t="shared" si="44"/>
        <v>40484.20285714286</v>
      </c>
      <c r="AW52" s="491" t="s">
        <v>339</v>
      </c>
    </row>
    <row r="53" spans="2:129" x14ac:dyDescent="0.25">
      <c r="B53" s="462">
        <v>2032</v>
      </c>
      <c r="C53" s="466">
        <v>275494</v>
      </c>
      <c r="D53" s="462" t="s">
        <v>701</v>
      </c>
      <c r="E53" s="461" t="s">
        <v>1451</v>
      </c>
      <c r="F53" s="462">
        <v>10</v>
      </c>
      <c r="G53" s="461"/>
      <c r="H53" s="461"/>
      <c r="I53" s="461" t="s">
        <v>988</v>
      </c>
      <c r="J53" s="461">
        <v>0</v>
      </c>
      <c r="K53" s="461" t="s">
        <v>909</v>
      </c>
      <c r="L53" s="461"/>
      <c r="M53" s="461" t="s">
        <v>1113</v>
      </c>
      <c r="N53" s="465">
        <v>44642</v>
      </c>
      <c r="O53" s="465">
        <v>44642</v>
      </c>
      <c r="P53" s="461" t="s">
        <v>1450</v>
      </c>
      <c r="Q53" s="462">
        <v>1200</v>
      </c>
      <c r="R53" s="462">
        <v>14050</v>
      </c>
      <c r="S53" s="512">
        <v>11141.44</v>
      </c>
      <c r="T53" s="462">
        <v>14056</v>
      </c>
      <c r="U53" s="505">
        <v>541.6</v>
      </c>
      <c r="V53" s="505">
        <f t="shared" si="10"/>
        <v>10599.84</v>
      </c>
      <c r="W53" s="509">
        <v>541.6</v>
      </c>
      <c r="X53" s="462">
        <v>54260</v>
      </c>
      <c r="Y53" s="505">
        <v>77.37</v>
      </c>
      <c r="Z53" s="461" t="s">
        <v>701</v>
      </c>
      <c r="AA53" s="461"/>
      <c r="AB53" s="461" t="s">
        <v>1449</v>
      </c>
      <c r="AC53" s="461"/>
      <c r="AD53" s="461" t="s">
        <v>705</v>
      </c>
      <c r="AE53" s="461" t="s">
        <v>703</v>
      </c>
      <c r="AF53" s="462" t="s">
        <v>351</v>
      </c>
      <c r="AG53" s="461"/>
      <c r="AH53" s="462" t="s">
        <v>707</v>
      </c>
      <c r="AI53" s="461">
        <v>0</v>
      </c>
      <c r="AJ53" s="461">
        <v>0</v>
      </c>
      <c r="AL53" s="364" t="s">
        <v>295</v>
      </c>
      <c r="AM53" s="490">
        <f t="shared" si="35"/>
        <v>3</v>
      </c>
      <c r="AN53" s="490">
        <f t="shared" si="36"/>
        <v>2022</v>
      </c>
      <c r="AO53" s="490">
        <f t="shared" si="41"/>
        <v>2034</v>
      </c>
      <c r="AP53" s="510">
        <f t="shared" si="37"/>
        <v>2034.25</v>
      </c>
      <c r="AQ53" s="351">
        <f t="shared" si="38"/>
        <v>77.371111111111119</v>
      </c>
      <c r="AR53" s="351">
        <f t="shared" si="39"/>
        <v>928.45333333333338</v>
      </c>
      <c r="AS53" s="351">
        <f t="shared" si="42"/>
        <v>928.45333333333338</v>
      </c>
      <c r="AT53" s="351">
        <f t="shared" si="43"/>
        <v>0</v>
      </c>
      <c r="AU53" s="351">
        <f t="shared" si="40"/>
        <v>928.45333333333338</v>
      </c>
      <c r="AV53" s="351">
        <f t="shared" si="44"/>
        <v>10212.986666666668</v>
      </c>
      <c r="AW53" s="491" t="s">
        <v>339</v>
      </c>
    </row>
    <row r="54" spans="2:129" x14ac:dyDescent="0.25">
      <c r="B54" s="462">
        <v>2032</v>
      </c>
      <c r="C54" s="466">
        <v>273617</v>
      </c>
      <c r="D54" s="462" t="s">
        <v>701</v>
      </c>
      <c r="E54" s="461" t="s">
        <v>1448</v>
      </c>
      <c r="F54" s="462">
        <v>78</v>
      </c>
      <c r="G54" s="461"/>
      <c r="H54" s="461"/>
      <c r="I54" s="461"/>
      <c r="J54" s="461">
        <v>0</v>
      </c>
      <c r="K54" s="461"/>
      <c r="L54" s="461"/>
      <c r="M54" s="461"/>
      <c r="N54" s="465">
        <v>44592</v>
      </c>
      <c r="O54" s="465">
        <v>44592</v>
      </c>
      <c r="P54" s="461" t="s">
        <v>1447</v>
      </c>
      <c r="Q54" s="462">
        <v>100</v>
      </c>
      <c r="R54" s="462">
        <v>14110</v>
      </c>
      <c r="S54" s="512">
        <v>9881.7900000000009</v>
      </c>
      <c r="T54" s="462">
        <v>14116</v>
      </c>
      <c r="U54" s="505">
        <v>7411.34</v>
      </c>
      <c r="V54" s="505">
        <f t="shared" si="10"/>
        <v>2470.4500000000007</v>
      </c>
      <c r="W54" s="509">
        <v>7411.34</v>
      </c>
      <c r="X54" s="462">
        <v>70260</v>
      </c>
      <c r="Y54" s="505">
        <v>823.48</v>
      </c>
      <c r="Z54" s="461" t="s">
        <v>701</v>
      </c>
      <c r="AA54" s="461"/>
      <c r="AB54" s="461"/>
      <c r="AC54" s="461"/>
      <c r="AD54" s="461" t="s">
        <v>705</v>
      </c>
      <c r="AE54" s="461" t="s">
        <v>703</v>
      </c>
      <c r="AF54" s="462" t="s">
        <v>351</v>
      </c>
      <c r="AG54" s="461"/>
      <c r="AH54" s="462" t="s">
        <v>707</v>
      </c>
      <c r="AI54" s="461">
        <v>0</v>
      </c>
      <c r="AJ54" s="461">
        <v>0</v>
      </c>
      <c r="AL54" s="364" t="s">
        <v>300</v>
      </c>
      <c r="AM54" s="490">
        <f t="shared" si="35"/>
        <v>1</v>
      </c>
      <c r="AN54" s="490">
        <f t="shared" si="36"/>
        <v>2022</v>
      </c>
      <c r="AO54" s="490">
        <f t="shared" si="41"/>
        <v>2023</v>
      </c>
      <c r="AP54" s="510">
        <f t="shared" si="37"/>
        <v>2023.0833333333333</v>
      </c>
      <c r="AQ54" s="351">
        <f t="shared" si="38"/>
        <v>823.48250000000007</v>
      </c>
      <c r="AR54" s="351">
        <f t="shared" si="39"/>
        <v>9881.7900000000009</v>
      </c>
      <c r="AS54" s="351">
        <f t="shared" si="42"/>
        <v>0</v>
      </c>
      <c r="AT54" s="351">
        <f t="shared" si="43"/>
        <v>9881.7900000000009</v>
      </c>
      <c r="AU54" s="351">
        <f t="shared" si="40"/>
        <v>9881.7900000000009</v>
      </c>
      <c r="AV54" s="351">
        <f t="shared" si="44"/>
        <v>0</v>
      </c>
      <c r="AW54" s="491" t="s">
        <v>339</v>
      </c>
    </row>
    <row r="55" spans="2:129" x14ac:dyDescent="0.25">
      <c r="B55" s="462">
        <v>2032</v>
      </c>
      <c r="C55" s="466">
        <v>273185</v>
      </c>
      <c r="D55" s="462" t="s">
        <v>701</v>
      </c>
      <c r="E55" s="461" t="s">
        <v>1446</v>
      </c>
      <c r="F55" s="462">
        <v>500</v>
      </c>
      <c r="G55" s="461"/>
      <c r="H55" s="461"/>
      <c r="I55" s="461"/>
      <c r="J55" s="461">
        <v>0</v>
      </c>
      <c r="K55" s="461" t="s">
        <v>890</v>
      </c>
      <c r="L55" s="461"/>
      <c r="M55" s="461" t="s">
        <v>858</v>
      </c>
      <c r="N55" s="465">
        <v>44589</v>
      </c>
      <c r="O55" s="465">
        <v>44589</v>
      </c>
      <c r="P55" s="461" t="s">
        <v>1438</v>
      </c>
      <c r="Q55" s="462">
        <v>700</v>
      </c>
      <c r="R55" s="462">
        <v>14050</v>
      </c>
      <c r="S55" s="512">
        <v>30235.57</v>
      </c>
      <c r="T55" s="462">
        <v>14056</v>
      </c>
      <c r="U55" s="505">
        <v>3239.53</v>
      </c>
      <c r="V55" s="505">
        <f t="shared" si="10"/>
        <v>26996.04</v>
      </c>
      <c r="W55" s="509">
        <v>3239.53</v>
      </c>
      <c r="X55" s="462">
        <v>54260</v>
      </c>
      <c r="Y55" s="505">
        <v>359.95</v>
      </c>
      <c r="Z55" s="461" t="s">
        <v>701</v>
      </c>
      <c r="AA55" s="461"/>
      <c r="AB55" s="461">
        <v>50220000</v>
      </c>
      <c r="AC55" s="461"/>
      <c r="AD55" s="461" t="s">
        <v>705</v>
      </c>
      <c r="AE55" s="461" t="s">
        <v>703</v>
      </c>
      <c r="AF55" s="462" t="s">
        <v>351</v>
      </c>
      <c r="AG55" s="461"/>
      <c r="AH55" s="462" t="s">
        <v>707</v>
      </c>
      <c r="AI55" s="461">
        <v>0</v>
      </c>
      <c r="AJ55" s="461">
        <v>0</v>
      </c>
      <c r="AL55" s="364" t="s">
        <v>1304</v>
      </c>
      <c r="AM55" s="490">
        <f t="shared" ref="AM55:AM61" si="45">MONTH($N55)</f>
        <v>1</v>
      </c>
      <c r="AN55" s="490">
        <f t="shared" ref="AN55:AN61" si="46">YEAR($N55)</f>
        <v>2022</v>
      </c>
      <c r="AO55" s="490">
        <f t="shared" si="41"/>
        <v>2029</v>
      </c>
      <c r="AP55" s="510">
        <f t="shared" ref="AP55:AP61" si="47">$AO55+($AM55/12)</f>
        <v>2029.0833333333333</v>
      </c>
      <c r="AQ55" s="351">
        <f t="shared" ref="AQ55:AQ61" si="48">IFERROR($S55/($Q55/100)/12,0)</f>
        <v>359.94726190476189</v>
      </c>
      <c r="AR55" s="351">
        <f t="shared" ref="AR55:AR61" si="49">$AQ55*12</f>
        <v>4319.3671428571424</v>
      </c>
      <c r="AS55" s="351">
        <f t="shared" si="42"/>
        <v>4319.3671428571424</v>
      </c>
      <c r="AT55" s="351">
        <f t="shared" si="43"/>
        <v>0</v>
      </c>
      <c r="AU55" s="351">
        <f t="shared" ref="AU55:AU61" si="50">IF($AT55=0,$AS55,($AT55+$AS55))</f>
        <v>4319.3671428571424</v>
      </c>
      <c r="AV55" s="351">
        <f t="shared" si="44"/>
        <v>25916.202857142856</v>
      </c>
      <c r="AW55" s="491" t="s">
        <v>339</v>
      </c>
    </row>
    <row r="56" spans="2:129" x14ac:dyDescent="0.25">
      <c r="B56" s="462">
        <v>2032</v>
      </c>
      <c r="C56" s="466">
        <v>273184</v>
      </c>
      <c r="D56" s="462" t="s">
        <v>701</v>
      </c>
      <c r="E56" s="461" t="s">
        <v>1445</v>
      </c>
      <c r="F56" s="462">
        <v>212</v>
      </c>
      <c r="G56" s="461"/>
      <c r="H56" s="461"/>
      <c r="I56" s="461"/>
      <c r="J56" s="461">
        <v>0</v>
      </c>
      <c r="K56" s="461" t="s">
        <v>890</v>
      </c>
      <c r="L56" s="461"/>
      <c r="M56" s="461" t="s">
        <v>858</v>
      </c>
      <c r="N56" s="465">
        <v>44589</v>
      </c>
      <c r="O56" s="465">
        <v>44589</v>
      </c>
      <c r="P56" s="461" t="s">
        <v>1438</v>
      </c>
      <c r="Q56" s="462">
        <v>700</v>
      </c>
      <c r="R56" s="462">
        <v>14050</v>
      </c>
      <c r="S56" s="512">
        <v>12819.88</v>
      </c>
      <c r="T56" s="462">
        <v>14056</v>
      </c>
      <c r="U56" s="505">
        <v>1373.56</v>
      </c>
      <c r="V56" s="505">
        <f t="shared" si="10"/>
        <v>11446.32</v>
      </c>
      <c r="W56" s="509">
        <v>1373.56</v>
      </c>
      <c r="X56" s="462">
        <v>54260</v>
      </c>
      <c r="Y56" s="505">
        <v>152.62</v>
      </c>
      <c r="Z56" s="461" t="s">
        <v>701</v>
      </c>
      <c r="AA56" s="461"/>
      <c r="AB56" s="461">
        <v>50220000</v>
      </c>
      <c r="AC56" s="461"/>
      <c r="AD56" s="461" t="s">
        <v>705</v>
      </c>
      <c r="AE56" s="461" t="s">
        <v>703</v>
      </c>
      <c r="AF56" s="462" t="s">
        <v>351</v>
      </c>
      <c r="AG56" s="461"/>
      <c r="AH56" s="462" t="s">
        <v>707</v>
      </c>
      <c r="AI56" s="461">
        <v>0</v>
      </c>
      <c r="AJ56" s="461">
        <v>0</v>
      </c>
      <c r="AL56" s="364" t="s">
        <v>1304</v>
      </c>
      <c r="AM56" s="490">
        <f t="shared" si="45"/>
        <v>1</v>
      </c>
      <c r="AN56" s="490">
        <f t="shared" si="46"/>
        <v>2022</v>
      </c>
      <c r="AO56" s="490">
        <f t="shared" si="41"/>
        <v>2029</v>
      </c>
      <c r="AP56" s="510">
        <f t="shared" si="47"/>
        <v>2029.0833333333333</v>
      </c>
      <c r="AQ56" s="351">
        <f t="shared" si="48"/>
        <v>152.61761904761903</v>
      </c>
      <c r="AR56" s="351">
        <f t="shared" si="49"/>
        <v>1831.4114285714284</v>
      </c>
      <c r="AS56" s="351">
        <f t="shared" si="42"/>
        <v>1831.4114285714284</v>
      </c>
      <c r="AT56" s="351">
        <f t="shared" si="43"/>
        <v>0</v>
      </c>
      <c r="AU56" s="351">
        <f t="shared" si="50"/>
        <v>1831.4114285714284</v>
      </c>
      <c r="AV56" s="351">
        <f t="shared" si="44"/>
        <v>10988.468571428572</v>
      </c>
      <c r="AW56" s="491" t="s">
        <v>339</v>
      </c>
    </row>
    <row r="57" spans="2:129" x14ac:dyDescent="0.25">
      <c r="B57" s="462">
        <v>2032</v>
      </c>
      <c r="C57" s="466">
        <v>273183</v>
      </c>
      <c r="D57" s="462" t="s">
        <v>701</v>
      </c>
      <c r="E57" s="461" t="s">
        <v>1441</v>
      </c>
      <c r="F57" s="462">
        <v>112</v>
      </c>
      <c r="G57" s="461"/>
      <c r="H57" s="461"/>
      <c r="I57" s="461"/>
      <c r="J57" s="461">
        <v>0</v>
      </c>
      <c r="K57" s="461" t="s">
        <v>890</v>
      </c>
      <c r="L57" s="461"/>
      <c r="M57" s="461" t="s">
        <v>858</v>
      </c>
      <c r="N57" s="465">
        <v>44589</v>
      </c>
      <c r="O57" s="465">
        <v>44589</v>
      </c>
      <c r="P57" s="461" t="s">
        <v>1438</v>
      </c>
      <c r="Q57" s="462">
        <v>700</v>
      </c>
      <c r="R57" s="462">
        <v>14050</v>
      </c>
      <c r="S57" s="512">
        <v>7535.52</v>
      </c>
      <c r="T57" s="462">
        <v>14056</v>
      </c>
      <c r="U57" s="505">
        <v>807.38</v>
      </c>
      <c r="V57" s="505">
        <f t="shared" si="10"/>
        <v>6728.14</v>
      </c>
      <c r="W57" s="509">
        <v>807.38</v>
      </c>
      <c r="X57" s="462">
        <v>54260</v>
      </c>
      <c r="Y57" s="505">
        <v>89.71</v>
      </c>
      <c r="Z57" s="461" t="s">
        <v>701</v>
      </c>
      <c r="AA57" s="461"/>
      <c r="AB57" s="461">
        <v>50220000</v>
      </c>
      <c r="AC57" s="461"/>
      <c r="AD57" s="461" t="s">
        <v>705</v>
      </c>
      <c r="AE57" s="461" t="s">
        <v>703</v>
      </c>
      <c r="AF57" s="462" t="s">
        <v>351</v>
      </c>
      <c r="AG57" s="461"/>
      <c r="AH57" s="462" t="s">
        <v>707</v>
      </c>
      <c r="AI57" s="461">
        <v>0</v>
      </c>
      <c r="AJ57" s="461">
        <v>0</v>
      </c>
      <c r="AL57" s="364" t="s">
        <v>1304</v>
      </c>
      <c r="AM57" s="490">
        <f t="shared" si="45"/>
        <v>1</v>
      </c>
      <c r="AN57" s="490">
        <f t="shared" si="46"/>
        <v>2022</v>
      </c>
      <c r="AO57" s="490">
        <f t="shared" si="41"/>
        <v>2029</v>
      </c>
      <c r="AP57" s="510">
        <f t="shared" si="47"/>
        <v>2029.0833333333333</v>
      </c>
      <c r="AQ57" s="351">
        <f>IFERROR($S57/($Q57/100)/12,0)</f>
        <v>89.708571428571432</v>
      </c>
      <c r="AR57" s="351">
        <f>$AQ57*12</f>
        <v>1076.5028571428572</v>
      </c>
      <c r="AS57" s="351">
        <f t="shared" si="42"/>
        <v>1076.5028571428572</v>
      </c>
      <c r="AT57" s="351">
        <f t="shared" si="43"/>
        <v>0</v>
      </c>
      <c r="AU57" s="351">
        <f t="shared" si="50"/>
        <v>1076.5028571428572</v>
      </c>
      <c r="AV57" s="351">
        <f t="shared" si="44"/>
        <v>6459.017142857143</v>
      </c>
      <c r="AW57" s="491" t="s">
        <v>339</v>
      </c>
    </row>
    <row r="58" spans="2:129" x14ac:dyDescent="0.25">
      <c r="B58" s="462">
        <v>2032</v>
      </c>
      <c r="C58" s="466">
        <v>273025</v>
      </c>
      <c r="D58" s="462">
        <v>267278</v>
      </c>
      <c r="E58" s="461" t="s">
        <v>1444</v>
      </c>
      <c r="F58" s="462">
        <v>1</v>
      </c>
      <c r="G58" s="461"/>
      <c r="H58" s="461"/>
      <c r="I58" s="461"/>
      <c r="J58" s="461">
        <v>0</v>
      </c>
      <c r="K58" s="461" t="s">
        <v>1443</v>
      </c>
      <c r="L58" s="461"/>
      <c r="M58" s="461"/>
      <c r="N58" s="465">
        <v>44563</v>
      </c>
      <c r="O58" s="465">
        <v>44563</v>
      </c>
      <c r="P58" s="461" t="s">
        <v>1442</v>
      </c>
      <c r="Q58" s="462">
        <v>500</v>
      </c>
      <c r="R58" s="462">
        <v>14070</v>
      </c>
      <c r="S58" s="512">
        <v>29754.799999999999</v>
      </c>
      <c r="T58" s="462">
        <v>14076</v>
      </c>
      <c r="U58" s="505">
        <v>4959.13</v>
      </c>
      <c r="V58" s="505">
        <f t="shared" si="10"/>
        <v>24795.67</v>
      </c>
      <c r="W58" s="509">
        <v>4959.13</v>
      </c>
      <c r="X58" s="462">
        <v>51260</v>
      </c>
      <c r="Y58" s="505">
        <v>495.91</v>
      </c>
      <c r="Z58" s="461" t="s">
        <v>701</v>
      </c>
      <c r="AA58" s="461"/>
      <c r="AB58" s="461">
        <v>210510</v>
      </c>
      <c r="AC58" s="461"/>
      <c r="AD58" s="461" t="s">
        <v>705</v>
      </c>
      <c r="AE58" s="461" t="s">
        <v>703</v>
      </c>
      <c r="AF58" s="462" t="s">
        <v>351</v>
      </c>
      <c r="AG58" s="461"/>
      <c r="AH58" s="462" t="s">
        <v>707</v>
      </c>
      <c r="AI58" s="461">
        <v>0</v>
      </c>
      <c r="AJ58" s="461">
        <v>0</v>
      </c>
      <c r="AL58" s="364" t="s">
        <v>300</v>
      </c>
      <c r="AM58" s="490">
        <f t="shared" si="45"/>
        <v>1</v>
      </c>
      <c r="AN58" s="490">
        <f t="shared" si="46"/>
        <v>2022</v>
      </c>
      <c r="AO58" s="490">
        <f t="shared" si="41"/>
        <v>2027</v>
      </c>
      <c r="AP58" s="510">
        <f t="shared" si="47"/>
        <v>2027.0833333333333</v>
      </c>
      <c r="AQ58" s="351">
        <f t="shared" si="48"/>
        <v>495.91333333333336</v>
      </c>
      <c r="AR58" s="351">
        <f t="shared" si="49"/>
        <v>5950.96</v>
      </c>
      <c r="AS58" s="351">
        <f t="shared" si="42"/>
        <v>5950.96</v>
      </c>
      <c r="AT58" s="351">
        <f t="shared" si="43"/>
        <v>0</v>
      </c>
      <c r="AU58" s="351">
        <f t="shared" si="50"/>
        <v>5950.96</v>
      </c>
      <c r="AV58" s="351">
        <f t="shared" si="44"/>
        <v>23803.84</v>
      </c>
      <c r="AW58" s="491" t="s">
        <v>339</v>
      </c>
    </row>
    <row r="59" spans="2:129" x14ac:dyDescent="0.25">
      <c r="B59" s="462">
        <v>2032</v>
      </c>
      <c r="C59" s="466">
        <v>272992</v>
      </c>
      <c r="D59" s="462" t="s">
        <v>701</v>
      </c>
      <c r="E59" s="461" t="s">
        <v>1441</v>
      </c>
      <c r="F59" s="462">
        <v>86</v>
      </c>
      <c r="G59" s="461"/>
      <c r="H59" s="461"/>
      <c r="I59" s="461"/>
      <c r="J59" s="461">
        <v>0</v>
      </c>
      <c r="K59" s="461" t="s">
        <v>890</v>
      </c>
      <c r="L59" s="461"/>
      <c r="M59" s="461" t="s">
        <v>858</v>
      </c>
      <c r="N59" s="465">
        <v>44585</v>
      </c>
      <c r="O59" s="465">
        <v>44585</v>
      </c>
      <c r="P59" s="461" t="s">
        <v>1438</v>
      </c>
      <c r="Q59" s="462">
        <v>700</v>
      </c>
      <c r="R59" s="462">
        <v>14050</v>
      </c>
      <c r="S59" s="512">
        <v>5786.2</v>
      </c>
      <c r="T59" s="462">
        <v>14056</v>
      </c>
      <c r="U59" s="505">
        <v>619.95000000000005</v>
      </c>
      <c r="V59" s="505">
        <f t="shared" si="10"/>
        <v>5166.25</v>
      </c>
      <c r="W59" s="509">
        <v>619.95000000000005</v>
      </c>
      <c r="X59" s="462">
        <v>54260</v>
      </c>
      <c r="Y59" s="505">
        <v>68.88</v>
      </c>
      <c r="Z59" s="461" t="s">
        <v>701</v>
      </c>
      <c r="AA59" s="461"/>
      <c r="AB59" s="461">
        <v>50217231</v>
      </c>
      <c r="AC59" s="461"/>
      <c r="AD59" s="461" t="s">
        <v>705</v>
      </c>
      <c r="AE59" s="461" t="s">
        <v>703</v>
      </c>
      <c r="AF59" s="462" t="s">
        <v>351</v>
      </c>
      <c r="AG59" s="461"/>
      <c r="AH59" s="462" t="s">
        <v>707</v>
      </c>
      <c r="AI59" s="461">
        <v>0</v>
      </c>
      <c r="AJ59" s="461">
        <v>0</v>
      </c>
      <c r="AL59" s="364" t="s">
        <v>1304</v>
      </c>
      <c r="AM59" s="490">
        <f t="shared" si="45"/>
        <v>1</v>
      </c>
      <c r="AN59" s="490">
        <f t="shared" si="46"/>
        <v>2022</v>
      </c>
      <c r="AO59" s="490">
        <f t="shared" si="41"/>
        <v>2029</v>
      </c>
      <c r="AP59" s="510">
        <f t="shared" si="47"/>
        <v>2029.0833333333333</v>
      </c>
      <c r="AQ59" s="351">
        <f t="shared" si="48"/>
        <v>68.88333333333334</v>
      </c>
      <c r="AR59" s="351">
        <f t="shared" si="49"/>
        <v>826.60000000000014</v>
      </c>
      <c r="AS59" s="351">
        <f t="shared" si="42"/>
        <v>826.60000000000014</v>
      </c>
      <c r="AT59" s="351">
        <f t="shared" si="43"/>
        <v>0</v>
      </c>
      <c r="AU59" s="351">
        <f t="shared" si="50"/>
        <v>826.60000000000014</v>
      </c>
      <c r="AV59" s="351">
        <f t="shared" si="44"/>
        <v>4959.5999999999995</v>
      </c>
      <c r="AW59" s="491" t="s">
        <v>339</v>
      </c>
    </row>
    <row r="60" spans="2:129" x14ac:dyDescent="0.25">
      <c r="B60" s="462">
        <v>2032</v>
      </c>
      <c r="C60" s="466">
        <v>272991</v>
      </c>
      <c r="D60" s="462" t="s">
        <v>701</v>
      </c>
      <c r="E60" s="461" t="s">
        <v>1440</v>
      </c>
      <c r="F60" s="462">
        <v>200</v>
      </c>
      <c r="G60" s="461"/>
      <c r="H60" s="461"/>
      <c r="I60" s="461"/>
      <c r="J60" s="461">
        <v>0</v>
      </c>
      <c r="K60" s="461" t="s">
        <v>890</v>
      </c>
      <c r="L60" s="461"/>
      <c r="M60" s="461" t="s">
        <v>858</v>
      </c>
      <c r="N60" s="465">
        <v>44585</v>
      </c>
      <c r="O60" s="465">
        <v>44585</v>
      </c>
      <c r="P60" s="461" t="s">
        <v>1438</v>
      </c>
      <c r="Q60" s="462">
        <v>700</v>
      </c>
      <c r="R60" s="462">
        <v>14050</v>
      </c>
      <c r="S60" s="512">
        <v>13456.29</v>
      </c>
      <c r="T60" s="462">
        <v>14056</v>
      </c>
      <c r="U60" s="505">
        <v>1441.74</v>
      </c>
      <c r="V60" s="505">
        <f t="shared" si="10"/>
        <v>12014.550000000001</v>
      </c>
      <c r="W60" s="509">
        <v>1441.74</v>
      </c>
      <c r="X60" s="462">
        <v>54260</v>
      </c>
      <c r="Y60" s="505">
        <v>160.19</v>
      </c>
      <c r="Z60" s="461" t="s">
        <v>701</v>
      </c>
      <c r="AA60" s="461"/>
      <c r="AB60" s="461">
        <v>50217231</v>
      </c>
      <c r="AC60" s="461"/>
      <c r="AD60" s="461" t="s">
        <v>705</v>
      </c>
      <c r="AE60" s="461" t="s">
        <v>703</v>
      </c>
      <c r="AF60" s="462" t="s">
        <v>351</v>
      </c>
      <c r="AG60" s="461"/>
      <c r="AH60" s="462" t="s">
        <v>707</v>
      </c>
      <c r="AI60" s="461">
        <v>0</v>
      </c>
      <c r="AJ60" s="461">
        <v>0</v>
      </c>
      <c r="AL60" s="364" t="s">
        <v>1305</v>
      </c>
      <c r="AM60" s="490">
        <f t="shared" si="45"/>
        <v>1</v>
      </c>
      <c r="AN60" s="490">
        <f t="shared" si="46"/>
        <v>2022</v>
      </c>
      <c r="AO60" s="490">
        <f t="shared" si="41"/>
        <v>2029</v>
      </c>
      <c r="AP60" s="510">
        <f t="shared" si="47"/>
        <v>2029.0833333333333</v>
      </c>
      <c r="AQ60" s="351">
        <f t="shared" si="48"/>
        <v>160.19392857142859</v>
      </c>
      <c r="AR60" s="351">
        <f t="shared" si="49"/>
        <v>1922.3271428571429</v>
      </c>
      <c r="AS60" s="351">
        <f t="shared" si="42"/>
        <v>1922.3271428571429</v>
      </c>
      <c r="AT60" s="351">
        <f t="shared" si="43"/>
        <v>0</v>
      </c>
      <c r="AU60" s="351">
        <f t="shared" si="50"/>
        <v>1922.3271428571429</v>
      </c>
      <c r="AV60" s="351">
        <f t="shared" si="44"/>
        <v>11533.962857142858</v>
      </c>
      <c r="AW60" s="491" t="s">
        <v>339</v>
      </c>
    </row>
    <row r="61" spans="2:129" x14ac:dyDescent="0.25">
      <c r="B61" s="462">
        <v>2032</v>
      </c>
      <c r="C61" s="466">
        <v>272990</v>
      </c>
      <c r="D61" s="462" t="s">
        <v>701</v>
      </c>
      <c r="E61" s="461" t="s">
        <v>1439</v>
      </c>
      <c r="F61" s="462">
        <v>400</v>
      </c>
      <c r="G61" s="461"/>
      <c r="H61" s="461"/>
      <c r="I61" s="461"/>
      <c r="J61" s="461">
        <v>0</v>
      </c>
      <c r="K61" s="461" t="s">
        <v>890</v>
      </c>
      <c r="L61" s="461"/>
      <c r="M61" s="461" t="s">
        <v>858</v>
      </c>
      <c r="N61" s="465">
        <v>44585</v>
      </c>
      <c r="O61" s="465">
        <v>44585</v>
      </c>
      <c r="P61" s="461" t="s">
        <v>1438</v>
      </c>
      <c r="Q61" s="462">
        <v>700</v>
      </c>
      <c r="R61" s="462">
        <v>14050</v>
      </c>
      <c r="S61" s="512">
        <v>26912.58</v>
      </c>
      <c r="T61" s="462">
        <v>14056</v>
      </c>
      <c r="U61" s="505">
        <v>2883.49</v>
      </c>
      <c r="V61" s="505">
        <f t="shared" si="10"/>
        <v>24029.090000000004</v>
      </c>
      <c r="W61" s="509">
        <v>2883.49</v>
      </c>
      <c r="X61" s="462">
        <v>54260</v>
      </c>
      <c r="Y61" s="505">
        <v>320.38</v>
      </c>
      <c r="Z61" s="461" t="s">
        <v>701</v>
      </c>
      <c r="AA61" s="461"/>
      <c r="AB61" s="461">
        <v>50217231</v>
      </c>
      <c r="AC61" s="461"/>
      <c r="AD61" s="461" t="s">
        <v>705</v>
      </c>
      <c r="AE61" s="461" t="s">
        <v>703</v>
      </c>
      <c r="AF61" s="462" t="s">
        <v>351</v>
      </c>
      <c r="AG61" s="461"/>
      <c r="AH61" s="462" t="s">
        <v>707</v>
      </c>
      <c r="AI61" s="461">
        <v>0</v>
      </c>
      <c r="AJ61" s="461">
        <v>0</v>
      </c>
      <c r="AL61" s="364" t="s">
        <v>1304</v>
      </c>
      <c r="AM61" s="490">
        <f t="shared" si="45"/>
        <v>1</v>
      </c>
      <c r="AN61" s="490">
        <f t="shared" si="46"/>
        <v>2022</v>
      </c>
      <c r="AO61" s="490">
        <f t="shared" si="41"/>
        <v>2029</v>
      </c>
      <c r="AP61" s="510">
        <f t="shared" si="47"/>
        <v>2029.0833333333333</v>
      </c>
      <c r="AQ61" s="351">
        <f t="shared" si="48"/>
        <v>320.38785714285717</v>
      </c>
      <c r="AR61" s="351">
        <f t="shared" si="49"/>
        <v>3844.6542857142858</v>
      </c>
      <c r="AS61" s="351">
        <f t="shared" si="42"/>
        <v>3844.6542857142858</v>
      </c>
      <c r="AT61" s="351">
        <f t="shared" si="43"/>
        <v>0</v>
      </c>
      <c r="AU61" s="351">
        <f t="shared" si="50"/>
        <v>3844.6542857142858</v>
      </c>
      <c r="AV61" s="351">
        <f t="shared" si="44"/>
        <v>23067.925714285717</v>
      </c>
      <c r="AW61" s="491" t="s">
        <v>339</v>
      </c>
    </row>
    <row r="62" spans="2:129" s="468" customFormat="1" x14ac:dyDescent="0.25">
      <c r="B62" s="469">
        <v>2032</v>
      </c>
      <c r="C62" s="466">
        <v>271231</v>
      </c>
      <c r="D62" s="462">
        <v>234311</v>
      </c>
      <c r="E62" s="461" t="s">
        <v>1228</v>
      </c>
      <c r="F62" s="462"/>
      <c r="G62" s="461"/>
      <c r="H62" s="461"/>
      <c r="I62" s="461"/>
      <c r="J62" s="461">
        <v>0</v>
      </c>
      <c r="K62" s="461" t="s">
        <v>1227</v>
      </c>
      <c r="L62" s="461"/>
      <c r="M62" s="461" t="s">
        <v>962</v>
      </c>
      <c r="N62" s="465">
        <v>44468</v>
      </c>
      <c r="O62" s="465">
        <v>44468</v>
      </c>
      <c r="P62" s="461" t="s">
        <v>1226</v>
      </c>
      <c r="Q62" s="462">
        <v>300</v>
      </c>
      <c r="R62" s="462">
        <v>14040</v>
      </c>
      <c r="S62" s="512">
        <v>12836.56</v>
      </c>
      <c r="T62" s="462">
        <v>14046</v>
      </c>
      <c r="U62" s="505">
        <v>4635.42</v>
      </c>
      <c r="V62" s="505">
        <f t="shared" si="10"/>
        <v>8201.14</v>
      </c>
      <c r="W62" s="509">
        <v>3565.71</v>
      </c>
      <c r="X62" s="462">
        <v>51260</v>
      </c>
      <c r="Y62" s="505">
        <v>356.57</v>
      </c>
      <c r="Z62" s="461" t="s">
        <v>701</v>
      </c>
      <c r="AA62" s="461"/>
      <c r="AB62" s="461">
        <v>2509600</v>
      </c>
      <c r="AC62" s="461"/>
      <c r="AD62" s="461" t="s">
        <v>705</v>
      </c>
      <c r="AE62" s="461" t="s">
        <v>703</v>
      </c>
      <c r="AF62" s="462" t="s">
        <v>351</v>
      </c>
      <c r="AG62" s="461"/>
      <c r="AH62" s="462" t="s">
        <v>707</v>
      </c>
      <c r="AI62" s="461">
        <v>0</v>
      </c>
      <c r="AJ62" s="461">
        <v>0</v>
      </c>
      <c r="AK62" s="364"/>
      <c r="AL62" s="364" t="s">
        <v>741</v>
      </c>
      <c r="AM62" s="490">
        <f>MONTH($N62)</f>
        <v>9</v>
      </c>
      <c r="AN62" s="490">
        <f>YEAR($N62)</f>
        <v>2021</v>
      </c>
      <c r="AO62" s="490">
        <f t="shared" si="41"/>
        <v>2024</v>
      </c>
      <c r="AP62" s="510">
        <f>$AO62+($AM62/12)</f>
        <v>2024.75</v>
      </c>
      <c r="AQ62" s="351">
        <f>IFERROR($S62/($Q62/100)/12,0)</f>
        <v>356.57111111111112</v>
      </c>
      <c r="AR62" s="351">
        <f>$AQ62*12</f>
        <v>4278.8533333333335</v>
      </c>
      <c r="AS62" s="351">
        <f t="shared" si="42"/>
        <v>4278.8533333333335</v>
      </c>
      <c r="AT62" s="351">
        <f t="shared" si="43"/>
        <v>4278.8533333333335</v>
      </c>
      <c r="AU62" s="351">
        <f>IF($AT62=0,$AS62,($AT62+$AS62))</f>
        <v>8557.7066666666669</v>
      </c>
      <c r="AV62" s="351">
        <f t="shared" si="44"/>
        <v>4278.8533333333326</v>
      </c>
      <c r="AW62" s="491" t="s">
        <v>339</v>
      </c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4"/>
      <c r="CO62" s="364"/>
      <c r="CP62" s="364"/>
      <c r="CQ62" s="364"/>
      <c r="CR62" s="364"/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64"/>
      <c r="DQ62" s="364"/>
      <c r="DR62" s="364"/>
      <c r="DS62" s="364"/>
      <c r="DT62" s="364"/>
      <c r="DU62" s="364"/>
      <c r="DV62" s="364"/>
      <c r="DW62" s="364"/>
      <c r="DX62" s="364"/>
      <c r="DY62" s="364"/>
    </row>
    <row r="63" spans="2:129" s="468" customFormat="1" x14ac:dyDescent="0.25">
      <c r="B63" s="469">
        <v>2032</v>
      </c>
      <c r="C63" s="466">
        <v>270768</v>
      </c>
      <c r="D63" s="462" t="s">
        <v>701</v>
      </c>
      <c r="E63" s="461" t="s">
        <v>1225</v>
      </c>
      <c r="F63" s="462"/>
      <c r="G63" s="461"/>
      <c r="H63" s="461"/>
      <c r="I63" s="461"/>
      <c r="J63" s="461">
        <v>0</v>
      </c>
      <c r="K63" s="461"/>
      <c r="L63" s="461"/>
      <c r="M63" s="461"/>
      <c r="N63" s="465">
        <v>44561</v>
      </c>
      <c r="O63" s="465">
        <v>44561</v>
      </c>
      <c r="P63" s="461" t="s">
        <v>1222</v>
      </c>
      <c r="Q63" s="462">
        <v>500</v>
      </c>
      <c r="R63" s="462">
        <v>14070</v>
      </c>
      <c r="S63" s="512">
        <v>15069.14</v>
      </c>
      <c r="T63" s="462">
        <v>14076</v>
      </c>
      <c r="U63" s="505">
        <v>2511.5300000000002</v>
      </c>
      <c r="V63" s="505">
        <f t="shared" si="10"/>
        <v>12557.609999999999</v>
      </c>
      <c r="W63" s="509">
        <v>2511.5300000000002</v>
      </c>
      <c r="X63" s="462">
        <v>51260</v>
      </c>
      <c r="Y63" s="505">
        <v>251.16</v>
      </c>
      <c r="Z63" s="461" t="s">
        <v>701</v>
      </c>
      <c r="AA63" s="461"/>
      <c r="AB63" s="461"/>
      <c r="AC63" s="461"/>
      <c r="AD63" s="461" t="s">
        <v>705</v>
      </c>
      <c r="AE63" s="461" t="s">
        <v>703</v>
      </c>
      <c r="AF63" s="462" t="s">
        <v>351</v>
      </c>
      <c r="AG63" s="461"/>
      <c r="AH63" s="462" t="s">
        <v>707</v>
      </c>
      <c r="AI63" s="461">
        <v>0</v>
      </c>
      <c r="AJ63" s="461">
        <v>0</v>
      </c>
      <c r="AK63" s="364"/>
      <c r="AL63" s="364" t="s">
        <v>299</v>
      </c>
      <c r="AM63" s="490">
        <f t="shared" ref="AM63:AM126" si="51">MONTH($N63)</f>
        <v>12</v>
      </c>
      <c r="AN63" s="490">
        <f t="shared" ref="AN63:AN126" si="52">YEAR($N63)</f>
        <v>2021</v>
      </c>
      <c r="AO63" s="490">
        <f t="shared" si="41"/>
        <v>2026</v>
      </c>
      <c r="AP63" s="510">
        <f t="shared" ref="AP63:AP126" si="53">$AO63+($AM63/12)</f>
        <v>2027</v>
      </c>
      <c r="AQ63" s="351">
        <f t="shared" ref="AQ63:AQ126" si="54">IFERROR($S63/($Q63/100)/12,0)</f>
        <v>251.15233333333333</v>
      </c>
      <c r="AR63" s="351">
        <f t="shared" ref="AR63:AR126" si="55">$AQ63*12</f>
        <v>3013.828</v>
      </c>
      <c r="AS63" s="351">
        <f t="shared" si="42"/>
        <v>3013.828</v>
      </c>
      <c r="AT63" s="351">
        <f t="shared" si="43"/>
        <v>3013.828</v>
      </c>
      <c r="AU63" s="351">
        <f t="shared" ref="AU63:AU126" si="56">IF($AT63=0,$AS63,($AT63+$AS63))</f>
        <v>6027.6559999999999</v>
      </c>
      <c r="AV63" s="351">
        <f t="shared" si="44"/>
        <v>9041.4840000000004</v>
      </c>
      <c r="AW63" s="491" t="s">
        <v>339</v>
      </c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  <c r="DR63" s="364"/>
      <c r="DS63" s="364"/>
      <c r="DT63" s="364"/>
      <c r="DU63" s="364"/>
      <c r="DV63" s="364"/>
      <c r="DW63" s="364"/>
      <c r="DX63" s="364"/>
      <c r="DY63" s="364"/>
    </row>
    <row r="64" spans="2:129" s="468" customFormat="1" x14ac:dyDescent="0.25">
      <c r="B64" s="469">
        <v>2032</v>
      </c>
      <c r="C64" s="466">
        <v>270632</v>
      </c>
      <c r="D64" s="462" t="s">
        <v>701</v>
      </c>
      <c r="E64" s="461" t="s">
        <v>1224</v>
      </c>
      <c r="F64" s="462"/>
      <c r="G64" s="461"/>
      <c r="H64" s="461"/>
      <c r="I64" s="461"/>
      <c r="J64" s="461">
        <v>0</v>
      </c>
      <c r="K64" s="461"/>
      <c r="L64" s="461"/>
      <c r="M64" s="461"/>
      <c r="N64" s="465">
        <v>44561</v>
      </c>
      <c r="O64" s="465">
        <v>44561</v>
      </c>
      <c r="P64" s="461" t="s">
        <v>1222</v>
      </c>
      <c r="Q64" s="462">
        <v>500</v>
      </c>
      <c r="R64" s="462">
        <v>14070</v>
      </c>
      <c r="S64" s="512">
        <v>96.14</v>
      </c>
      <c r="T64" s="462">
        <v>14076</v>
      </c>
      <c r="U64" s="505">
        <v>16.03</v>
      </c>
      <c r="V64" s="505">
        <f t="shared" si="10"/>
        <v>80.11</v>
      </c>
      <c r="W64" s="509">
        <v>16.03</v>
      </c>
      <c r="X64" s="462">
        <v>51260</v>
      </c>
      <c r="Y64" s="505">
        <v>1.61</v>
      </c>
      <c r="Z64" s="461" t="s">
        <v>701</v>
      </c>
      <c r="AA64" s="461"/>
      <c r="AB64" s="461"/>
      <c r="AC64" s="461"/>
      <c r="AD64" s="461" t="s">
        <v>705</v>
      </c>
      <c r="AE64" s="461" t="s">
        <v>703</v>
      </c>
      <c r="AF64" s="462" t="s">
        <v>351</v>
      </c>
      <c r="AG64" s="461"/>
      <c r="AH64" s="462" t="s">
        <v>707</v>
      </c>
      <c r="AI64" s="461">
        <v>0</v>
      </c>
      <c r="AJ64" s="461">
        <v>0</v>
      </c>
      <c r="AK64" s="364"/>
      <c r="AL64" s="364" t="s">
        <v>299</v>
      </c>
      <c r="AM64" s="490">
        <f t="shared" si="51"/>
        <v>12</v>
      </c>
      <c r="AN64" s="490">
        <f t="shared" si="52"/>
        <v>2021</v>
      </c>
      <c r="AO64" s="490">
        <f t="shared" si="41"/>
        <v>2026</v>
      </c>
      <c r="AP64" s="510">
        <f t="shared" si="53"/>
        <v>2027</v>
      </c>
      <c r="AQ64" s="351">
        <f t="shared" si="54"/>
        <v>1.6023333333333334</v>
      </c>
      <c r="AR64" s="351">
        <f t="shared" si="55"/>
        <v>19.228000000000002</v>
      </c>
      <c r="AS64" s="351">
        <f t="shared" si="42"/>
        <v>19.228000000000002</v>
      </c>
      <c r="AT64" s="351">
        <f t="shared" si="43"/>
        <v>19.228000000000002</v>
      </c>
      <c r="AU64" s="351">
        <f t="shared" si="56"/>
        <v>38.456000000000003</v>
      </c>
      <c r="AV64" s="351">
        <f t="shared" si="44"/>
        <v>57.683999999999997</v>
      </c>
      <c r="AW64" s="491" t="s">
        <v>339</v>
      </c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  <c r="DN64" s="364"/>
      <c r="DO64" s="364"/>
      <c r="DP64" s="364"/>
      <c r="DQ64" s="364"/>
      <c r="DR64" s="364"/>
      <c r="DS64" s="364"/>
      <c r="DT64" s="364"/>
      <c r="DU64" s="364"/>
      <c r="DV64" s="364"/>
      <c r="DW64" s="364"/>
      <c r="DX64" s="364"/>
      <c r="DY64" s="364"/>
    </row>
    <row r="65" spans="2:129" s="468" customFormat="1" x14ac:dyDescent="0.25">
      <c r="B65" s="469">
        <v>2032</v>
      </c>
      <c r="C65" s="466">
        <v>270631</v>
      </c>
      <c r="D65" s="462" t="s">
        <v>701</v>
      </c>
      <c r="E65" s="461" t="s">
        <v>1224</v>
      </c>
      <c r="F65" s="462"/>
      <c r="G65" s="461"/>
      <c r="H65" s="461"/>
      <c r="I65" s="461"/>
      <c r="J65" s="461">
        <v>0</v>
      </c>
      <c r="K65" s="461"/>
      <c r="L65" s="461"/>
      <c r="M65" s="461"/>
      <c r="N65" s="465">
        <v>44561</v>
      </c>
      <c r="O65" s="465">
        <v>44561</v>
      </c>
      <c r="P65" s="461" t="s">
        <v>1222</v>
      </c>
      <c r="Q65" s="462">
        <v>500</v>
      </c>
      <c r="R65" s="462">
        <v>14070</v>
      </c>
      <c r="S65" s="512">
        <v>98.83</v>
      </c>
      <c r="T65" s="462">
        <v>14076</v>
      </c>
      <c r="U65" s="505">
        <v>16.48</v>
      </c>
      <c r="V65" s="505">
        <f t="shared" si="10"/>
        <v>82.35</v>
      </c>
      <c r="W65" s="509">
        <v>16.48</v>
      </c>
      <c r="X65" s="462">
        <v>51260</v>
      </c>
      <c r="Y65" s="505">
        <v>1.65</v>
      </c>
      <c r="Z65" s="461" t="s">
        <v>701</v>
      </c>
      <c r="AA65" s="461"/>
      <c r="AB65" s="461"/>
      <c r="AC65" s="461"/>
      <c r="AD65" s="461" t="s">
        <v>705</v>
      </c>
      <c r="AE65" s="461" t="s">
        <v>703</v>
      </c>
      <c r="AF65" s="462" t="s">
        <v>351</v>
      </c>
      <c r="AG65" s="461"/>
      <c r="AH65" s="462" t="s">
        <v>707</v>
      </c>
      <c r="AI65" s="461">
        <v>0</v>
      </c>
      <c r="AJ65" s="461">
        <v>0</v>
      </c>
      <c r="AK65" s="364"/>
      <c r="AL65" s="364" t="s">
        <v>299</v>
      </c>
      <c r="AM65" s="490">
        <f t="shared" si="51"/>
        <v>12</v>
      </c>
      <c r="AN65" s="490">
        <f t="shared" si="52"/>
        <v>2021</v>
      </c>
      <c r="AO65" s="490">
        <f t="shared" si="41"/>
        <v>2026</v>
      </c>
      <c r="AP65" s="510">
        <f t="shared" si="53"/>
        <v>2027</v>
      </c>
      <c r="AQ65" s="351">
        <f t="shared" si="54"/>
        <v>1.6471666666666664</v>
      </c>
      <c r="AR65" s="351">
        <f t="shared" si="55"/>
        <v>19.765999999999998</v>
      </c>
      <c r="AS65" s="351">
        <f t="shared" si="42"/>
        <v>19.765999999999998</v>
      </c>
      <c r="AT65" s="351">
        <f t="shared" si="43"/>
        <v>19.765999999999998</v>
      </c>
      <c r="AU65" s="351">
        <f t="shared" si="56"/>
        <v>39.531999999999996</v>
      </c>
      <c r="AV65" s="351">
        <f t="shared" si="44"/>
        <v>59.298000000000002</v>
      </c>
      <c r="AW65" s="491" t="s">
        <v>339</v>
      </c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</row>
    <row r="66" spans="2:129" s="468" customFormat="1" x14ac:dyDescent="0.25">
      <c r="B66" s="469">
        <v>2032</v>
      </c>
      <c r="C66" s="466">
        <v>270624</v>
      </c>
      <c r="D66" s="462" t="s">
        <v>701</v>
      </c>
      <c r="E66" s="461" t="s">
        <v>1223</v>
      </c>
      <c r="F66" s="462">
        <v>24</v>
      </c>
      <c r="G66" s="461"/>
      <c r="H66" s="461"/>
      <c r="I66" s="461"/>
      <c r="J66" s="461">
        <v>0</v>
      </c>
      <c r="K66" s="461"/>
      <c r="L66" s="461"/>
      <c r="M66" s="461"/>
      <c r="N66" s="465">
        <v>44561</v>
      </c>
      <c r="O66" s="465">
        <v>44561</v>
      </c>
      <c r="P66" s="461" t="s">
        <v>1222</v>
      </c>
      <c r="Q66" s="462">
        <v>500</v>
      </c>
      <c r="R66" s="462">
        <v>14070</v>
      </c>
      <c r="S66" s="512">
        <v>17085.12</v>
      </c>
      <c r="T66" s="462">
        <v>14076</v>
      </c>
      <c r="U66" s="505">
        <v>2847.52</v>
      </c>
      <c r="V66" s="505">
        <f t="shared" si="10"/>
        <v>14237.599999999999</v>
      </c>
      <c r="W66" s="509">
        <v>2847.52</v>
      </c>
      <c r="X66" s="462">
        <v>51260</v>
      </c>
      <c r="Y66" s="505">
        <v>284.75</v>
      </c>
      <c r="Z66" s="461" t="s">
        <v>701</v>
      </c>
      <c r="AA66" s="461"/>
      <c r="AB66" s="461"/>
      <c r="AC66" s="461"/>
      <c r="AD66" s="461" t="s">
        <v>705</v>
      </c>
      <c r="AE66" s="461" t="s">
        <v>703</v>
      </c>
      <c r="AF66" s="462" t="s">
        <v>351</v>
      </c>
      <c r="AG66" s="461"/>
      <c r="AH66" s="462" t="s">
        <v>707</v>
      </c>
      <c r="AI66" s="461">
        <v>0</v>
      </c>
      <c r="AJ66" s="461">
        <v>0</v>
      </c>
      <c r="AK66" s="364"/>
      <c r="AL66" s="364" t="s">
        <v>299</v>
      </c>
      <c r="AM66" s="490">
        <f t="shared" si="51"/>
        <v>12</v>
      </c>
      <c r="AN66" s="490">
        <f t="shared" si="52"/>
        <v>2021</v>
      </c>
      <c r="AO66" s="490">
        <f t="shared" si="41"/>
        <v>2026</v>
      </c>
      <c r="AP66" s="510">
        <f t="shared" si="53"/>
        <v>2027</v>
      </c>
      <c r="AQ66" s="351">
        <f t="shared" si="54"/>
        <v>284.75200000000001</v>
      </c>
      <c r="AR66" s="351">
        <f t="shared" si="55"/>
        <v>3417.0240000000003</v>
      </c>
      <c r="AS66" s="351">
        <f t="shared" si="42"/>
        <v>3417.0240000000003</v>
      </c>
      <c r="AT66" s="351">
        <f t="shared" si="43"/>
        <v>3417.0240000000003</v>
      </c>
      <c r="AU66" s="351">
        <f t="shared" si="56"/>
        <v>6834.0480000000007</v>
      </c>
      <c r="AV66" s="351">
        <f t="shared" si="44"/>
        <v>10251.071999999998</v>
      </c>
      <c r="AW66" s="491" t="s">
        <v>339</v>
      </c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364"/>
      <c r="CH66" s="364"/>
      <c r="CI66" s="364"/>
      <c r="CJ66" s="364"/>
      <c r="CK66" s="364"/>
      <c r="CL66" s="364"/>
      <c r="CM66" s="364"/>
      <c r="CN66" s="364"/>
      <c r="CO66" s="364"/>
      <c r="CP66" s="364"/>
      <c r="CQ66" s="364"/>
      <c r="CR66" s="364"/>
      <c r="CS66" s="364"/>
      <c r="CT66" s="364"/>
      <c r="CU66" s="364"/>
      <c r="CV66" s="364"/>
      <c r="CW66" s="364"/>
      <c r="CX66" s="364"/>
      <c r="CY66" s="364"/>
      <c r="CZ66" s="364"/>
      <c r="DA66" s="364"/>
      <c r="DB66" s="364"/>
      <c r="DC66" s="364"/>
      <c r="DD66" s="364"/>
      <c r="DE66" s="364"/>
      <c r="DF66" s="364"/>
      <c r="DG66" s="364"/>
      <c r="DH66" s="364"/>
      <c r="DI66" s="364"/>
      <c r="DJ66" s="364"/>
      <c r="DK66" s="364"/>
      <c r="DL66" s="364"/>
      <c r="DM66" s="364"/>
      <c r="DN66" s="364"/>
      <c r="DO66" s="364"/>
      <c r="DP66" s="364"/>
      <c r="DQ66" s="364"/>
      <c r="DR66" s="364"/>
      <c r="DS66" s="364"/>
      <c r="DT66" s="364"/>
      <c r="DU66" s="364"/>
      <c r="DV66" s="364"/>
      <c r="DW66" s="364"/>
      <c r="DX66" s="364"/>
      <c r="DY66" s="364"/>
    </row>
    <row r="67" spans="2:129" s="468" customFormat="1" x14ac:dyDescent="0.25">
      <c r="B67" s="469">
        <v>2032</v>
      </c>
      <c r="C67" s="466">
        <v>270520</v>
      </c>
      <c r="D67" s="462" t="s">
        <v>701</v>
      </c>
      <c r="E67" s="461" t="s">
        <v>1221</v>
      </c>
      <c r="F67" s="462">
        <v>2</v>
      </c>
      <c r="G67" s="461"/>
      <c r="H67" s="461"/>
      <c r="I67" s="461"/>
      <c r="J67" s="461">
        <v>0</v>
      </c>
      <c r="K67" s="461" t="s">
        <v>909</v>
      </c>
      <c r="L67" s="461"/>
      <c r="M67" s="461" t="s">
        <v>850</v>
      </c>
      <c r="N67" s="465">
        <v>44442</v>
      </c>
      <c r="O67" s="465">
        <v>44442</v>
      </c>
      <c r="P67" s="461" t="s">
        <v>1193</v>
      </c>
      <c r="Q67" s="462">
        <v>1200</v>
      </c>
      <c r="R67" s="462">
        <v>14050</v>
      </c>
      <c r="S67" s="512">
        <v>17802.990000000002</v>
      </c>
      <c r="T67" s="462">
        <v>14056</v>
      </c>
      <c r="U67" s="505">
        <v>1730.85</v>
      </c>
      <c r="V67" s="505">
        <f t="shared" si="10"/>
        <v>16072.140000000001</v>
      </c>
      <c r="W67" s="509">
        <v>1236.32</v>
      </c>
      <c r="X67" s="462">
        <v>54260</v>
      </c>
      <c r="Y67" s="505">
        <v>123.63</v>
      </c>
      <c r="Z67" s="461" t="s">
        <v>701</v>
      </c>
      <c r="AA67" s="461"/>
      <c r="AB67" s="461" t="s">
        <v>1220</v>
      </c>
      <c r="AC67" s="461"/>
      <c r="AD67" s="461" t="s">
        <v>705</v>
      </c>
      <c r="AE67" s="461" t="s">
        <v>703</v>
      </c>
      <c r="AF67" s="462" t="s">
        <v>351</v>
      </c>
      <c r="AG67" s="461"/>
      <c r="AH67" s="462" t="s">
        <v>707</v>
      </c>
      <c r="AI67" s="461">
        <v>0</v>
      </c>
      <c r="AJ67" s="461">
        <v>0</v>
      </c>
      <c r="AK67" s="364"/>
      <c r="AL67" s="364" t="s">
        <v>297</v>
      </c>
      <c r="AM67" s="490">
        <f t="shared" si="51"/>
        <v>9</v>
      </c>
      <c r="AN67" s="490">
        <f t="shared" si="52"/>
        <v>2021</v>
      </c>
      <c r="AO67" s="490">
        <f t="shared" si="41"/>
        <v>2033</v>
      </c>
      <c r="AP67" s="510">
        <f t="shared" si="53"/>
        <v>2033.75</v>
      </c>
      <c r="AQ67" s="351">
        <f t="shared" si="54"/>
        <v>123.63187500000002</v>
      </c>
      <c r="AR67" s="351">
        <f t="shared" si="55"/>
        <v>1483.5825000000002</v>
      </c>
      <c r="AS67" s="351">
        <f t="shared" si="42"/>
        <v>1483.5825000000002</v>
      </c>
      <c r="AT67" s="351">
        <f t="shared" si="43"/>
        <v>1483.5825000000002</v>
      </c>
      <c r="AU67" s="351">
        <f t="shared" si="56"/>
        <v>2967.1650000000004</v>
      </c>
      <c r="AV67" s="351">
        <f t="shared" si="44"/>
        <v>14835.825000000001</v>
      </c>
      <c r="AW67" s="491" t="s">
        <v>339</v>
      </c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  <c r="CN67" s="364"/>
      <c r="CO67" s="364"/>
      <c r="CP67" s="364"/>
      <c r="CQ67" s="364"/>
      <c r="CR67" s="364"/>
      <c r="CS67" s="364"/>
      <c r="CT67" s="364"/>
      <c r="CU67" s="364"/>
      <c r="CV67" s="364"/>
      <c r="CW67" s="364"/>
      <c r="CX67" s="364"/>
      <c r="CY67" s="364"/>
      <c r="CZ67" s="364"/>
      <c r="DA67" s="364"/>
      <c r="DB67" s="364"/>
      <c r="DC67" s="364"/>
      <c r="DD67" s="364"/>
      <c r="DE67" s="364"/>
      <c r="DF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4"/>
      <c r="DU67" s="364"/>
      <c r="DV67" s="364"/>
      <c r="DW67" s="364"/>
      <c r="DX67" s="364"/>
      <c r="DY67" s="364"/>
    </row>
    <row r="68" spans="2:129" s="468" customFormat="1" x14ac:dyDescent="0.25">
      <c r="B68" s="469">
        <v>2032</v>
      </c>
      <c r="C68" s="466">
        <v>267278</v>
      </c>
      <c r="D68" s="462" t="s">
        <v>701</v>
      </c>
      <c r="E68" s="461" t="s">
        <v>1219</v>
      </c>
      <c r="F68" s="462"/>
      <c r="G68" s="461"/>
      <c r="H68" s="461"/>
      <c r="I68" s="461"/>
      <c r="J68" s="461">
        <v>0</v>
      </c>
      <c r="K68" s="461"/>
      <c r="L68" s="461"/>
      <c r="M68" s="461"/>
      <c r="N68" s="465">
        <v>44561</v>
      </c>
      <c r="O68" s="465">
        <v>44561</v>
      </c>
      <c r="P68" s="461" t="s">
        <v>1218</v>
      </c>
      <c r="Q68" s="462">
        <v>500</v>
      </c>
      <c r="R68" s="462">
        <v>14070</v>
      </c>
      <c r="S68" s="512">
        <v>29837.49</v>
      </c>
      <c r="T68" s="462">
        <v>14076</v>
      </c>
      <c r="U68" s="505">
        <v>4972.92</v>
      </c>
      <c r="V68" s="505">
        <f t="shared" si="10"/>
        <v>24864.57</v>
      </c>
      <c r="W68" s="509">
        <v>4972.92</v>
      </c>
      <c r="X68" s="462">
        <v>51260</v>
      </c>
      <c r="Y68" s="505">
        <v>497.29</v>
      </c>
      <c r="Z68" s="461" t="s">
        <v>701</v>
      </c>
      <c r="AA68" s="461"/>
      <c r="AB68" s="461"/>
      <c r="AC68" s="461"/>
      <c r="AD68" s="461" t="s">
        <v>705</v>
      </c>
      <c r="AE68" s="461" t="s">
        <v>703</v>
      </c>
      <c r="AF68" s="462" t="s">
        <v>351</v>
      </c>
      <c r="AG68" s="461"/>
      <c r="AH68" s="462" t="s">
        <v>707</v>
      </c>
      <c r="AI68" s="461">
        <v>0</v>
      </c>
      <c r="AJ68" s="461">
        <v>0</v>
      </c>
      <c r="AK68" s="364"/>
      <c r="AL68" s="364" t="s">
        <v>300</v>
      </c>
      <c r="AM68" s="490">
        <f t="shared" si="51"/>
        <v>12</v>
      </c>
      <c r="AN68" s="490">
        <f t="shared" si="52"/>
        <v>2021</v>
      </c>
      <c r="AO68" s="490">
        <f t="shared" si="41"/>
        <v>2026</v>
      </c>
      <c r="AP68" s="510">
        <f t="shared" si="53"/>
        <v>2027</v>
      </c>
      <c r="AQ68" s="351">
        <f t="shared" si="54"/>
        <v>497.29150000000004</v>
      </c>
      <c r="AR68" s="351">
        <f t="shared" si="55"/>
        <v>5967.4980000000005</v>
      </c>
      <c r="AS68" s="351">
        <f t="shared" si="42"/>
        <v>5967.4980000000005</v>
      </c>
      <c r="AT68" s="351">
        <f t="shared" si="43"/>
        <v>5967.4980000000005</v>
      </c>
      <c r="AU68" s="351">
        <f t="shared" si="56"/>
        <v>11934.996000000001</v>
      </c>
      <c r="AV68" s="351">
        <f t="shared" si="44"/>
        <v>17902.493999999999</v>
      </c>
      <c r="AW68" s="491" t="s">
        <v>339</v>
      </c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4"/>
      <c r="CM68" s="364"/>
      <c r="CN68" s="364"/>
      <c r="CO68" s="364"/>
      <c r="CP68" s="364"/>
      <c r="CQ68" s="364"/>
      <c r="CR68" s="364"/>
      <c r="CS68" s="364"/>
      <c r="CT68" s="364"/>
      <c r="CU68" s="364"/>
      <c r="CV68" s="364"/>
      <c r="CW68" s="364"/>
      <c r="CX68" s="364"/>
      <c r="CY68" s="364"/>
      <c r="CZ68" s="364"/>
      <c r="DA68" s="364"/>
      <c r="DB68" s="364"/>
      <c r="DC68" s="364"/>
      <c r="DD68" s="364"/>
      <c r="DE68" s="364"/>
      <c r="DF68" s="364"/>
      <c r="DG68" s="364"/>
      <c r="DH68" s="364"/>
      <c r="DI68" s="364"/>
      <c r="DJ68" s="364"/>
      <c r="DK68" s="364"/>
      <c r="DL68" s="364"/>
      <c r="DM68" s="364"/>
      <c r="DN68" s="364"/>
      <c r="DO68" s="364"/>
      <c r="DP68" s="364"/>
      <c r="DQ68" s="364"/>
      <c r="DR68" s="364"/>
      <c r="DS68" s="364"/>
      <c r="DT68" s="364"/>
      <c r="DU68" s="364"/>
      <c r="DV68" s="364"/>
      <c r="DW68" s="364"/>
      <c r="DX68" s="364"/>
      <c r="DY68" s="364"/>
    </row>
    <row r="69" spans="2:129" s="468" customFormat="1" x14ac:dyDescent="0.25">
      <c r="B69" s="469">
        <v>2032</v>
      </c>
      <c r="C69" s="466">
        <v>266025</v>
      </c>
      <c r="D69" s="462" t="s">
        <v>701</v>
      </c>
      <c r="E69" s="461" t="s">
        <v>1217</v>
      </c>
      <c r="F69" s="462">
        <v>1</v>
      </c>
      <c r="G69" s="461"/>
      <c r="H69" s="461"/>
      <c r="I69" s="461"/>
      <c r="J69" s="461">
        <v>0</v>
      </c>
      <c r="K69" s="461" t="s">
        <v>1216</v>
      </c>
      <c r="L69" s="461"/>
      <c r="M69" s="461"/>
      <c r="N69" s="465">
        <v>44507</v>
      </c>
      <c r="O69" s="465">
        <v>44507</v>
      </c>
      <c r="P69" s="461" t="s">
        <v>1215</v>
      </c>
      <c r="Q69" s="462">
        <v>300</v>
      </c>
      <c r="R69" s="462">
        <v>14110</v>
      </c>
      <c r="S69" s="512">
        <v>1133.97</v>
      </c>
      <c r="T69" s="462">
        <v>14116</v>
      </c>
      <c r="U69" s="505">
        <v>377.99</v>
      </c>
      <c r="V69" s="505">
        <f t="shared" si="10"/>
        <v>755.98</v>
      </c>
      <c r="W69" s="509">
        <v>314.99</v>
      </c>
      <c r="X69" s="462">
        <v>70260</v>
      </c>
      <c r="Y69" s="505">
        <v>31.5</v>
      </c>
      <c r="Z69" s="461" t="s">
        <v>701</v>
      </c>
      <c r="AA69" s="461"/>
      <c r="AB69" s="461">
        <v>5658611</v>
      </c>
      <c r="AC69" s="461"/>
      <c r="AD69" s="461" t="s">
        <v>705</v>
      </c>
      <c r="AE69" s="461" t="s">
        <v>703</v>
      </c>
      <c r="AF69" s="462" t="s">
        <v>351</v>
      </c>
      <c r="AG69" s="461"/>
      <c r="AH69" s="462" t="s">
        <v>707</v>
      </c>
      <c r="AI69" s="461">
        <v>0</v>
      </c>
      <c r="AJ69" s="461">
        <v>0</v>
      </c>
      <c r="AK69" s="364"/>
      <c r="AL69" s="364" t="s">
        <v>302</v>
      </c>
      <c r="AM69" s="490">
        <f t="shared" si="51"/>
        <v>11</v>
      </c>
      <c r="AN69" s="490">
        <f t="shared" si="52"/>
        <v>2021</v>
      </c>
      <c r="AO69" s="490">
        <f t="shared" si="41"/>
        <v>2024</v>
      </c>
      <c r="AP69" s="510">
        <f t="shared" si="53"/>
        <v>2024.9166666666667</v>
      </c>
      <c r="AQ69" s="351">
        <f t="shared" si="54"/>
        <v>31.499166666666667</v>
      </c>
      <c r="AR69" s="351">
        <f t="shared" si="55"/>
        <v>377.99</v>
      </c>
      <c r="AS69" s="351">
        <f t="shared" si="42"/>
        <v>377.99</v>
      </c>
      <c r="AT69" s="351">
        <f t="shared" si="43"/>
        <v>377.99</v>
      </c>
      <c r="AU69" s="351">
        <f t="shared" si="56"/>
        <v>755.98</v>
      </c>
      <c r="AV69" s="351">
        <f t="shared" si="44"/>
        <v>377.99</v>
      </c>
      <c r="AW69" s="491" t="s">
        <v>339</v>
      </c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4"/>
      <c r="CM69" s="364"/>
      <c r="CN69" s="364"/>
      <c r="CO69" s="364"/>
      <c r="CP69" s="364"/>
      <c r="CQ69" s="364"/>
      <c r="CR69" s="364"/>
      <c r="CS69" s="364"/>
      <c r="CT69" s="364"/>
      <c r="CU69" s="364"/>
      <c r="CV69" s="364"/>
      <c r="CW69" s="364"/>
      <c r="CX69" s="364"/>
      <c r="CY69" s="364"/>
      <c r="CZ69" s="364"/>
      <c r="DA69" s="364"/>
      <c r="DB69" s="364"/>
      <c r="DC69" s="364"/>
      <c r="DD69" s="364"/>
      <c r="DE69" s="364"/>
      <c r="DF69" s="364"/>
      <c r="DG69" s="364"/>
      <c r="DH69" s="364"/>
      <c r="DI69" s="364"/>
      <c r="DJ69" s="364"/>
      <c r="DK69" s="364"/>
      <c r="DL69" s="364"/>
      <c r="DM69" s="364"/>
      <c r="DN69" s="364"/>
      <c r="DO69" s="364"/>
      <c r="DP69" s="364"/>
      <c r="DQ69" s="364"/>
      <c r="DR69" s="364"/>
      <c r="DS69" s="364"/>
      <c r="DT69" s="364"/>
      <c r="DU69" s="364"/>
      <c r="DV69" s="364"/>
      <c r="DW69" s="364"/>
      <c r="DX69" s="364"/>
      <c r="DY69" s="364"/>
    </row>
    <row r="70" spans="2:129" s="468" customFormat="1" x14ac:dyDescent="0.25">
      <c r="B70" s="469">
        <v>2032</v>
      </c>
      <c r="C70" s="466">
        <v>265997</v>
      </c>
      <c r="D70" s="462" t="s">
        <v>701</v>
      </c>
      <c r="E70" s="461" t="s">
        <v>1214</v>
      </c>
      <c r="F70" s="462">
        <v>1</v>
      </c>
      <c r="G70" s="461"/>
      <c r="H70" s="461"/>
      <c r="I70" s="461"/>
      <c r="J70" s="461">
        <v>2016</v>
      </c>
      <c r="K70" s="461" t="s">
        <v>1213</v>
      </c>
      <c r="L70" s="461"/>
      <c r="M70" s="461"/>
      <c r="N70" s="465">
        <v>44518</v>
      </c>
      <c r="O70" s="465">
        <v>44518</v>
      </c>
      <c r="P70" s="461" t="s">
        <v>1212</v>
      </c>
      <c r="Q70" s="462">
        <v>500</v>
      </c>
      <c r="R70" s="462">
        <v>14070</v>
      </c>
      <c r="S70" s="512">
        <v>10111.67</v>
      </c>
      <c r="T70" s="462">
        <v>14076</v>
      </c>
      <c r="U70" s="505">
        <v>1853.81</v>
      </c>
      <c r="V70" s="505">
        <f t="shared" si="10"/>
        <v>8257.86</v>
      </c>
      <c r="W70" s="509">
        <v>1685.28</v>
      </c>
      <c r="X70" s="462">
        <v>51260</v>
      </c>
      <c r="Y70" s="505">
        <v>168.53</v>
      </c>
      <c r="Z70" s="461" t="s">
        <v>701</v>
      </c>
      <c r="AA70" s="461"/>
      <c r="AB70" s="461" t="s">
        <v>1211</v>
      </c>
      <c r="AC70" s="461"/>
      <c r="AD70" s="461" t="s">
        <v>705</v>
      </c>
      <c r="AE70" s="461" t="s">
        <v>703</v>
      </c>
      <c r="AF70" s="462" t="s">
        <v>351</v>
      </c>
      <c r="AG70" s="461"/>
      <c r="AH70" s="462" t="s">
        <v>707</v>
      </c>
      <c r="AI70" s="461">
        <v>0</v>
      </c>
      <c r="AJ70" s="461">
        <v>0</v>
      </c>
      <c r="AK70" s="364"/>
      <c r="AL70" s="364" t="s">
        <v>300</v>
      </c>
      <c r="AM70" s="490">
        <f t="shared" si="51"/>
        <v>11</v>
      </c>
      <c r="AN70" s="490">
        <f t="shared" si="52"/>
        <v>2021</v>
      </c>
      <c r="AO70" s="490">
        <f t="shared" si="41"/>
        <v>2026</v>
      </c>
      <c r="AP70" s="510">
        <f t="shared" si="53"/>
        <v>2026.9166666666667</v>
      </c>
      <c r="AQ70" s="351">
        <f t="shared" si="54"/>
        <v>168.52783333333335</v>
      </c>
      <c r="AR70" s="351">
        <f t="shared" si="55"/>
        <v>2022.3340000000003</v>
      </c>
      <c r="AS70" s="351">
        <f t="shared" si="42"/>
        <v>2022.3340000000003</v>
      </c>
      <c r="AT70" s="351">
        <f t="shared" si="43"/>
        <v>2022.3340000000003</v>
      </c>
      <c r="AU70" s="351">
        <f t="shared" si="56"/>
        <v>4044.6680000000006</v>
      </c>
      <c r="AV70" s="351">
        <f t="shared" si="44"/>
        <v>6067.0019999999995</v>
      </c>
      <c r="AW70" s="491" t="s">
        <v>339</v>
      </c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364"/>
      <c r="CH70" s="364"/>
      <c r="CI70" s="364"/>
      <c r="CJ70" s="364"/>
      <c r="CK70" s="364"/>
      <c r="CL70" s="364"/>
      <c r="CM70" s="364"/>
      <c r="CN70" s="364"/>
      <c r="CO70" s="364"/>
      <c r="CP70" s="364"/>
      <c r="CQ70" s="364"/>
      <c r="CR70" s="364"/>
      <c r="CS70" s="364"/>
      <c r="CT70" s="364"/>
      <c r="CU70" s="364"/>
      <c r="CV70" s="364"/>
      <c r="CW70" s="364"/>
      <c r="CX70" s="364"/>
      <c r="CY70" s="364"/>
      <c r="CZ70" s="364"/>
      <c r="DA70" s="364"/>
      <c r="DB70" s="364"/>
      <c r="DC70" s="364"/>
      <c r="DD70" s="364"/>
      <c r="DE70" s="364"/>
      <c r="DF70" s="364"/>
      <c r="DG70" s="364"/>
      <c r="DH70" s="364"/>
      <c r="DI70" s="364"/>
      <c r="DJ70" s="364"/>
      <c r="DK70" s="364"/>
      <c r="DL70" s="364"/>
      <c r="DM70" s="364"/>
      <c r="DN70" s="364"/>
      <c r="DO70" s="364"/>
      <c r="DP70" s="364"/>
      <c r="DQ70" s="364"/>
      <c r="DR70" s="364"/>
      <c r="DS70" s="364"/>
      <c r="DT70" s="364"/>
      <c r="DU70" s="364"/>
      <c r="DV70" s="364"/>
      <c r="DW70" s="364"/>
      <c r="DX70" s="364"/>
      <c r="DY70" s="364"/>
    </row>
    <row r="71" spans="2:129" s="468" customFormat="1" x14ac:dyDescent="0.25">
      <c r="B71" s="469">
        <v>2032</v>
      </c>
      <c r="C71" s="466">
        <v>261323</v>
      </c>
      <c r="D71" s="462">
        <v>259728</v>
      </c>
      <c r="E71" s="461" t="s">
        <v>1210</v>
      </c>
      <c r="F71" s="462"/>
      <c r="G71" s="461"/>
      <c r="H71" s="461"/>
      <c r="I71" s="461"/>
      <c r="J71" s="461">
        <v>0</v>
      </c>
      <c r="K71" s="461" t="s">
        <v>1166</v>
      </c>
      <c r="L71" s="461"/>
      <c r="M71" s="461" t="s">
        <v>962</v>
      </c>
      <c r="N71" s="465">
        <v>44469</v>
      </c>
      <c r="O71" s="465">
        <v>44469</v>
      </c>
      <c r="P71" s="461" t="s">
        <v>1207</v>
      </c>
      <c r="Q71" s="462">
        <v>1000</v>
      </c>
      <c r="R71" s="462">
        <v>14040</v>
      </c>
      <c r="S71" s="512">
        <v>1112.92</v>
      </c>
      <c r="T71" s="462">
        <v>14046</v>
      </c>
      <c r="U71" s="505">
        <v>120.56</v>
      </c>
      <c r="V71" s="505">
        <f t="shared" si="10"/>
        <v>992.36000000000013</v>
      </c>
      <c r="W71" s="509">
        <v>92.74</v>
      </c>
      <c r="X71" s="462">
        <v>51260</v>
      </c>
      <c r="Y71" s="505">
        <v>9.27</v>
      </c>
      <c r="Z71" s="461" t="s">
        <v>701</v>
      </c>
      <c r="AA71" s="461"/>
      <c r="AB71" s="461">
        <v>131756612</v>
      </c>
      <c r="AC71" s="461"/>
      <c r="AD71" s="461" t="s">
        <v>705</v>
      </c>
      <c r="AE71" s="461" t="s">
        <v>703</v>
      </c>
      <c r="AF71" s="462" t="s">
        <v>351</v>
      </c>
      <c r="AG71" s="461"/>
      <c r="AH71" s="462" t="s">
        <v>707</v>
      </c>
      <c r="AI71" s="461">
        <v>0</v>
      </c>
      <c r="AJ71" s="461">
        <v>0</v>
      </c>
      <c r="AK71" s="364"/>
      <c r="AL71" s="520" t="s">
        <v>1547</v>
      </c>
      <c r="AM71" s="490">
        <f t="shared" si="51"/>
        <v>9</v>
      </c>
      <c r="AN71" s="490">
        <f t="shared" si="52"/>
        <v>2021</v>
      </c>
      <c r="AO71" s="490">
        <f t="shared" si="41"/>
        <v>2031</v>
      </c>
      <c r="AP71" s="510">
        <f t="shared" si="53"/>
        <v>2031.75</v>
      </c>
      <c r="AQ71" s="351">
        <f t="shared" si="54"/>
        <v>9.2743333333333329</v>
      </c>
      <c r="AR71" s="351">
        <f t="shared" si="55"/>
        <v>111.292</v>
      </c>
      <c r="AS71" s="351">
        <f t="shared" si="42"/>
        <v>111.292</v>
      </c>
      <c r="AT71" s="351">
        <f t="shared" si="43"/>
        <v>111.292</v>
      </c>
      <c r="AU71" s="351">
        <f t="shared" si="56"/>
        <v>222.584</v>
      </c>
      <c r="AV71" s="351">
        <f t="shared" si="44"/>
        <v>890.33600000000001</v>
      </c>
      <c r="AW71" s="491" t="s">
        <v>339</v>
      </c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  <c r="CN71" s="364"/>
      <c r="CO71" s="364"/>
      <c r="CP71" s="364"/>
      <c r="CQ71" s="364"/>
      <c r="CR71" s="364"/>
      <c r="CS71" s="364"/>
      <c r="CT71" s="364"/>
      <c r="CU71" s="364"/>
      <c r="CV71" s="364"/>
      <c r="CW71" s="364"/>
      <c r="CX71" s="364"/>
      <c r="CY71" s="364"/>
      <c r="CZ71" s="364"/>
      <c r="DA71" s="364"/>
      <c r="DB71" s="364"/>
      <c r="DC71" s="364"/>
      <c r="DD71" s="364"/>
      <c r="DE71" s="364"/>
      <c r="DF71" s="364"/>
      <c r="DG71" s="364"/>
      <c r="DH71" s="364"/>
      <c r="DI71" s="364"/>
      <c r="DJ71" s="364"/>
      <c r="DK71" s="364"/>
      <c r="DL71" s="364"/>
      <c r="DM71" s="364"/>
      <c r="DN71" s="364"/>
      <c r="DO71" s="364"/>
      <c r="DP71" s="364"/>
      <c r="DQ71" s="364"/>
      <c r="DR71" s="364"/>
      <c r="DS71" s="364"/>
      <c r="DT71" s="364"/>
      <c r="DU71" s="364"/>
      <c r="DV71" s="364"/>
      <c r="DW71" s="364"/>
      <c r="DX71" s="364"/>
      <c r="DY71" s="364"/>
    </row>
    <row r="72" spans="2:129" s="468" customFormat="1" x14ac:dyDescent="0.25">
      <c r="B72" s="469">
        <v>2032</v>
      </c>
      <c r="C72" s="466">
        <v>261322</v>
      </c>
      <c r="D72" s="462">
        <v>259728</v>
      </c>
      <c r="E72" s="461" t="s">
        <v>1209</v>
      </c>
      <c r="F72" s="462"/>
      <c r="G72" s="461"/>
      <c r="H72" s="461"/>
      <c r="I72" s="461"/>
      <c r="J72" s="461">
        <v>0</v>
      </c>
      <c r="K72" s="461" t="s">
        <v>1208</v>
      </c>
      <c r="L72" s="461"/>
      <c r="M72" s="461" t="s">
        <v>962</v>
      </c>
      <c r="N72" s="465">
        <v>44469</v>
      </c>
      <c r="O72" s="465">
        <v>44469</v>
      </c>
      <c r="P72" s="461" t="s">
        <v>1207</v>
      </c>
      <c r="Q72" s="462">
        <v>1000</v>
      </c>
      <c r="R72" s="462">
        <v>14040</v>
      </c>
      <c r="S72" s="512">
        <v>336</v>
      </c>
      <c r="T72" s="462">
        <v>14046</v>
      </c>
      <c r="U72" s="505">
        <v>36.4</v>
      </c>
      <c r="V72" s="505">
        <f t="shared" si="10"/>
        <v>299.60000000000002</v>
      </c>
      <c r="W72" s="509">
        <v>28</v>
      </c>
      <c r="X72" s="462">
        <v>51260</v>
      </c>
      <c r="Y72" s="505">
        <v>2.8</v>
      </c>
      <c r="Z72" s="461" t="s">
        <v>701</v>
      </c>
      <c r="AA72" s="461"/>
      <c r="AB72" s="461">
        <v>1688194</v>
      </c>
      <c r="AC72" s="461"/>
      <c r="AD72" s="461" t="s">
        <v>705</v>
      </c>
      <c r="AE72" s="461" t="s">
        <v>703</v>
      </c>
      <c r="AF72" s="462" t="s">
        <v>351</v>
      </c>
      <c r="AG72" s="461"/>
      <c r="AH72" s="462" t="s">
        <v>707</v>
      </c>
      <c r="AI72" s="461">
        <v>0</v>
      </c>
      <c r="AJ72" s="461">
        <v>0</v>
      </c>
      <c r="AK72" s="364"/>
      <c r="AL72" s="520" t="s">
        <v>1547</v>
      </c>
      <c r="AM72" s="490">
        <f t="shared" si="51"/>
        <v>9</v>
      </c>
      <c r="AN72" s="490">
        <f t="shared" si="52"/>
        <v>2021</v>
      </c>
      <c r="AO72" s="490">
        <f t="shared" si="41"/>
        <v>2031</v>
      </c>
      <c r="AP72" s="510">
        <f t="shared" si="53"/>
        <v>2031.75</v>
      </c>
      <c r="AQ72" s="351">
        <f t="shared" si="54"/>
        <v>2.8000000000000003</v>
      </c>
      <c r="AR72" s="351">
        <f t="shared" si="55"/>
        <v>33.6</v>
      </c>
      <c r="AS72" s="351">
        <f t="shared" si="42"/>
        <v>33.6</v>
      </c>
      <c r="AT72" s="351">
        <f t="shared" si="43"/>
        <v>33.6</v>
      </c>
      <c r="AU72" s="351">
        <f t="shared" si="56"/>
        <v>67.2</v>
      </c>
      <c r="AV72" s="351">
        <f t="shared" si="44"/>
        <v>268.8</v>
      </c>
      <c r="AW72" s="491" t="s">
        <v>339</v>
      </c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4"/>
      <c r="DA72" s="364"/>
      <c r="DB72" s="364"/>
      <c r="DC72" s="364"/>
      <c r="DD72" s="364"/>
      <c r="DE72" s="364"/>
      <c r="DF72" s="364"/>
      <c r="DG72" s="364"/>
      <c r="DH72" s="364"/>
      <c r="DI72" s="364"/>
      <c r="DJ72" s="364"/>
      <c r="DK72" s="364"/>
      <c r="DL72" s="364"/>
      <c r="DM72" s="364"/>
      <c r="DN72" s="364"/>
      <c r="DO72" s="364"/>
      <c r="DP72" s="364"/>
      <c r="DQ72" s="364"/>
      <c r="DR72" s="364"/>
      <c r="DS72" s="364"/>
      <c r="DT72" s="364"/>
      <c r="DU72" s="364"/>
      <c r="DV72" s="364"/>
      <c r="DW72" s="364"/>
      <c r="DX72" s="364"/>
      <c r="DY72" s="364"/>
    </row>
    <row r="73" spans="2:129" s="468" customFormat="1" x14ac:dyDescent="0.25">
      <c r="B73" s="469">
        <v>2032</v>
      </c>
      <c r="C73" s="466">
        <v>260747</v>
      </c>
      <c r="D73" s="462" t="s">
        <v>701</v>
      </c>
      <c r="E73" s="461" t="s">
        <v>1206</v>
      </c>
      <c r="F73" s="462">
        <v>13</v>
      </c>
      <c r="G73" s="461"/>
      <c r="H73" s="461"/>
      <c r="I73" s="461"/>
      <c r="J73" s="461">
        <v>0</v>
      </c>
      <c r="K73" s="461" t="s">
        <v>909</v>
      </c>
      <c r="L73" s="461"/>
      <c r="M73" s="461" t="s">
        <v>1205</v>
      </c>
      <c r="N73" s="465">
        <v>44347</v>
      </c>
      <c r="O73" s="465">
        <v>44347</v>
      </c>
      <c r="P73" s="461" t="s">
        <v>1204</v>
      </c>
      <c r="Q73" s="462">
        <v>1200</v>
      </c>
      <c r="R73" s="462">
        <v>14050</v>
      </c>
      <c r="S73" s="512">
        <v>14366</v>
      </c>
      <c r="T73" s="462">
        <v>14056</v>
      </c>
      <c r="U73" s="505">
        <v>1695.99</v>
      </c>
      <c r="V73" s="505">
        <f t="shared" si="10"/>
        <v>12670.01</v>
      </c>
      <c r="W73" s="509">
        <v>997.64</v>
      </c>
      <c r="X73" s="462">
        <v>54260</v>
      </c>
      <c r="Y73" s="505">
        <v>99.76</v>
      </c>
      <c r="Z73" s="461" t="s">
        <v>701</v>
      </c>
      <c r="AA73" s="461"/>
      <c r="AB73" s="461" t="s">
        <v>1200</v>
      </c>
      <c r="AC73" s="461"/>
      <c r="AD73" s="461" t="s">
        <v>705</v>
      </c>
      <c r="AE73" s="461" t="s">
        <v>703</v>
      </c>
      <c r="AF73" s="462" t="s">
        <v>351</v>
      </c>
      <c r="AG73" s="461"/>
      <c r="AH73" s="462" t="s">
        <v>707</v>
      </c>
      <c r="AI73" s="461">
        <v>0</v>
      </c>
      <c r="AJ73" s="461">
        <v>0</v>
      </c>
      <c r="AK73" s="364"/>
      <c r="AL73" s="364" t="s">
        <v>295</v>
      </c>
      <c r="AM73" s="490">
        <f t="shared" si="51"/>
        <v>5</v>
      </c>
      <c r="AN73" s="490">
        <f t="shared" si="52"/>
        <v>2021</v>
      </c>
      <c r="AO73" s="490">
        <f t="shared" si="41"/>
        <v>2033</v>
      </c>
      <c r="AP73" s="510">
        <f t="shared" si="53"/>
        <v>2033.4166666666667</v>
      </c>
      <c r="AQ73" s="351">
        <f t="shared" si="54"/>
        <v>99.7638888888889</v>
      </c>
      <c r="AR73" s="351">
        <f t="shared" si="55"/>
        <v>1197.1666666666667</v>
      </c>
      <c r="AS73" s="351">
        <f t="shared" si="42"/>
        <v>1197.1666666666667</v>
      </c>
      <c r="AT73" s="351">
        <f t="shared" si="43"/>
        <v>1197.1666666666667</v>
      </c>
      <c r="AU73" s="351">
        <f t="shared" si="56"/>
        <v>2394.3333333333335</v>
      </c>
      <c r="AV73" s="351">
        <f t="shared" si="44"/>
        <v>11971.666666666666</v>
      </c>
      <c r="AW73" s="491" t="s">
        <v>339</v>
      </c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4"/>
      <c r="BW73" s="364"/>
      <c r="BX73" s="364"/>
      <c r="BY73" s="364"/>
      <c r="BZ73" s="364"/>
      <c r="CA73" s="364"/>
      <c r="CB73" s="364"/>
      <c r="CC73" s="364"/>
      <c r="CD73" s="364"/>
      <c r="CE73" s="364"/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</row>
    <row r="74" spans="2:129" s="468" customFormat="1" x14ac:dyDescent="0.25">
      <c r="B74" s="469">
        <v>2032</v>
      </c>
      <c r="C74" s="466">
        <v>260746</v>
      </c>
      <c r="D74" s="462" t="s">
        <v>701</v>
      </c>
      <c r="E74" s="461" t="s">
        <v>1015</v>
      </c>
      <c r="F74" s="462">
        <v>13</v>
      </c>
      <c r="G74" s="461"/>
      <c r="H74" s="461"/>
      <c r="I74" s="461"/>
      <c r="J74" s="461">
        <v>0</v>
      </c>
      <c r="K74" s="461" t="s">
        <v>909</v>
      </c>
      <c r="L74" s="461"/>
      <c r="M74" s="461" t="s">
        <v>1113</v>
      </c>
      <c r="N74" s="465">
        <v>44347</v>
      </c>
      <c r="O74" s="465">
        <v>44347</v>
      </c>
      <c r="P74" s="461" t="s">
        <v>1203</v>
      </c>
      <c r="Q74" s="462">
        <v>1200</v>
      </c>
      <c r="R74" s="462">
        <v>14050</v>
      </c>
      <c r="S74" s="512">
        <v>10894</v>
      </c>
      <c r="T74" s="462">
        <v>14056</v>
      </c>
      <c r="U74" s="505">
        <v>1286.0999999999999</v>
      </c>
      <c r="V74" s="505">
        <f t="shared" si="10"/>
        <v>9607.9</v>
      </c>
      <c r="W74" s="509">
        <v>756.53</v>
      </c>
      <c r="X74" s="462">
        <v>54260</v>
      </c>
      <c r="Y74" s="505">
        <v>75.66</v>
      </c>
      <c r="Z74" s="461" t="s">
        <v>701</v>
      </c>
      <c r="AA74" s="461"/>
      <c r="AB74" s="461" t="s">
        <v>1200</v>
      </c>
      <c r="AC74" s="461"/>
      <c r="AD74" s="461" t="s">
        <v>705</v>
      </c>
      <c r="AE74" s="461" t="s">
        <v>703</v>
      </c>
      <c r="AF74" s="462" t="s">
        <v>351</v>
      </c>
      <c r="AG74" s="461"/>
      <c r="AH74" s="462" t="s">
        <v>707</v>
      </c>
      <c r="AI74" s="461">
        <v>0</v>
      </c>
      <c r="AJ74" s="461">
        <v>0</v>
      </c>
      <c r="AK74" s="364"/>
      <c r="AL74" s="364" t="s">
        <v>295</v>
      </c>
      <c r="AM74" s="490">
        <f t="shared" si="51"/>
        <v>5</v>
      </c>
      <c r="AN74" s="490">
        <f t="shared" si="52"/>
        <v>2021</v>
      </c>
      <c r="AO74" s="490">
        <f t="shared" si="41"/>
        <v>2033</v>
      </c>
      <c r="AP74" s="510">
        <f t="shared" si="53"/>
        <v>2033.4166666666667</v>
      </c>
      <c r="AQ74" s="351">
        <f t="shared" si="54"/>
        <v>75.652777777777786</v>
      </c>
      <c r="AR74" s="351">
        <f t="shared" si="55"/>
        <v>907.83333333333348</v>
      </c>
      <c r="AS74" s="351">
        <f t="shared" si="42"/>
        <v>907.83333333333348</v>
      </c>
      <c r="AT74" s="351">
        <f t="shared" si="43"/>
        <v>907.83333333333348</v>
      </c>
      <c r="AU74" s="351">
        <f t="shared" si="56"/>
        <v>1815.666666666667</v>
      </c>
      <c r="AV74" s="351">
        <f t="shared" si="44"/>
        <v>9078.3333333333321</v>
      </c>
      <c r="AW74" s="491" t="s">
        <v>339</v>
      </c>
      <c r="AX74" s="364"/>
      <c r="AY74" s="364"/>
      <c r="AZ74" s="364"/>
      <c r="BA74" s="364"/>
      <c r="BB74" s="364"/>
      <c r="BC74" s="364"/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64"/>
      <c r="BO74" s="364"/>
      <c r="BP74" s="364"/>
      <c r="BQ74" s="364"/>
      <c r="BR74" s="364"/>
      <c r="BS74" s="364"/>
      <c r="BT74" s="364"/>
      <c r="BU74" s="364"/>
      <c r="BV74" s="364"/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364"/>
      <c r="CI74" s="364"/>
      <c r="CJ74" s="364"/>
      <c r="CK74" s="364"/>
      <c r="CL74" s="364"/>
      <c r="CM74" s="364"/>
      <c r="CN74" s="364"/>
      <c r="CO74" s="364"/>
      <c r="CP74" s="364"/>
      <c r="CQ74" s="364"/>
      <c r="CR74" s="364"/>
      <c r="CS74" s="364"/>
      <c r="CT74" s="364"/>
      <c r="CU74" s="364"/>
      <c r="CV74" s="364"/>
      <c r="CW74" s="364"/>
      <c r="CX74" s="364"/>
      <c r="CY74" s="364"/>
      <c r="CZ74" s="364"/>
      <c r="DA74" s="364"/>
      <c r="DB74" s="364"/>
      <c r="DC74" s="364"/>
      <c r="DD74" s="364"/>
      <c r="DE74" s="364"/>
      <c r="DF74" s="364"/>
      <c r="DG74" s="364"/>
      <c r="DH74" s="364"/>
      <c r="DI74" s="364"/>
      <c r="DJ74" s="364"/>
      <c r="DK74" s="364"/>
      <c r="DL74" s="364"/>
      <c r="DM74" s="364"/>
      <c r="DN74" s="364"/>
      <c r="DO74" s="364"/>
      <c r="DP74" s="364"/>
      <c r="DQ74" s="364"/>
      <c r="DR74" s="364"/>
      <c r="DS74" s="364"/>
      <c r="DT74" s="364"/>
      <c r="DU74" s="364"/>
      <c r="DV74" s="364"/>
      <c r="DW74" s="364"/>
      <c r="DX74" s="364"/>
      <c r="DY74" s="364"/>
    </row>
    <row r="75" spans="2:129" s="468" customFormat="1" x14ac:dyDescent="0.25">
      <c r="B75" s="469">
        <v>2032</v>
      </c>
      <c r="C75" s="466">
        <v>260745</v>
      </c>
      <c r="D75" s="462" t="s">
        <v>701</v>
      </c>
      <c r="E75" s="461" t="s">
        <v>1202</v>
      </c>
      <c r="F75" s="462">
        <v>0</v>
      </c>
      <c r="G75" s="461"/>
      <c r="H75" s="461"/>
      <c r="I75" s="461"/>
      <c r="J75" s="461">
        <v>0</v>
      </c>
      <c r="K75" s="461" t="s">
        <v>909</v>
      </c>
      <c r="L75" s="461"/>
      <c r="M75" s="461" t="s">
        <v>1100</v>
      </c>
      <c r="N75" s="465">
        <v>44343</v>
      </c>
      <c r="O75" s="465">
        <v>44343</v>
      </c>
      <c r="P75" s="461" t="s">
        <v>1099</v>
      </c>
      <c r="Q75" s="462">
        <v>1200</v>
      </c>
      <c r="R75" s="462">
        <v>14050</v>
      </c>
      <c r="S75" s="512">
        <v>92</v>
      </c>
      <c r="T75" s="462">
        <v>14056</v>
      </c>
      <c r="U75" s="505">
        <v>10.86</v>
      </c>
      <c r="V75" s="505">
        <f t="shared" si="10"/>
        <v>81.14</v>
      </c>
      <c r="W75" s="509">
        <v>6.39</v>
      </c>
      <c r="X75" s="462">
        <v>54260</v>
      </c>
      <c r="Y75" s="505">
        <v>0.64</v>
      </c>
      <c r="Z75" s="461" t="s">
        <v>701</v>
      </c>
      <c r="AA75" s="461"/>
      <c r="AB75" s="461" t="s">
        <v>1200</v>
      </c>
      <c r="AC75" s="461"/>
      <c r="AD75" s="461" t="s">
        <v>705</v>
      </c>
      <c r="AE75" s="461" t="s">
        <v>703</v>
      </c>
      <c r="AF75" s="462" t="s">
        <v>351</v>
      </c>
      <c r="AG75" s="461"/>
      <c r="AH75" s="462" t="s">
        <v>707</v>
      </c>
      <c r="AI75" s="461">
        <v>0</v>
      </c>
      <c r="AJ75" s="461">
        <v>0</v>
      </c>
      <c r="AK75" s="364"/>
      <c r="AL75" s="364" t="s">
        <v>295</v>
      </c>
      <c r="AM75" s="490">
        <f t="shared" si="51"/>
        <v>5</v>
      </c>
      <c r="AN75" s="490">
        <f t="shared" si="52"/>
        <v>2021</v>
      </c>
      <c r="AO75" s="490">
        <f t="shared" si="41"/>
        <v>2033</v>
      </c>
      <c r="AP75" s="510">
        <f t="shared" si="53"/>
        <v>2033.4166666666667</v>
      </c>
      <c r="AQ75" s="351">
        <f t="shared" si="54"/>
        <v>0.63888888888888895</v>
      </c>
      <c r="AR75" s="351">
        <f t="shared" si="55"/>
        <v>7.6666666666666679</v>
      </c>
      <c r="AS75" s="351">
        <f t="shared" si="42"/>
        <v>7.6666666666666679</v>
      </c>
      <c r="AT75" s="351">
        <f t="shared" si="43"/>
        <v>7.6666666666666679</v>
      </c>
      <c r="AU75" s="351">
        <f t="shared" si="56"/>
        <v>15.333333333333336</v>
      </c>
      <c r="AV75" s="351">
        <f t="shared" si="44"/>
        <v>76.666666666666657</v>
      </c>
      <c r="AW75" s="491" t="s">
        <v>339</v>
      </c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4"/>
      <c r="BX75" s="364"/>
      <c r="BY75" s="364"/>
      <c r="BZ75" s="364"/>
      <c r="CA75" s="364"/>
      <c r="CB75" s="364"/>
      <c r="CC75" s="364"/>
      <c r="CD75" s="364"/>
      <c r="CE75" s="364"/>
      <c r="CF75" s="364"/>
      <c r="CG75" s="364"/>
      <c r="CH75" s="364"/>
      <c r="CI75" s="364"/>
      <c r="CJ75" s="364"/>
      <c r="CK75" s="364"/>
      <c r="CL75" s="364"/>
      <c r="CM75" s="364"/>
      <c r="CN75" s="364"/>
      <c r="CO75" s="364"/>
      <c r="CP75" s="364"/>
      <c r="CQ75" s="364"/>
      <c r="CR75" s="364"/>
      <c r="CS75" s="364"/>
      <c r="CT75" s="364"/>
      <c r="CU75" s="364"/>
      <c r="CV75" s="364"/>
      <c r="CW75" s="364"/>
      <c r="CX75" s="364"/>
      <c r="CY75" s="364"/>
      <c r="CZ75" s="364"/>
      <c r="DA75" s="364"/>
      <c r="DB75" s="364"/>
      <c r="DC75" s="364"/>
      <c r="DD75" s="364"/>
      <c r="DE75" s="364"/>
      <c r="DF75" s="364"/>
      <c r="DG75" s="364"/>
      <c r="DH75" s="364"/>
      <c r="DI75" s="364"/>
      <c r="DJ75" s="364"/>
      <c r="DK75" s="364"/>
      <c r="DL75" s="364"/>
      <c r="DM75" s="364"/>
      <c r="DN75" s="364"/>
      <c r="DO75" s="364"/>
      <c r="DP75" s="364"/>
      <c r="DQ75" s="364"/>
      <c r="DR75" s="364"/>
      <c r="DS75" s="364"/>
      <c r="DT75" s="364"/>
      <c r="DU75" s="364"/>
      <c r="DV75" s="364"/>
      <c r="DW75" s="364"/>
      <c r="DX75" s="364"/>
      <c r="DY75" s="364"/>
    </row>
    <row r="76" spans="2:129" s="468" customFormat="1" x14ac:dyDescent="0.25">
      <c r="B76" s="469">
        <v>2032</v>
      </c>
      <c r="C76" s="466">
        <v>260744</v>
      </c>
      <c r="D76" s="462" t="s">
        <v>701</v>
      </c>
      <c r="E76" s="461" t="s">
        <v>1201</v>
      </c>
      <c r="F76" s="462">
        <v>0</v>
      </c>
      <c r="G76" s="461"/>
      <c r="H76" s="461"/>
      <c r="I76" s="461"/>
      <c r="J76" s="461">
        <v>0</v>
      </c>
      <c r="K76" s="461" t="s">
        <v>909</v>
      </c>
      <c r="L76" s="461"/>
      <c r="M76" s="461" t="s">
        <v>1097</v>
      </c>
      <c r="N76" s="465">
        <v>44347</v>
      </c>
      <c r="O76" s="465">
        <v>44347</v>
      </c>
      <c r="P76" s="461" t="s">
        <v>1096</v>
      </c>
      <c r="Q76" s="462">
        <v>1200</v>
      </c>
      <c r="R76" s="462">
        <v>14050</v>
      </c>
      <c r="S76" s="512">
        <v>31.7</v>
      </c>
      <c r="T76" s="462">
        <v>14056</v>
      </c>
      <c r="U76" s="505">
        <v>3.74</v>
      </c>
      <c r="V76" s="505">
        <f t="shared" si="10"/>
        <v>27.96</v>
      </c>
      <c r="W76" s="509">
        <v>2.2000000000000002</v>
      </c>
      <c r="X76" s="462">
        <v>54260</v>
      </c>
      <c r="Y76" s="505">
        <v>0.22</v>
      </c>
      <c r="Z76" s="461" t="s">
        <v>701</v>
      </c>
      <c r="AA76" s="461"/>
      <c r="AB76" s="461" t="s">
        <v>1200</v>
      </c>
      <c r="AC76" s="461"/>
      <c r="AD76" s="461" t="s">
        <v>705</v>
      </c>
      <c r="AE76" s="461" t="s">
        <v>703</v>
      </c>
      <c r="AF76" s="462" t="s">
        <v>351</v>
      </c>
      <c r="AG76" s="461"/>
      <c r="AH76" s="462" t="s">
        <v>707</v>
      </c>
      <c r="AI76" s="461">
        <v>0</v>
      </c>
      <c r="AJ76" s="461">
        <v>0</v>
      </c>
      <c r="AK76" s="364"/>
      <c r="AL76" s="364" t="s">
        <v>295</v>
      </c>
      <c r="AM76" s="490">
        <f t="shared" si="51"/>
        <v>5</v>
      </c>
      <c r="AN76" s="490">
        <f t="shared" si="52"/>
        <v>2021</v>
      </c>
      <c r="AO76" s="490">
        <f t="shared" si="41"/>
        <v>2033</v>
      </c>
      <c r="AP76" s="510">
        <f t="shared" si="53"/>
        <v>2033.4166666666667</v>
      </c>
      <c r="AQ76" s="351">
        <f t="shared" si="54"/>
        <v>0.22013888888888888</v>
      </c>
      <c r="AR76" s="351">
        <f t="shared" si="55"/>
        <v>2.6416666666666666</v>
      </c>
      <c r="AS76" s="351">
        <f t="shared" si="42"/>
        <v>2.6416666666666666</v>
      </c>
      <c r="AT76" s="351">
        <f t="shared" si="43"/>
        <v>2.6416666666666666</v>
      </c>
      <c r="AU76" s="351">
        <f t="shared" si="56"/>
        <v>5.2833333333333332</v>
      </c>
      <c r="AV76" s="351">
        <f t="shared" si="44"/>
        <v>26.416666666666664</v>
      </c>
      <c r="AW76" s="491" t="s">
        <v>339</v>
      </c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4"/>
      <c r="BS76" s="364"/>
      <c r="BT76" s="364"/>
      <c r="BU76" s="364"/>
      <c r="BV76" s="364"/>
      <c r="BW76" s="364"/>
      <c r="BX76" s="364"/>
      <c r="BY76" s="364"/>
      <c r="BZ76" s="364"/>
      <c r="CA76" s="364"/>
      <c r="CB76" s="364"/>
      <c r="CC76" s="364"/>
      <c r="CD76" s="364"/>
      <c r="CE76" s="364"/>
      <c r="CF76" s="364"/>
      <c r="CG76" s="364"/>
      <c r="CH76" s="364"/>
      <c r="CI76" s="364"/>
      <c r="CJ76" s="364"/>
      <c r="CK76" s="364"/>
      <c r="CL76" s="364"/>
      <c r="CM76" s="364"/>
      <c r="CN76" s="364"/>
      <c r="CO76" s="364"/>
      <c r="CP76" s="364"/>
      <c r="CQ76" s="364"/>
      <c r="CR76" s="364"/>
      <c r="CS76" s="364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</row>
    <row r="77" spans="2:129" s="468" customFormat="1" x14ac:dyDescent="0.25">
      <c r="B77" s="469">
        <v>2032</v>
      </c>
      <c r="C77" s="466">
        <v>260297</v>
      </c>
      <c r="D77" s="462" t="s">
        <v>701</v>
      </c>
      <c r="E77" s="461" t="s">
        <v>1199</v>
      </c>
      <c r="F77" s="462">
        <v>2</v>
      </c>
      <c r="G77" s="461"/>
      <c r="H77" s="461"/>
      <c r="I77" s="461"/>
      <c r="J77" s="461">
        <v>0</v>
      </c>
      <c r="K77" s="461" t="s">
        <v>909</v>
      </c>
      <c r="L77" s="461"/>
      <c r="M77" s="461" t="s">
        <v>854</v>
      </c>
      <c r="N77" s="465">
        <v>44449</v>
      </c>
      <c r="O77" s="465">
        <v>44449</v>
      </c>
      <c r="P77" s="461" t="s">
        <v>1198</v>
      </c>
      <c r="Q77" s="462">
        <v>1200</v>
      </c>
      <c r="R77" s="462">
        <v>14050</v>
      </c>
      <c r="S77" s="512">
        <v>14627.02</v>
      </c>
      <c r="T77" s="462">
        <v>14056</v>
      </c>
      <c r="U77" s="505">
        <v>1422.08</v>
      </c>
      <c r="V77" s="505">
        <f t="shared" si="10"/>
        <v>13204.94</v>
      </c>
      <c r="W77" s="509">
        <v>1015.77</v>
      </c>
      <c r="X77" s="462">
        <v>54260</v>
      </c>
      <c r="Y77" s="505">
        <v>101.58</v>
      </c>
      <c r="Z77" s="461" t="s">
        <v>701</v>
      </c>
      <c r="AA77" s="461"/>
      <c r="AB77" s="461" t="s">
        <v>1197</v>
      </c>
      <c r="AC77" s="461"/>
      <c r="AD77" s="461" t="s">
        <v>705</v>
      </c>
      <c r="AE77" s="461" t="s">
        <v>703</v>
      </c>
      <c r="AF77" s="462" t="s">
        <v>351</v>
      </c>
      <c r="AG77" s="461"/>
      <c r="AH77" s="462" t="s">
        <v>707</v>
      </c>
      <c r="AI77" s="461">
        <v>0</v>
      </c>
      <c r="AJ77" s="461">
        <v>0</v>
      </c>
      <c r="AK77" s="364"/>
      <c r="AL77" s="364" t="s">
        <v>297</v>
      </c>
      <c r="AM77" s="490">
        <f t="shared" si="51"/>
        <v>9</v>
      </c>
      <c r="AN77" s="490">
        <f t="shared" si="52"/>
        <v>2021</v>
      </c>
      <c r="AO77" s="490">
        <f t="shared" si="41"/>
        <v>2033</v>
      </c>
      <c r="AP77" s="510">
        <f t="shared" si="53"/>
        <v>2033.75</v>
      </c>
      <c r="AQ77" s="351">
        <f t="shared" si="54"/>
        <v>101.57652777777777</v>
      </c>
      <c r="AR77" s="351">
        <f t="shared" si="55"/>
        <v>1218.9183333333333</v>
      </c>
      <c r="AS77" s="351">
        <f t="shared" si="42"/>
        <v>1218.9183333333333</v>
      </c>
      <c r="AT77" s="351">
        <f t="shared" si="43"/>
        <v>1218.9183333333333</v>
      </c>
      <c r="AU77" s="351">
        <f t="shared" si="56"/>
        <v>2437.8366666666666</v>
      </c>
      <c r="AV77" s="351">
        <f t="shared" si="44"/>
        <v>12189.183333333334</v>
      </c>
      <c r="AW77" s="491" t="s">
        <v>339</v>
      </c>
      <c r="AX77" s="364"/>
      <c r="AY77" s="364"/>
      <c r="AZ77" s="364"/>
      <c r="BA77" s="364"/>
      <c r="BB77" s="364"/>
      <c r="BC77" s="364"/>
      <c r="BD77" s="364"/>
      <c r="BE77" s="364"/>
      <c r="BF77" s="364"/>
      <c r="BG77" s="364"/>
      <c r="BH77" s="364"/>
      <c r="BI77" s="364"/>
      <c r="BJ77" s="364"/>
      <c r="BK77" s="364"/>
      <c r="BL77" s="364"/>
      <c r="BM77" s="364"/>
      <c r="BN77" s="364"/>
      <c r="BO77" s="364"/>
      <c r="BP77" s="364"/>
      <c r="BQ77" s="364"/>
      <c r="BR77" s="364"/>
      <c r="BS77" s="364"/>
      <c r="BT77" s="364"/>
      <c r="BU77" s="364"/>
      <c r="BV77" s="364"/>
      <c r="BW77" s="364"/>
      <c r="BX77" s="364"/>
      <c r="BY77" s="364"/>
      <c r="BZ77" s="364"/>
      <c r="CA77" s="364"/>
      <c r="CB77" s="364"/>
      <c r="CC77" s="364"/>
      <c r="CD77" s="364"/>
      <c r="CE77" s="364"/>
      <c r="CF77" s="364"/>
      <c r="CG77" s="364"/>
      <c r="CH77" s="364"/>
      <c r="CI77" s="364"/>
      <c r="CJ77" s="364"/>
      <c r="CK77" s="364"/>
      <c r="CL77" s="364"/>
      <c r="CM77" s="364"/>
      <c r="CN77" s="364"/>
      <c r="CO77" s="364"/>
      <c r="CP77" s="364"/>
      <c r="CQ77" s="364"/>
      <c r="CR77" s="364"/>
      <c r="CS77" s="364"/>
      <c r="CT77" s="364"/>
      <c r="CU77" s="364"/>
      <c r="CV77" s="364"/>
      <c r="CW77" s="364"/>
      <c r="CX77" s="364"/>
      <c r="CY77" s="364"/>
      <c r="CZ77" s="364"/>
      <c r="DA77" s="364"/>
      <c r="DB77" s="364"/>
      <c r="DC77" s="364"/>
      <c r="DD77" s="364"/>
      <c r="DE77" s="364"/>
      <c r="DF77" s="364"/>
      <c r="DG77" s="364"/>
      <c r="DH77" s="364"/>
      <c r="DI77" s="364"/>
      <c r="DJ77" s="364"/>
      <c r="DK77" s="364"/>
      <c r="DL77" s="364"/>
      <c r="DM77" s="364"/>
      <c r="DN77" s="364"/>
      <c r="DO77" s="364"/>
      <c r="DP77" s="364"/>
      <c r="DQ77" s="364"/>
      <c r="DR77" s="364"/>
      <c r="DS77" s="364"/>
      <c r="DT77" s="364"/>
      <c r="DU77" s="364"/>
      <c r="DV77" s="364"/>
      <c r="DW77" s="364"/>
      <c r="DX77" s="364"/>
      <c r="DY77" s="364"/>
    </row>
    <row r="78" spans="2:129" s="468" customFormat="1" x14ac:dyDescent="0.25">
      <c r="B78" s="469">
        <v>2032</v>
      </c>
      <c r="C78" s="466">
        <v>260296</v>
      </c>
      <c r="D78" s="462" t="s">
        <v>701</v>
      </c>
      <c r="E78" s="461" t="s">
        <v>1196</v>
      </c>
      <c r="F78" s="462">
        <v>2</v>
      </c>
      <c r="G78" s="461"/>
      <c r="H78" s="461"/>
      <c r="I78" s="461"/>
      <c r="J78" s="461">
        <v>0</v>
      </c>
      <c r="K78" s="461" t="s">
        <v>909</v>
      </c>
      <c r="L78" s="461"/>
      <c r="M78" s="461" t="s">
        <v>850</v>
      </c>
      <c r="N78" s="465">
        <v>44450</v>
      </c>
      <c r="O78" s="465">
        <v>44450</v>
      </c>
      <c r="P78" s="461" t="s">
        <v>1193</v>
      </c>
      <c r="Q78" s="462">
        <v>1200</v>
      </c>
      <c r="R78" s="462">
        <v>14050</v>
      </c>
      <c r="S78" s="512">
        <v>17802.990000000002</v>
      </c>
      <c r="T78" s="462">
        <v>14056</v>
      </c>
      <c r="U78" s="505">
        <v>1730.85</v>
      </c>
      <c r="V78" s="505">
        <f t="shared" si="10"/>
        <v>16072.140000000001</v>
      </c>
      <c r="W78" s="509">
        <v>1236.32</v>
      </c>
      <c r="X78" s="462">
        <v>54260</v>
      </c>
      <c r="Y78" s="505">
        <v>123.63</v>
      </c>
      <c r="Z78" s="461" t="s">
        <v>701</v>
      </c>
      <c r="AA78" s="461"/>
      <c r="AB78" s="461" t="s">
        <v>1195</v>
      </c>
      <c r="AC78" s="461"/>
      <c r="AD78" s="461" t="s">
        <v>705</v>
      </c>
      <c r="AE78" s="461" t="s">
        <v>703</v>
      </c>
      <c r="AF78" s="462" t="s">
        <v>351</v>
      </c>
      <c r="AG78" s="461"/>
      <c r="AH78" s="462" t="s">
        <v>707</v>
      </c>
      <c r="AI78" s="461">
        <v>0</v>
      </c>
      <c r="AJ78" s="461">
        <v>0</v>
      </c>
      <c r="AK78" s="364"/>
      <c r="AL78" s="364" t="s">
        <v>297</v>
      </c>
      <c r="AM78" s="490">
        <f t="shared" si="51"/>
        <v>9</v>
      </c>
      <c r="AN78" s="490">
        <f t="shared" si="52"/>
        <v>2021</v>
      </c>
      <c r="AO78" s="490">
        <f t="shared" ref="AO78:AO109" si="57">$AN78+($Q78/100)</f>
        <v>2033</v>
      </c>
      <c r="AP78" s="510">
        <f t="shared" si="53"/>
        <v>2033.75</v>
      </c>
      <c r="AQ78" s="351">
        <f t="shared" si="54"/>
        <v>123.63187500000002</v>
      </c>
      <c r="AR78" s="351">
        <f t="shared" si="55"/>
        <v>1483.5825000000002</v>
      </c>
      <c r="AS78" s="351">
        <f t="shared" ref="AS78:AS109" si="58">IF($AP78&lt;=$AK$8,0,IF($AO78&gt;$AK$7,$AR78,($AQ78*$AM78)))</f>
        <v>1483.5825000000002</v>
      </c>
      <c r="AT78" s="351">
        <f t="shared" ref="AT78:AT109" si="59">IF($AS78=0,$S78,IF($AK$6-AN78&lt;1,0,(($AK$6-$AN78)*AR78)))</f>
        <v>1483.5825000000002</v>
      </c>
      <c r="AU78" s="351">
        <f t="shared" si="56"/>
        <v>2967.1650000000004</v>
      </c>
      <c r="AV78" s="351">
        <f t="shared" ref="AV78:AV109" si="60">$S78-$AU78</f>
        <v>14835.825000000001</v>
      </c>
      <c r="AW78" s="491" t="s">
        <v>339</v>
      </c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364"/>
      <c r="CE78" s="364"/>
      <c r="CF78" s="364"/>
      <c r="CG78" s="364"/>
      <c r="CH78" s="364"/>
      <c r="CI78" s="364"/>
      <c r="CJ78" s="364"/>
      <c r="CK78" s="364"/>
      <c r="CL78" s="364"/>
      <c r="CM78" s="364"/>
      <c r="CN78" s="364"/>
      <c r="CO78" s="364"/>
      <c r="CP78" s="364"/>
      <c r="CQ78" s="364"/>
      <c r="CR78" s="364"/>
      <c r="CS78" s="364"/>
      <c r="CT78" s="364"/>
      <c r="CU78" s="364"/>
      <c r="CV78" s="364"/>
      <c r="CW78" s="364"/>
      <c r="CX78" s="364"/>
      <c r="CY78" s="364"/>
      <c r="CZ78" s="364"/>
      <c r="DA78" s="364"/>
      <c r="DB78" s="364"/>
      <c r="DC78" s="364"/>
      <c r="DD78" s="364"/>
      <c r="DE78" s="364"/>
      <c r="DF78" s="364"/>
      <c r="DG78" s="364"/>
      <c r="DH78" s="364"/>
      <c r="DI78" s="364"/>
      <c r="DJ78" s="364"/>
      <c r="DK78" s="364"/>
      <c r="DL78" s="364"/>
      <c r="DM78" s="364"/>
      <c r="DN78" s="364"/>
      <c r="DO78" s="364"/>
      <c r="DP78" s="364"/>
      <c r="DQ78" s="364"/>
      <c r="DR78" s="364"/>
      <c r="DS78" s="364"/>
      <c r="DT78" s="364"/>
      <c r="DU78" s="364"/>
      <c r="DV78" s="364"/>
      <c r="DW78" s="364"/>
      <c r="DX78" s="364"/>
      <c r="DY78" s="364"/>
    </row>
    <row r="79" spans="2:129" s="468" customFormat="1" x14ac:dyDescent="0.25">
      <c r="B79" s="469">
        <v>2032</v>
      </c>
      <c r="C79" s="466">
        <v>260295</v>
      </c>
      <c r="D79" s="462" t="s">
        <v>701</v>
      </c>
      <c r="E79" s="461" t="s">
        <v>1194</v>
      </c>
      <c r="F79" s="462">
        <v>2</v>
      </c>
      <c r="G79" s="461"/>
      <c r="H79" s="461"/>
      <c r="I79" s="461"/>
      <c r="J79" s="461">
        <v>0</v>
      </c>
      <c r="K79" s="461" t="s">
        <v>909</v>
      </c>
      <c r="L79" s="461"/>
      <c r="M79" s="461" t="s">
        <v>850</v>
      </c>
      <c r="N79" s="465">
        <v>44450</v>
      </c>
      <c r="O79" s="465">
        <v>44450</v>
      </c>
      <c r="P79" s="461" t="s">
        <v>1193</v>
      </c>
      <c r="Q79" s="462">
        <v>1200</v>
      </c>
      <c r="R79" s="462">
        <v>14050</v>
      </c>
      <c r="S79" s="512">
        <v>17802.990000000002</v>
      </c>
      <c r="T79" s="462">
        <v>14056</v>
      </c>
      <c r="U79" s="505">
        <v>1730.85</v>
      </c>
      <c r="V79" s="505">
        <f t="shared" si="10"/>
        <v>16072.140000000001</v>
      </c>
      <c r="W79" s="509">
        <v>1236.32</v>
      </c>
      <c r="X79" s="462">
        <v>54260</v>
      </c>
      <c r="Y79" s="505">
        <v>123.63</v>
      </c>
      <c r="Z79" s="461" t="s">
        <v>701</v>
      </c>
      <c r="AA79" s="461"/>
      <c r="AB79" s="461" t="s">
        <v>1192</v>
      </c>
      <c r="AC79" s="461"/>
      <c r="AD79" s="461" t="s">
        <v>705</v>
      </c>
      <c r="AE79" s="461" t="s">
        <v>703</v>
      </c>
      <c r="AF79" s="462" t="s">
        <v>351</v>
      </c>
      <c r="AG79" s="461"/>
      <c r="AH79" s="462" t="s">
        <v>707</v>
      </c>
      <c r="AI79" s="461">
        <v>0</v>
      </c>
      <c r="AJ79" s="461">
        <v>0</v>
      </c>
      <c r="AK79" s="364"/>
      <c r="AL79" s="364" t="s">
        <v>297</v>
      </c>
      <c r="AM79" s="490">
        <f t="shared" si="51"/>
        <v>9</v>
      </c>
      <c r="AN79" s="490">
        <f t="shared" si="52"/>
        <v>2021</v>
      </c>
      <c r="AO79" s="490">
        <f t="shared" si="57"/>
        <v>2033</v>
      </c>
      <c r="AP79" s="510">
        <f t="shared" si="53"/>
        <v>2033.75</v>
      </c>
      <c r="AQ79" s="351">
        <f t="shared" si="54"/>
        <v>123.63187500000002</v>
      </c>
      <c r="AR79" s="351">
        <f t="shared" si="55"/>
        <v>1483.5825000000002</v>
      </c>
      <c r="AS79" s="351">
        <f t="shared" si="58"/>
        <v>1483.5825000000002</v>
      </c>
      <c r="AT79" s="351">
        <f t="shared" si="59"/>
        <v>1483.5825000000002</v>
      </c>
      <c r="AU79" s="351">
        <f t="shared" si="56"/>
        <v>2967.1650000000004</v>
      </c>
      <c r="AV79" s="351">
        <f t="shared" si="60"/>
        <v>14835.825000000001</v>
      </c>
      <c r="AW79" s="491" t="s">
        <v>339</v>
      </c>
      <c r="AX79" s="364"/>
      <c r="AY79" s="364"/>
      <c r="AZ79" s="364"/>
      <c r="BA79" s="364"/>
      <c r="BB79" s="364"/>
      <c r="BC79" s="364"/>
      <c r="BD79" s="364"/>
      <c r="BE79" s="364"/>
      <c r="BF79" s="364"/>
      <c r="BG79" s="364"/>
      <c r="BH79" s="364"/>
      <c r="BI79" s="364"/>
      <c r="BJ79" s="364"/>
      <c r="BK79" s="364"/>
      <c r="BL79" s="364"/>
      <c r="BM79" s="364"/>
      <c r="BN79" s="364"/>
      <c r="BO79" s="364"/>
      <c r="BP79" s="364"/>
      <c r="BQ79" s="364"/>
      <c r="BR79" s="364"/>
      <c r="BS79" s="364"/>
      <c r="BT79" s="364"/>
      <c r="BU79" s="364"/>
      <c r="BV79" s="364"/>
      <c r="BW79" s="364"/>
      <c r="BX79" s="364"/>
      <c r="BY79" s="364"/>
      <c r="BZ79" s="364"/>
      <c r="CA79" s="364"/>
      <c r="CB79" s="364"/>
      <c r="CC79" s="364"/>
      <c r="CD79" s="364"/>
      <c r="CE79" s="364"/>
      <c r="CF79" s="364"/>
      <c r="CG79" s="364"/>
      <c r="CH79" s="364"/>
      <c r="CI79" s="364"/>
      <c r="CJ79" s="364"/>
      <c r="CK79" s="364"/>
      <c r="CL79" s="364"/>
      <c r="CM79" s="364"/>
      <c r="CN79" s="364"/>
      <c r="CO79" s="364"/>
      <c r="CP79" s="364"/>
      <c r="CQ79" s="364"/>
      <c r="CR79" s="364"/>
      <c r="CS79" s="364"/>
      <c r="CT79" s="364"/>
      <c r="CU79" s="364"/>
      <c r="CV79" s="364"/>
      <c r="CW79" s="364"/>
      <c r="CX79" s="364"/>
      <c r="CY79" s="364"/>
      <c r="CZ79" s="364"/>
      <c r="DA79" s="364"/>
      <c r="DB79" s="364"/>
      <c r="DC79" s="364"/>
      <c r="DD79" s="364"/>
      <c r="DE79" s="364"/>
      <c r="DF79" s="364"/>
      <c r="DG79" s="364"/>
      <c r="DH79" s="364"/>
      <c r="DI79" s="364"/>
      <c r="DJ79" s="364"/>
      <c r="DK79" s="364"/>
      <c r="DL79" s="364"/>
      <c r="DM79" s="364"/>
      <c r="DN79" s="364"/>
      <c r="DO79" s="364"/>
      <c r="DP79" s="364"/>
      <c r="DQ79" s="364"/>
      <c r="DR79" s="364"/>
      <c r="DS79" s="364"/>
      <c r="DT79" s="364"/>
      <c r="DU79" s="364"/>
      <c r="DV79" s="364"/>
      <c r="DW79" s="364"/>
      <c r="DX79" s="364"/>
      <c r="DY79" s="364"/>
    </row>
    <row r="80" spans="2:129" s="468" customFormat="1" x14ac:dyDescent="0.25">
      <c r="B80" s="469">
        <v>2032</v>
      </c>
      <c r="C80" s="466">
        <v>260001</v>
      </c>
      <c r="D80" s="462" t="s">
        <v>701</v>
      </c>
      <c r="E80" s="461" t="s">
        <v>1191</v>
      </c>
      <c r="F80" s="462">
        <v>2</v>
      </c>
      <c r="G80" s="461"/>
      <c r="H80" s="461"/>
      <c r="I80" s="461"/>
      <c r="J80" s="461">
        <v>0</v>
      </c>
      <c r="K80" s="461" t="s">
        <v>909</v>
      </c>
      <c r="L80" s="461"/>
      <c r="M80" s="461" t="s">
        <v>856</v>
      </c>
      <c r="N80" s="465">
        <v>44440</v>
      </c>
      <c r="O80" s="465">
        <v>44440</v>
      </c>
      <c r="P80" s="461" t="s">
        <v>1190</v>
      </c>
      <c r="Q80" s="462">
        <v>1200</v>
      </c>
      <c r="R80" s="462">
        <v>14050</v>
      </c>
      <c r="S80" s="512">
        <v>16670.11</v>
      </c>
      <c r="T80" s="462">
        <v>14056</v>
      </c>
      <c r="U80" s="505">
        <v>1620.71</v>
      </c>
      <c r="V80" s="505">
        <f t="shared" si="10"/>
        <v>15049.400000000001</v>
      </c>
      <c r="W80" s="509">
        <v>1157.6500000000001</v>
      </c>
      <c r="X80" s="462">
        <v>54260</v>
      </c>
      <c r="Y80" s="505">
        <v>115.76</v>
      </c>
      <c r="Z80" s="461" t="s">
        <v>701</v>
      </c>
      <c r="AA80" s="461"/>
      <c r="AB80" s="461" t="s">
        <v>1189</v>
      </c>
      <c r="AC80" s="461"/>
      <c r="AD80" s="461" t="s">
        <v>705</v>
      </c>
      <c r="AE80" s="461" t="s">
        <v>703</v>
      </c>
      <c r="AF80" s="462" t="s">
        <v>351</v>
      </c>
      <c r="AG80" s="461"/>
      <c r="AH80" s="462" t="s">
        <v>707</v>
      </c>
      <c r="AI80" s="461">
        <v>0</v>
      </c>
      <c r="AJ80" s="461">
        <v>0</v>
      </c>
      <c r="AK80" s="364"/>
      <c r="AL80" s="364" t="s">
        <v>297</v>
      </c>
      <c r="AM80" s="490">
        <f t="shared" si="51"/>
        <v>9</v>
      </c>
      <c r="AN80" s="490">
        <f t="shared" si="52"/>
        <v>2021</v>
      </c>
      <c r="AO80" s="490">
        <f t="shared" si="57"/>
        <v>2033</v>
      </c>
      <c r="AP80" s="510">
        <f t="shared" si="53"/>
        <v>2033.75</v>
      </c>
      <c r="AQ80" s="351">
        <f t="shared" si="54"/>
        <v>115.76465277777778</v>
      </c>
      <c r="AR80" s="351">
        <f t="shared" si="55"/>
        <v>1389.1758333333335</v>
      </c>
      <c r="AS80" s="351">
        <f t="shared" si="58"/>
        <v>1389.1758333333335</v>
      </c>
      <c r="AT80" s="351">
        <f t="shared" si="59"/>
        <v>1389.1758333333335</v>
      </c>
      <c r="AU80" s="351">
        <f t="shared" si="56"/>
        <v>2778.3516666666669</v>
      </c>
      <c r="AV80" s="351">
        <f t="shared" si="60"/>
        <v>13891.758333333333</v>
      </c>
      <c r="AW80" s="491" t="s">
        <v>339</v>
      </c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N80" s="364"/>
      <c r="BO80" s="364"/>
      <c r="BP80" s="364"/>
      <c r="BQ80" s="364"/>
      <c r="BR80" s="364"/>
      <c r="BS80" s="364"/>
      <c r="BT80" s="364"/>
      <c r="BU80" s="364"/>
      <c r="BV80" s="364"/>
      <c r="BW80" s="364"/>
      <c r="BX80" s="364"/>
      <c r="BY80" s="364"/>
      <c r="BZ80" s="364"/>
      <c r="CA80" s="364"/>
      <c r="CB80" s="364"/>
      <c r="CC80" s="364"/>
      <c r="CD80" s="364"/>
      <c r="CE80" s="364"/>
      <c r="CF80" s="364"/>
      <c r="CG80" s="364"/>
      <c r="CH80" s="364"/>
      <c r="CI80" s="364"/>
      <c r="CJ80" s="364"/>
      <c r="CK80" s="364"/>
      <c r="CL80" s="364"/>
      <c r="CM80" s="364"/>
      <c r="CN80" s="364"/>
      <c r="CO80" s="364"/>
      <c r="CP80" s="364"/>
      <c r="CQ80" s="364"/>
      <c r="CR80" s="364"/>
      <c r="CS80" s="364"/>
      <c r="CT80" s="364"/>
      <c r="CU80" s="364"/>
      <c r="CV80" s="364"/>
      <c r="CW80" s="364"/>
      <c r="CX80" s="364"/>
      <c r="CY80" s="364"/>
      <c r="CZ80" s="364"/>
      <c r="DA80" s="364"/>
      <c r="DB80" s="364"/>
      <c r="DC80" s="364"/>
      <c r="DD80" s="364"/>
      <c r="DE80" s="364"/>
      <c r="DF80" s="364"/>
      <c r="DG80" s="364"/>
      <c r="DH80" s="364"/>
      <c r="DI80" s="364"/>
      <c r="DJ80" s="364"/>
      <c r="DK80" s="364"/>
      <c r="DL80" s="364"/>
      <c r="DM80" s="364"/>
      <c r="DN80" s="364"/>
      <c r="DO80" s="364"/>
      <c r="DP80" s="364"/>
      <c r="DQ80" s="364"/>
      <c r="DR80" s="364"/>
      <c r="DS80" s="364"/>
      <c r="DT80" s="364"/>
      <c r="DU80" s="364"/>
      <c r="DV80" s="364"/>
      <c r="DW80" s="364"/>
      <c r="DX80" s="364"/>
      <c r="DY80" s="364"/>
    </row>
    <row r="81" spans="2:129" s="468" customFormat="1" x14ac:dyDescent="0.25">
      <c r="B81" s="469">
        <v>2032</v>
      </c>
      <c r="C81" s="466">
        <v>260000</v>
      </c>
      <c r="D81" s="462" t="s">
        <v>701</v>
      </c>
      <c r="E81" s="461" t="s">
        <v>1188</v>
      </c>
      <c r="F81" s="462">
        <v>2</v>
      </c>
      <c r="G81" s="461"/>
      <c r="H81" s="461"/>
      <c r="I81" s="461"/>
      <c r="J81" s="461">
        <v>0</v>
      </c>
      <c r="K81" s="461" t="s">
        <v>909</v>
      </c>
      <c r="L81" s="461"/>
      <c r="M81" s="461" t="s">
        <v>850</v>
      </c>
      <c r="N81" s="465">
        <v>44441</v>
      </c>
      <c r="O81" s="465">
        <v>44441</v>
      </c>
      <c r="P81" s="461" t="s">
        <v>1187</v>
      </c>
      <c r="Q81" s="462">
        <v>1200</v>
      </c>
      <c r="R81" s="462">
        <v>14050</v>
      </c>
      <c r="S81" s="512">
        <v>12668.24</v>
      </c>
      <c r="T81" s="462">
        <v>14056</v>
      </c>
      <c r="U81" s="505">
        <v>1231.6400000000001</v>
      </c>
      <c r="V81" s="505">
        <f t="shared" si="10"/>
        <v>11436.6</v>
      </c>
      <c r="W81" s="509">
        <v>879.74</v>
      </c>
      <c r="X81" s="462">
        <v>54260</v>
      </c>
      <c r="Y81" s="505">
        <v>87.97</v>
      </c>
      <c r="Z81" s="461" t="s">
        <v>701</v>
      </c>
      <c r="AA81" s="461"/>
      <c r="AB81" s="461" t="s">
        <v>1186</v>
      </c>
      <c r="AC81" s="461"/>
      <c r="AD81" s="461" t="s">
        <v>705</v>
      </c>
      <c r="AE81" s="461" t="s">
        <v>703</v>
      </c>
      <c r="AF81" s="462" t="s">
        <v>351</v>
      </c>
      <c r="AG81" s="461"/>
      <c r="AH81" s="462" t="s">
        <v>707</v>
      </c>
      <c r="AI81" s="461">
        <v>0</v>
      </c>
      <c r="AJ81" s="461">
        <v>0</v>
      </c>
      <c r="AK81" s="364"/>
      <c r="AL81" s="364" t="s">
        <v>297</v>
      </c>
      <c r="AM81" s="490">
        <f t="shared" si="51"/>
        <v>9</v>
      </c>
      <c r="AN81" s="490">
        <f t="shared" si="52"/>
        <v>2021</v>
      </c>
      <c r="AO81" s="490">
        <f t="shared" si="57"/>
        <v>2033</v>
      </c>
      <c r="AP81" s="510">
        <f t="shared" si="53"/>
        <v>2033.75</v>
      </c>
      <c r="AQ81" s="351">
        <f t="shared" si="54"/>
        <v>87.973888888888894</v>
      </c>
      <c r="AR81" s="351">
        <f t="shared" si="55"/>
        <v>1055.6866666666667</v>
      </c>
      <c r="AS81" s="351">
        <f t="shared" si="58"/>
        <v>1055.6866666666667</v>
      </c>
      <c r="AT81" s="351">
        <f t="shared" si="59"/>
        <v>1055.6866666666667</v>
      </c>
      <c r="AU81" s="351">
        <f t="shared" si="56"/>
        <v>2111.3733333333334</v>
      </c>
      <c r="AV81" s="351">
        <f t="shared" si="60"/>
        <v>10556.866666666667</v>
      </c>
      <c r="AW81" s="491" t="s">
        <v>339</v>
      </c>
      <c r="AX81" s="364"/>
      <c r="AY81" s="364"/>
      <c r="AZ81" s="364"/>
      <c r="BA81" s="364"/>
      <c r="BB81" s="364"/>
      <c r="BC81" s="364"/>
      <c r="BD81" s="364"/>
      <c r="BE81" s="364"/>
      <c r="BF81" s="364"/>
      <c r="BG81" s="364"/>
      <c r="BH81" s="364"/>
      <c r="BI81" s="364"/>
      <c r="BJ81" s="364"/>
      <c r="BK81" s="364"/>
      <c r="BL81" s="364"/>
      <c r="BM81" s="364"/>
      <c r="BN81" s="364"/>
      <c r="BO81" s="364"/>
      <c r="BP81" s="364"/>
      <c r="BQ81" s="364"/>
      <c r="BR81" s="364"/>
      <c r="BS81" s="364"/>
      <c r="BT81" s="364"/>
      <c r="BU81" s="364"/>
      <c r="BV81" s="364"/>
      <c r="BW81" s="364"/>
      <c r="BX81" s="364"/>
      <c r="BY81" s="364"/>
      <c r="BZ81" s="364"/>
      <c r="CA81" s="364"/>
      <c r="CB81" s="364"/>
      <c r="CC81" s="364"/>
      <c r="CD81" s="364"/>
      <c r="CE81" s="364"/>
      <c r="CF81" s="364"/>
      <c r="CG81" s="364"/>
      <c r="CH81" s="364"/>
      <c r="CI81" s="364"/>
      <c r="CJ81" s="364"/>
      <c r="CK81" s="364"/>
      <c r="CL81" s="364"/>
      <c r="CM81" s="364"/>
      <c r="CN81" s="364"/>
      <c r="CO81" s="364"/>
      <c r="CP81" s="364"/>
      <c r="CQ81" s="364"/>
      <c r="CR81" s="364"/>
      <c r="CS81" s="364"/>
      <c r="CT81" s="364"/>
      <c r="CU81" s="364"/>
      <c r="CV81" s="364"/>
      <c r="CW81" s="364"/>
      <c r="CX81" s="364"/>
      <c r="CY81" s="364"/>
      <c r="CZ81" s="364"/>
      <c r="DA81" s="364"/>
      <c r="DB81" s="364"/>
      <c r="DC81" s="364"/>
      <c r="DD81" s="364"/>
      <c r="DE81" s="364"/>
      <c r="DF81" s="364"/>
      <c r="DG81" s="364"/>
      <c r="DH81" s="364"/>
      <c r="DI81" s="364"/>
      <c r="DJ81" s="364"/>
      <c r="DK81" s="364"/>
      <c r="DL81" s="364"/>
      <c r="DM81" s="364"/>
      <c r="DN81" s="364"/>
      <c r="DO81" s="364"/>
      <c r="DP81" s="364"/>
      <c r="DQ81" s="364"/>
      <c r="DR81" s="364"/>
      <c r="DS81" s="364"/>
      <c r="DT81" s="364"/>
      <c r="DU81" s="364"/>
      <c r="DV81" s="364"/>
      <c r="DW81" s="364"/>
      <c r="DX81" s="364"/>
      <c r="DY81" s="364"/>
    </row>
    <row r="82" spans="2:129" s="468" customFormat="1" x14ac:dyDescent="0.25">
      <c r="B82" s="469">
        <v>2032</v>
      </c>
      <c r="C82" s="466">
        <v>259999</v>
      </c>
      <c r="D82" s="462" t="s">
        <v>701</v>
      </c>
      <c r="E82" s="461" t="s">
        <v>1185</v>
      </c>
      <c r="F82" s="462">
        <v>13</v>
      </c>
      <c r="G82" s="461"/>
      <c r="H82" s="461"/>
      <c r="I82" s="461"/>
      <c r="J82" s="461">
        <v>0</v>
      </c>
      <c r="K82" s="461" t="s">
        <v>909</v>
      </c>
      <c r="L82" s="461"/>
      <c r="M82" s="461" t="s">
        <v>1184</v>
      </c>
      <c r="N82" s="465">
        <v>44347</v>
      </c>
      <c r="O82" s="465">
        <v>44347</v>
      </c>
      <c r="P82" s="461" t="s">
        <v>1183</v>
      </c>
      <c r="Q82" s="462">
        <v>1200</v>
      </c>
      <c r="R82" s="462">
        <v>14050</v>
      </c>
      <c r="S82" s="512">
        <v>20747</v>
      </c>
      <c r="T82" s="462">
        <v>14056</v>
      </c>
      <c r="U82" s="505">
        <v>2449.31</v>
      </c>
      <c r="V82" s="505">
        <f t="shared" si="10"/>
        <v>18297.689999999999</v>
      </c>
      <c r="W82" s="509">
        <v>1440.77</v>
      </c>
      <c r="X82" s="462">
        <v>54260</v>
      </c>
      <c r="Y82" s="505">
        <v>144.08000000000001</v>
      </c>
      <c r="Z82" s="461" t="s">
        <v>701</v>
      </c>
      <c r="AA82" s="461"/>
      <c r="AB82" s="461" t="s">
        <v>1182</v>
      </c>
      <c r="AC82" s="461"/>
      <c r="AD82" s="461" t="s">
        <v>705</v>
      </c>
      <c r="AE82" s="461" t="s">
        <v>703</v>
      </c>
      <c r="AF82" s="462" t="s">
        <v>351</v>
      </c>
      <c r="AG82" s="461"/>
      <c r="AH82" s="462" t="s">
        <v>707</v>
      </c>
      <c r="AI82" s="461">
        <v>0</v>
      </c>
      <c r="AJ82" s="461">
        <v>0</v>
      </c>
      <c r="AK82" s="364"/>
      <c r="AL82" s="364" t="s">
        <v>295</v>
      </c>
      <c r="AM82" s="490">
        <f t="shared" si="51"/>
        <v>5</v>
      </c>
      <c r="AN82" s="490">
        <f t="shared" si="52"/>
        <v>2021</v>
      </c>
      <c r="AO82" s="490">
        <f t="shared" si="57"/>
        <v>2033</v>
      </c>
      <c r="AP82" s="510">
        <f t="shared" si="53"/>
        <v>2033.4166666666667</v>
      </c>
      <c r="AQ82" s="351">
        <f t="shared" si="54"/>
        <v>144.07638888888889</v>
      </c>
      <c r="AR82" s="351">
        <f t="shared" si="55"/>
        <v>1728.9166666666665</v>
      </c>
      <c r="AS82" s="351">
        <f t="shared" si="58"/>
        <v>1728.9166666666665</v>
      </c>
      <c r="AT82" s="351">
        <f t="shared" si="59"/>
        <v>1728.9166666666665</v>
      </c>
      <c r="AU82" s="351">
        <f t="shared" si="56"/>
        <v>3457.833333333333</v>
      </c>
      <c r="AV82" s="351">
        <f t="shared" si="60"/>
        <v>17289.166666666668</v>
      </c>
      <c r="AW82" s="491" t="s">
        <v>339</v>
      </c>
      <c r="AX82" s="364"/>
      <c r="AY82" s="364"/>
      <c r="AZ82" s="364"/>
      <c r="BA82" s="364"/>
      <c r="BB82" s="364"/>
      <c r="BC82" s="364"/>
      <c r="BD82" s="364"/>
      <c r="BE82" s="364"/>
      <c r="BF82" s="364"/>
      <c r="BG82" s="364"/>
      <c r="BH82" s="364"/>
      <c r="BI82" s="364"/>
      <c r="BJ82" s="364"/>
      <c r="BK82" s="364"/>
      <c r="BL82" s="364"/>
      <c r="BM82" s="364"/>
      <c r="BN82" s="364"/>
      <c r="BO82" s="364"/>
      <c r="BP82" s="364"/>
      <c r="BQ82" s="364"/>
      <c r="BR82" s="364"/>
      <c r="BS82" s="364"/>
      <c r="BT82" s="364"/>
      <c r="BU82" s="364"/>
      <c r="BV82" s="364"/>
      <c r="BW82" s="364"/>
      <c r="BX82" s="364"/>
      <c r="BY82" s="364"/>
      <c r="BZ82" s="364"/>
      <c r="CA82" s="364"/>
      <c r="CB82" s="364"/>
      <c r="CC82" s="364"/>
      <c r="CD82" s="364"/>
      <c r="CE82" s="364"/>
      <c r="CF82" s="364"/>
      <c r="CG82" s="364"/>
      <c r="CH82" s="364"/>
      <c r="CI82" s="364"/>
      <c r="CJ82" s="364"/>
      <c r="CK82" s="364"/>
      <c r="CL82" s="364"/>
      <c r="CM82" s="364"/>
      <c r="CN82" s="364"/>
      <c r="CO82" s="364"/>
      <c r="CP82" s="364"/>
      <c r="CQ82" s="364"/>
      <c r="CR82" s="364"/>
      <c r="CS82" s="364"/>
      <c r="CT82" s="364"/>
      <c r="CU82" s="364"/>
      <c r="CV82" s="364"/>
      <c r="CW82" s="364"/>
      <c r="CX82" s="364"/>
      <c r="CY82" s="364"/>
      <c r="CZ82" s="364"/>
      <c r="DA82" s="364"/>
      <c r="DB82" s="364"/>
      <c r="DC82" s="364"/>
      <c r="DD82" s="364"/>
      <c r="DE82" s="364"/>
      <c r="DF82" s="364"/>
      <c r="DG82" s="364"/>
      <c r="DH82" s="364"/>
      <c r="DI82" s="364"/>
      <c r="DJ82" s="364"/>
      <c r="DK82" s="364"/>
      <c r="DL82" s="364"/>
      <c r="DM82" s="364"/>
      <c r="DN82" s="364"/>
      <c r="DO82" s="364"/>
      <c r="DP82" s="364"/>
      <c r="DQ82" s="364"/>
      <c r="DR82" s="364"/>
      <c r="DS82" s="364"/>
      <c r="DT82" s="364"/>
      <c r="DU82" s="364"/>
      <c r="DV82" s="364"/>
      <c r="DW82" s="364"/>
      <c r="DX82" s="364"/>
      <c r="DY82" s="364"/>
    </row>
    <row r="83" spans="2:129" s="468" customFormat="1" x14ac:dyDescent="0.25">
      <c r="B83" s="469">
        <v>2032</v>
      </c>
      <c r="C83" s="466">
        <v>259998</v>
      </c>
      <c r="D83" s="462" t="s">
        <v>701</v>
      </c>
      <c r="E83" s="461" t="s">
        <v>1181</v>
      </c>
      <c r="F83" s="462">
        <v>10</v>
      </c>
      <c r="G83" s="461"/>
      <c r="H83" s="461"/>
      <c r="I83" s="461"/>
      <c r="J83" s="461">
        <v>0</v>
      </c>
      <c r="K83" s="461" t="s">
        <v>909</v>
      </c>
      <c r="L83" s="461"/>
      <c r="M83" s="461" t="s">
        <v>1113</v>
      </c>
      <c r="N83" s="465">
        <v>44343</v>
      </c>
      <c r="O83" s="465">
        <v>44343</v>
      </c>
      <c r="P83" s="461" t="s">
        <v>1112</v>
      </c>
      <c r="Q83" s="462">
        <v>1200</v>
      </c>
      <c r="R83" s="462">
        <v>14050</v>
      </c>
      <c r="S83" s="512">
        <v>13554.93</v>
      </c>
      <c r="T83" s="462">
        <v>14056</v>
      </c>
      <c r="U83" s="505">
        <v>1600.24</v>
      </c>
      <c r="V83" s="505">
        <f t="shared" si="10"/>
        <v>11954.69</v>
      </c>
      <c r="W83" s="509">
        <v>941.32</v>
      </c>
      <c r="X83" s="462">
        <v>54260</v>
      </c>
      <c r="Y83" s="505">
        <v>94.13</v>
      </c>
      <c r="Z83" s="461" t="s">
        <v>701</v>
      </c>
      <c r="AA83" s="461"/>
      <c r="AB83" s="461" t="s">
        <v>1180</v>
      </c>
      <c r="AC83" s="461"/>
      <c r="AD83" s="461" t="s">
        <v>705</v>
      </c>
      <c r="AE83" s="461" t="s">
        <v>703</v>
      </c>
      <c r="AF83" s="462" t="s">
        <v>351</v>
      </c>
      <c r="AG83" s="461"/>
      <c r="AH83" s="462" t="s">
        <v>707</v>
      </c>
      <c r="AI83" s="461">
        <v>0</v>
      </c>
      <c r="AJ83" s="461">
        <v>0</v>
      </c>
      <c r="AK83" s="364"/>
      <c r="AL83" s="364" t="s">
        <v>295</v>
      </c>
      <c r="AM83" s="490">
        <f t="shared" si="51"/>
        <v>5</v>
      </c>
      <c r="AN83" s="490">
        <f t="shared" si="52"/>
        <v>2021</v>
      </c>
      <c r="AO83" s="490">
        <f t="shared" si="57"/>
        <v>2033</v>
      </c>
      <c r="AP83" s="510">
        <f t="shared" si="53"/>
        <v>2033.4166666666667</v>
      </c>
      <c r="AQ83" s="351">
        <f t="shared" si="54"/>
        <v>94.131458333333342</v>
      </c>
      <c r="AR83" s="351">
        <f t="shared" si="55"/>
        <v>1129.5775000000001</v>
      </c>
      <c r="AS83" s="351">
        <f t="shared" si="58"/>
        <v>1129.5775000000001</v>
      </c>
      <c r="AT83" s="351">
        <f t="shared" si="59"/>
        <v>1129.5775000000001</v>
      </c>
      <c r="AU83" s="351">
        <f t="shared" si="56"/>
        <v>2259.1550000000002</v>
      </c>
      <c r="AV83" s="351">
        <f t="shared" si="60"/>
        <v>11295.775</v>
      </c>
      <c r="AW83" s="491" t="s">
        <v>339</v>
      </c>
      <c r="AX83" s="364"/>
      <c r="AY83" s="364"/>
      <c r="AZ83" s="364"/>
      <c r="BA83" s="364"/>
      <c r="BB83" s="364"/>
      <c r="BC83" s="364"/>
      <c r="BD83" s="364"/>
      <c r="BE83" s="364"/>
      <c r="BF83" s="364"/>
      <c r="BG83" s="364"/>
      <c r="BH83" s="364"/>
      <c r="BI83" s="364"/>
      <c r="BJ83" s="364"/>
      <c r="BK83" s="364"/>
      <c r="BL83" s="364"/>
      <c r="BM83" s="364"/>
      <c r="BN83" s="364"/>
      <c r="BO83" s="364"/>
      <c r="BP83" s="364"/>
      <c r="BQ83" s="364"/>
      <c r="BR83" s="364"/>
      <c r="BS83" s="364"/>
      <c r="BT83" s="364"/>
      <c r="BU83" s="364"/>
      <c r="BV83" s="364"/>
      <c r="BW83" s="364"/>
      <c r="BX83" s="364"/>
      <c r="BY83" s="364"/>
      <c r="BZ83" s="364"/>
      <c r="CA83" s="364"/>
      <c r="CB83" s="364"/>
      <c r="CC83" s="364"/>
      <c r="CD83" s="364"/>
      <c r="CE83" s="364"/>
      <c r="CF83" s="364"/>
      <c r="CG83" s="364"/>
      <c r="CH83" s="364"/>
      <c r="CI83" s="364"/>
      <c r="CJ83" s="364"/>
      <c r="CK83" s="364"/>
      <c r="CL83" s="364"/>
      <c r="CM83" s="364"/>
      <c r="CN83" s="364"/>
      <c r="CO83" s="364"/>
      <c r="CP83" s="364"/>
      <c r="CQ83" s="364"/>
      <c r="CR83" s="364"/>
      <c r="CS83" s="364"/>
      <c r="CT83" s="364"/>
      <c r="CU83" s="364"/>
      <c r="CV83" s="364"/>
      <c r="CW83" s="364"/>
      <c r="CX83" s="364"/>
      <c r="CY83" s="364"/>
      <c r="CZ83" s="364"/>
      <c r="DA83" s="364"/>
      <c r="DB83" s="364"/>
      <c r="DC83" s="364"/>
      <c r="DD83" s="364"/>
      <c r="DE83" s="364"/>
      <c r="DF83" s="364"/>
      <c r="DG83" s="364"/>
      <c r="DH83" s="364"/>
      <c r="DI83" s="364"/>
      <c r="DJ83" s="364"/>
      <c r="DK83" s="364"/>
      <c r="DL83" s="364"/>
      <c r="DM83" s="364"/>
      <c r="DN83" s="364"/>
      <c r="DO83" s="364"/>
      <c r="DP83" s="364"/>
      <c r="DQ83" s="364"/>
      <c r="DR83" s="364"/>
      <c r="DS83" s="364"/>
      <c r="DT83" s="364"/>
      <c r="DU83" s="364"/>
      <c r="DV83" s="364"/>
      <c r="DW83" s="364"/>
      <c r="DX83" s="364"/>
      <c r="DY83" s="364"/>
    </row>
    <row r="84" spans="2:129" s="468" customFormat="1" x14ac:dyDescent="0.25">
      <c r="B84" s="469">
        <v>2032</v>
      </c>
      <c r="C84" s="466">
        <v>259997</v>
      </c>
      <c r="D84" s="462" t="s">
        <v>701</v>
      </c>
      <c r="E84" s="461" t="s">
        <v>1179</v>
      </c>
      <c r="F84" s="462">
        <v>4</v>
      </c>
      <c r="G84" s="461"/>
      <c r="H84" s="461"/>
      <c r="I84" s="461"/>
      <c r="J84" s="461">
        <v>0</v>
      </c>
      <c r="K84" s="461" t="s">
        <v>909</v>
      </c>
      <c r="L84" s="461"/>
      <c r="M84" s="461" t="s">
        <v>854</v>
      </c>
      <c r="N84" s="465">
        <v>44367</v>
      </c>
      <c r="O84" s="465">
        <v>44367</v>
      </c>
      <c r="P84" s="461" t="s">
        <v>1178</v>
      </c>
      <c r="Q84" s="462">
        <v>1200</v>
      </c>
      <c r="R84" s="462">
        <v>14050</v>
      </c>
      <c r="S84" s="512">
        <v>34734.699999999997</v>
      </c>
      <c r="T84" s="462">
        <v>14056</v>
      </c>
      <c r="U84" s="505">
        <v>3859.41</v>
      </c>
      <c r="V84" s="505">
        <f t="shared" ref="V84:V147" si="61">S84-U84</f>
        <v>30875.289999999997</v>
      </c>
      <c r="W84" s="509">
        <v>2412.13</v>
      </c>
      <c r="X84" s="462">
        <v>54260</v>
      </c>
      <c r="Y84" s="505">
        <v>241.21</v>
      </c>
      <c r="Z84" s="461" t="s">
        <v>701</v>
      </c>
      <c r="AA84" s="461"/>
      <c r="AB84" s="461" t="s">
        <v>1177</v>
      </c>
      <c r="AC84" s="461"/>
      <c r="AD84" s="461" t="s">
        <v>705</v>
      </c>
      <c r="AE84" s="461" t="s">
        <v>703</v>
      </c>
      <c r="AF84" s="462" t="s">
        <v>351</v>
      </c>
      <c r="AG84" s="461"/>
      <c r="AH84" s="462" t="s">
        <v>707</v>
      </c>
      <c r="AI84" s="461">
        <v>0</v>
      </c>
      <c r="AJ84" s="461">
        <v>0</v>
      </c>
      <c r="AK84" s="364"/>
      <c r="AL84" s="364" t="s">
        <v>297</v>
      </c>
      <c r="AM84" s="490">
        <f t="shared" si="51"/>
        <v>6</v>
      </c>
      <c r="AN84" s="490">
        <f t="shared" si="52"/>
        <v>2021</v>
      </c>
      <c r="AO84" s="490">
        <f t="shared" si="57"/>
        <v>2033</v>
      </c>
      <c r="AP84" s="510">
        <f t="shared" si="53"/>
        <v>2033.5</v>
      </c>
      <c r="AQ84" s="351">
        <f t="shared" si="54"/>
        <v>241.21319444444441</v>
      </c>
      <c r="AR84" s="351">
        <f t="shared" si="55"/>
        <v>2894.5583333333329</v>
      </c>
      <c r="AS84" s="351">
        <f t="shared" si="58"/>
        <v>2894.5583333333329</v>
      </c>
      <c r="AT84" s="351">
        <f t="shared" si="59"/>
        <v>2894.5583333333329</v>
      </c>
      <c r="AU84" s="351">
        <f t="shared" si="56"/>
        <v>5789.1166666666659</v>
      </c>
      <c r="AV84" s="351">
        <f t="shared" si="60"/>
        <v>28945.583333333332</v>
      </c>
      <c r="AW84" s="491" t="s">
        <v>339</v>
      </c>
      <c r="AX84" s="364"/>
      <c r="AY84" s="364"/>
      <c r="AZ84" s="364"/>
      <c r="BA84" s="364"/>
      <c r="BB84" s="364"/>
      <c r="BC84" s="364"/>
      <c r="BD84" s="364"/>
      <c r="BE84" s="364"/>
      <c r="BF84" s="364"/>
      <c r="BG84" s="364"/>
      <c r="BH84" s="364"/>
      <c r="BI84" s="364"/>
      <c r="BJ84" s="364"/>
      <c r="BK84" s="364"/>
      <c r="BL84" s="364"/>
      <c r="BM84" s="364"/>
      <c r="BN84" s="364"/>
      <c r="BO84" s="364"/>
      <c r="BP84" s="364"/>
      <c r="BQ84" s="364"/>
      <c r="BR84" s="364"/>
      <c r="BS84" s="364"/>
      <c r="BT84" s="364"/>
      <c r="BU84" s="364"/>
      <c r="BV84" s="364"/>
      <c r="BW84" s="364"/>
      <c r="BX84" s="364"/>
      <c r="BY84" s="364"/>
      <c r="BZ84" s="364"/>
      <c r="CA84" s="364"/>
      <c r="CB84" s="364"/>
      <c r="CC84" s="364"/>
      <c r="CD84" s="364"/>
      <c r="CE84" s="364"/>
      <c r="CF84" s="364"/>
      <c r="CG84" s="364"/>
      <c r="CH84" s="364"/>
      <c r="CI84" s="364"/>
      <c r="CJ84" s="364"/>
      <c r="CK84" s="364"/>
      <c r="CL84" s="364"/>
      <c r="CM84" s="364"/>
      <c r="CN84" s="364"/>
      <c r="CO84" s="364"/>
      <c r="CP84" s="364"/>
      <c r="CQ84" s="364"/>
      <c r="CR84" s="364"/>
      <c r="CS84" s="364"/>
      <c r="CT84" s="364"/>
      <c r="CU84" s="364"/>
      <c r="CV84" s="364"/>
      <c r="CW84" s="364"/>
      <c r="CX84" s="364"/>
      <c r="CY84" s="364"/>
      <c r="CZ84" s="364"/>
      <c r="DA84" s="364"/>
      <c r="DB84" s="364"/>
      <c r="DC84" s="364"/>
      <c r="DD84" s="364"/>
      <c r="DE84" s="364"/>
      <c r="DF84" s="364"/>
      <c r="DG84" s="364"/>
      <c r="DH84" s="364"/>
      <c r="DI84" s="364"/>
      <c r="DJ84" s="364"/>
      <c r="DK84" s="364"/>
      <c r="DL84" s="364"/>
      <c r="DM84" s="364"/>
      <c r="DN84" s="364"/>
      <c r="DO84" s="364"/>
      <c r="DP84" s="364"/>
      <c r="DQ84" s="364"/>
      <c r="DR84" s="364"/>
      <c r="DS84" s="364"/>
      <c r="DT84" s="364"/>
      <c r="DU84" s="364"/>
      <c r="DV84" s="364"/>
      <c r="DW84" s="364"/>
      <c r="DX84" s="364"/>
      <c r="DY84" s="364"/>
    </row>
    <row r="85" spans="2:129" s="468" customFormat="1" x14ac:dyDescent="0.25">
      <c r="B85" s="469">
        <v>2032</v>
      </c>
      <c r="C85" s="466">
        <v>259731</v>
      </c>
      <c r="D85" s="462" t="s">
        <v>701</v>
      </c>
      <c r="E85" s="461" t="s">
        <v>1149</v>
      </c>
      <c r="F85" s="462"/>
      <c r="G85" s="461"/>
      <c r="H85" s="461" t="s">
        <v>1176</v>
      </c>
      <c r="I85" s="461"/>
      <c r="J85" s="461">
        <v>2021</v>
      </c>
      <c r="K85" s="461"/>
      <c r="L85" s="461"/>
      <c r="M85" s="461" t="s">
        <v>798</v>
      </c>
      <c r="N85" s="465">
        <v>44469</v>
      </c>
      <c r="O85" s="465">
        <v>44469</v>
      </c>
      <c r="P85" s="461" t="s">
        <v>1175</v>
      </c>
      <c r="Q85" s="462">
        <v>1000</v>
      </c>
      <c r="R85" s="462">
        <v>14040</v>
      </c>
      <c r="S85" s="512">
        <v>383395.06</v>
      </c>
      <c r="T85" s="462">
        <v>14046</v>
      </c>
      <c r="U85" s="505">
        <v>41534.47</v>
      </c>
      <c r="V85" s="505">
        <f t="shared" si="61"/>
        <v>341860.58999999997</v>
      </c>
      <c r="W85" s="509">
        <v>31949.59</v>
      </c>
      <c r="X85" s="462">
        <v>51260</v>
      </c>
      <c r="Y85" s="505">
        <v>3194.96</v>
      </c>
      <c r="Z85" s="461" t="s">
        <v>701</v>
      </c>
      <c r="AA85" s="461"/>
      <c r="AB85" s="461"/>
      <c r="AC85" s="461"/>
      <c r="AD85" s="461" t="s">
        <v>705</v>
      </c>
      <c r="AE85" s="461" t="s">
        <v>703</v>
      </c>
      <c r="AF85" s="462" t="s">
        <v>351</v>
      </c>
      <c r="AG85" s="461"/>
      <c r="AH85" s="462" t="s">
        <v>707</v>
      </c>
      <c r="AI85" s="461">
        <v>0</v>
      </c>
      <c r="AJ85" s="461">
        <v>0</v>
      </c>
      <c r="AK85" s="364"/>
      <c r="AL85" s="540" t="s">
        <v>742</v>
      </c>
      <c r="AM85" s="490">
        <f t="shared" si="51"/>
        <v>9</v>
      </c>
      <c r="AN85" s="490">
        <f t="shared" si="52"/>
        <v>2021</v>
      </c>
      <c r="AO85" s="490">
        <f t="shared" si="57"/>
        <v>2031</v>
      </c>
      <c r="AP85" s="510">
        <f t="shared" si="53"/>
        <v>2031.75</v>
      </c>
      <c r="AQ85" s="351">
        <f t="shared" si="54"/>
        <v>3194.9588333333336</v>
      </c>
      <c r="AR85" s="351">
        <f t="shared" si="55"/>
        <v>38339.506000000001</v>
      </c>
      <c r="AS85" s="351">
        <f t="shared" si="58"/>
        <v>38339.506000000001</v>
      </c>
      <c r="AT85" s="351">
        <f t="shared" si="59"/>
        <v>38339.506000000001</v>
      </c>
      <c r="AU85" s="351">
        <f t="shared" si="56"/>
        <v>76679.012000000002</v>
      </c>
      <c r="AV85" s="351">
        <f t="shared" si="60"/>
        <v>306716.04800000001</v>
      </c>
      <c r="AW85" s="491" t="s">
        <v>339</v>
      </c>
      <c r="AX85" s="364"/>
      <c r="AY85" s="364"/>
      <c r="AZ85" s="364"/>
      <c r="BA85" s="364"/>
      <c r="BB85" s="364"/>
      <c r="BC85" s="364"/>
      <c r="BD85" s="364"/>
      <c r="BE85" s="364"/>
      <c r="BF85" s="364"/>
      <c r="BG85" s="364"/>
      <c r="BH85" s="364"/>
      <c r="BI85" s="364"/>
      <c r="BJ85" s="364"/>
      <c r="BK85" s="364"/>
      <c r="BL85" s="364"/>
      <c r="BM85" s="364"/>
      <c r="BN85" s="364"/>
      <c r="BO85" s="364"/>
      <c r="BP85" s="364"/>
      <c r="BQ85" s="364"/>
      <c r="BR85" s="364"/>
      <c r="BS85" s="364"/>
      <c r="BT85" s="364"/>
      <c r="BU85" s="364"/>
      <c r="BV85" s="364"/>
      <c r="BW85" s="364"/>
      <c r="BX85" s="364"/>
      <c r="BY85" s="364"/>
      <c r="BZ85" s="364"/>
      <c r="CA85" s="364"/>
      <c r="CB85" s="364"/>
      <c r="CC85" s="364"/>
      <c r="CD85" s="364"/>
      <c r="CE85" s="364"/>
      <c r="CF85" s="364"/>
      <c r="CG85" s="364"/>
      <c r="CH85" s="364"/>
      <c r="CI85" s="364"/>
      <c r="CJ85" s="364"/>
      <c r="CK85" s="364"/>
      <c r="CL85" s="364"/>
      <c r="CM85" s="364"/>
      <c r="CN85" s="364"/>
      <c r="CO85" s="364"/>
      <c r="CP85" s="364"/>
      <c r="CQ85" s="364"/>
      <c r="CR85" s="364"/>
      <c r="CS85" s="364"/>
      <c r="CT85" s="364"/>
      <c r="CU85" s="364"/>
      <c r="CV85" s="364"/>
      <c r="CW85" s="364"/>
      <c r="CX85" s="364"/>
      <c r="CY85" s="364"/>
      <c r="CZ85" s="364"/>
      <c r="DA85" s="364"/>
      <c r="DB85" s="364"/>
      <c r="DC85" s="364"/>
      <c r="DD85" s="364"/>
      <c r="DE85" s="364"/>
      <c r="DF85" s="364"/>
      <c r="DG85" s="364"/>
      <c r="DH85" s="364"/>
      <c r="DI85" s="364"/>
      <c r="DJ85" s="364"/>
      <c r="DK85" s="364"/>
      <c r="DL85" s="364"/>
      <c r="DM85" s="364"/>
      <c r="DN85" s="364"/>
      <c r="DO85" s="364"/>
      <c r="DP85" s="364"/>
      <c r="DQ85" s="364"/>
      <c r="DR85" s="364"/>
      <c r="DS85" s="364"/>
      <c r="DT85" s="364"/>
      <c r="DU85" s="364"/>
      <c r="DV85" s="364"/>
      <c r="DW85" s="364"/>
      <c r="DX85" s="364"/>
      <c r="DY85" s="364"/>
    </row>
    <row r="86" spans="2:129" s="468" customFormat="1" x14ac:dyDescent="0.25">
      <c r="B86" s="469">
        <v>2032</v>
      </c>
      <c r="C86" s="466">
        <v>259730</v>
      </c>
      <c r="D86" s="462" t="s">
        <v>701</v>
      </c>
      <c r="E86" s="461" t="s">
        <v>1149</v>
      </c>
      <c r="F86" s="462"/>
      <c r="G86" s="461"/>
      <c r="H86" s="461" t="s">
        <v>1174</v>
      </c>
      <c r="I86" s="461"/>
      <c r="J86" s="461">
        <v>2021</v>
      </c>
      <c r="K86" s="461"/>
      <c r="L86" s="461"/>
      <c r="M86" s="461" t="s">
        <v>798</v>
      </c>
      <c r="N86" s="465">
        <v>44469</v>
      </c>
      <c r="O86" s="465">
        <v>44469</v>
      </c>
      <c r="P86" s="461" t="s">
        <v>1173</v>
      </c>
      <c r="Q86" s="462">
        <v>1000</v>
      </c>
      <c r="R86" s="462">
        <v>14040</v>
      </c>
      <c r="S86" s="512">
        <v>388059.29</v>
      </c>
      <c r="T86" s="462">
        <v>14046</v>
      </c>
      <c r="U86" s="505">
        <v>42039.76</v>
      </c>
      <c r="V86" s="505">
        <f t="shared" si="61"/>
        <v>346019.52999999997</v>
      </c>
      <c r="W86" s="509">
        <v>32338.28</v>
      </c>
      <c r="X86" s="462">
        <v>51260</v>
      </c>
      <c r="Y86" s="505">
        <v>3233.83</v>
      </c>
      <c r="Z86" s="461" t="s">
        <v>701</v>
      </c>
      <c r="AA86" s="461"/>
      <c r="AB86" s="461"/>
      <c r="AC86" s="461"/>
      <c r="AD86" s="461" t="s">
        <v>705</v>
      </c>
      <c r="AE86" s="461" t="s">
        <v>703</v>
      </c>
      <c r="AF86" s="462" t="s">
        <v>351</v>
      </c>
      <c r="AG86" s="461"/>
      <c r="AH86" s="462" t="s">
        <v>707</v>
      </c>
      <c r="AI86" s="461">
        <v>0</v>
      </c>
      <c r="AJ86" s="461">
        <v>0</v>
      </c>
      <c r="AK86" s="364"/>
      <c r="AL86" s="540" t="s">
        <v>742</v>
      </c>
      <c r="AM86" s="490">
        <f t="shared" si="51"/>
        <v>9</v>
      </c>
      <c r="AN86" s="490">
        <f t="shared" si="52"/>
        <v>2021</v>
      </c>
      <c r="AO86" s="490">
        <f t="shared" si="57"/>
        <v>2031</v>
      </c>
      <c r="AP86" s="510">
        <f t="shared" si="53"/>
        <v>2031.75</v>
      </c>
      <c r="AQ86" s="351">
        <f t="shared" si="54"/>
        <v>3233.8274166666665</v>
      </c>
      <c r="AR86" s="351">
        <f t="shared" si="55"/>
        <v>38805.928999999996</v>
      </c>
      <c r="AS86" s="351">
        <f t="shared" si="58"/>
        <v>38805.928999999996</v>
      </c>
      <c r="AT86" s="351">
        <f t="shared" si="59"/>
        <v>38805.928999999996</v>
      </c>
      <c r="AU86" s="351">
        <f t="shared" si="56"/>
        <v>77611.857999999993</v>
      </c>
      <c r="AV86" s="351">
        <f t="shared" si="60"/>
        <v>310447.43199999997</v>
      </c>
      <c r="AW86" s="491" t="s">
        <v>339</v>
      </c>
      <c r="AX86" s="364"/>
      <c r="AY86" s="364"/>
      <c r="AZ86" s="364"/>
      <c r="BA86" s="364"/>
      <c r="BB86" s="364"/>
      <c r="BC86" s="364"/>
      <c r="BD86" s="364"/>
      <c r="BE86" s="364"/>
      <c r="BF86" s="364"/>
      <c r="BG86" s="364"/>
      <c r="BH86" s="364"/>
      <c r="BI86" s="364"/>
      <c r="BJ86" s="364"/>
      <c r="BK86" s="364"/>
      <c r="BL86" s="364"/>
      <c r="BM86" s="364"/>
      <c r="BN86" s="364"/>
      <c r="BO86" s="364"/>
      <c r="BP86" s="364"/>
      <c r="BQ86" s="364"/>
      <c r="BR86" s="364"/>
      <c r="BS86" s="364"/>
      <c r="BT86" s="364"/>
      <c r="BU86" s="364"/>
      <c r="BV86" s="364"/>
      <c r="BW86" s="364"/>
      <c r="BX86" s="364"/>
      <c r="BY86" s="364"/>
      <c r="BZ86" s="364"/>
      <c r="CA86" s="364"/>
      <c r="CB86" s="364"/>
      <c r="CC86" s="364"/>
      <c r="CD86" s="364"/>
      <c r="CE86" s="364"/>
      <c r="CF86" s="364"/>
      <c r="CG86" s="364"/>
      <c r="CH86" s="364"/>
      <c r="CI86" s="364"/>
      <c r="CJ86" s="364"/>
      <c r="CK86" s="364"/>
      <c r="CL86" s="364"/>
      <c r="CM86" s="364"/>
      <c r="CN86" s="364"/>
      <c r="CO86" s="364"/>
      <c r="CP86" s="364"/>
      <c r="CQ86" s="364"/>
      <c r="CR86" s="364"/>
      <c r="CS86" s="364"/>
      <c r="CT86" s="364"/>
      <c r="CU86" s="364"/>
      <c r="CV86" s="364"/>
      <c r="CW86" s="364"/>
      <c r="CX86" s="364"/>
      <c r="CY86" s="364"/>
      <c r="CZ86" s="364"/>
      <c r="DA86" s="364"/>
      <c r="DB86" s="364"/>
      <c r="DC86" s="364"/>
      <c r="DD86" s="364"/>
      <c r="DE86" s="364"/>
      <c r="DF86" s="364"/>
      <c r="DG86" s="364"/>
      <c r="DH86" s="364"/>
      <c r="DI86" s="364"/>
      <c r="DJ86" s="364"/>
      <c r="DK86" s="364"/>
      <c r="DL86" s="364"/>
      <c r="DM86" s="364"/>
      <c r="DN86" s="364"/>
      <c r="DO86" s="364"/>
      <c r="DP86" s="364"/>
      <c r="DQ86" s="364"/>
      <c r="DR86" s="364"/>
      <c r="DS86" s="364"/>
      <c r="DT86" s="364"/>
      <c r="DU86" s="364"/>
      <c r="DV86" s="364"/>
      <c r="DW86" s="364"/>
      <c r="DX86" s="364"/>
      <c r="DY86" s="364"/>
    </row>
    <row r="87" spans="2:129" s="468" customFormat="1" x14ac:dyDescent="0.25">
      <c r="B87" s="469">
        <v>2032</v>
      </c>
      <c r="C87" s="466">
        <v>259729</v>
      </c>
      <c r="D87" s="462" t="s">
        <v>701</v>
      </c>
      <c r="E87" s="461" t="s">
        <v>1149</v>
      </c>
      <c r="F87" s="462"/>
      <c r="G87" s="461"/>
      <c r="H87" s="461" t="s">
        <v>1172</v>
      </c>
      <c r="I87" s="461"/>
      <c r="J87" s="461">
        <v>2021</v>
      </c>
      <c r="K87" s="461"/>
      <c r="L87" s="461"/>
      <c r="M87" s="461" t="s">
        <v>798</v>
      </c>
      <c r="N87" s="465">
        <v>44469</v>
      </c>
      <c r="O87" s="465">
        <v>44469</v>
      </c>
      <c r="P87" s="461" t="s">
        <v>1171</v>
      </c>
      <c r="Q87" s="462">
        <v>1000</v>
      </c>
      <c r="R87" s="462">
        <v>14040</v>
      </c>
      <c r="S87" s="512">
        <v>388059.28</v>
      </c>
      <c r="T87" s="462">
        <v>14046</v>
      </c>
      <c r="U87" s="505">
        <v>42039.76</v>
      </c>
      <c r="V87" s="505">
        <f t="shared" si="61"/>
        <v>346019.52</v>
      </c>
      <c r="W87" s="509">
        <v>32338.28</v>
      </c>
      <c r="X87" s="462">
        <v>51260</v>
      </c>
      <c r="Y87" s="505">
        <v>3233.83</v>
      </c>
      <c r="Z87" s="461" t="s">
        <v>701</v>
      </c>
      <c r="AA87" s="461"/>
      <c r="AB87" s="461"/>
      <c r="AC87" s="461"/>
      <c r="AD87" s="461" t="s">
        <v>705</v>
      </c>
      <c r="AE87" s="461" t="s">
        <v>703</v>
      </c>
      <c r="AF87" s="462" t="s">
        <v>351</v>
      </c>
      <c r="AG87" s="461"/>
      <c r="AH87" s="462" t="s">
        <v>707</v>
      </c>
      <c r="AI87" s="461">
        <v>0</v>
      </c>
      <c r="AJ87" s="461">
        <v>0</v>
      </c>
      <c r="AK87" s="364"/>
      <c r="AL87" s="520" t="s">
        <v>1547</v>
      </c>
      <c r="AM87" s="490">
        <f t="shared" si="51"/>
        <v>9</v>
      </c>
      <c r="AN87" s="490">
        <f t="shared" si="52"/>
        <v>2021</v>
      </c>
      <c r="AO87" s="490">
        <f t="shared" si="57"/>
        <v>2031</v>
      </c>
      <c r="AP87" s="510">
        <f t="shared" si="53"/>
        <v>2031.75</v>
      </c>
      <c r="AQ87" s="351">
        <f t="shared" si="54"/>
        <v>3233.8273333333332</v>
      </c>
      <c r="AR87" s="351">
        <f t="shared" si="55"/>
        <v>38805.928</v>
      </c>
      <c r="AS87" s="351">
        <f t="shared" si="58"/>
        <v>38805.928</v>
      </c>
      <c r="AT87" s="351">
        <f t="shared" si="59"/>
        <v>38805.928</v>
      </c>
      <c r="AU87" s="351">
        <f t="shared" si="56"/>
        <v>77611.856</v>
      </c>
      <c r="AV87" s="351">
        <f t="shared" si="60"/>
        <v>310447.424</v>
      </c>
      <c r="AW87" s="491" t="s">
        <v>339</v>
      </c>
      <c r="AX87" s="364"/>
      <c r="AY87" s="364"/>
      <c r="AZ87" s="364"/>
      <c r="BA87" s="364"/>
      <c r="BB87" s="364"/>
      <c r="BC87" s="364"/>
      <c r="BD87" s="364"/>
      <c r="BE87" s="364"/>
      <c r="BF87" s="364"/>
      <c r="BG87" s="364"/>
      <c r="BH87" s="364"/>
      <c r="BI87" s="364"/>
      <c r="BJ87" s="364"/>
      <c r="BK87" s="364"/>
      <c r="BL87" s="364"/>
      <c r="BM87" s="364"/>
      <c r="BN87" s="364"/>
      <c r="BO87" s="364"/>
      <c r="BP87" s="364"/>
      <c r="BQ87" s="364"/>
      <c r="BR87" s="364"/>
      <c r="BS87" s="364"/>
      <c r="BT87" s="364"/>
      <c r="BU87" s="364"/>
      <c r="BV87" s="364"/>
      <c r="BW87" s="364"/>
      <c r="BX87" s="364"/>
      <c r="BY87" s="364"/>
      <c r="BZ87" s="364"/>
      <c r="CA87" s="364"/>
      <c r="CB87" s="364"/>
      <c r="CC87" s="364"/>
      <c r="CD87" s="364"/>
      <c r="CE87" s="364"/>
      <c r="CF87" s="364"/>
      <c r="CG87" s="364"/>
      <c r="CH87" s="364"/>
      <c r="CI87" s="364"/>
      <c r="CJ87" s="364"/>
      <c r="CK87" s="364"/>
      <c r="CL87" s="364"/>
      <c r="CM87" s="364"/>
      <c r="CN87" s="364"/>
      <c r="CO87" s="364"/>
      <c r="CP87" s="364"/>
      <c r="CQ87" s="364"/>
      <c r="CR87" s="364"/>
      <c r="CS87" s="364"/>
      <c r="CT87" s="364"/>
      <c r="CU87" s="364"/>
      <c r="CV87" s="364"/>
      <c r="CW87" s="364"/>
      <c r="CX87" s="364"/>
      <c r="CY87" s="364"/>
      <c r="CZ87" s="364"/>
      <c r="DA87" s="364"/>
      <c r="DB87" s="364"/>
      <c r="DC87" s="364"/>
      <c r="DD87" s="364"/>
      <c r="DE87" s="364"/>
      <c r="DF87" s="364"/>
      <c r="DG87" s="364"/>
      <c r="DH87" s="364"/>
      <c r="DI87" s="364"/>
      <c r="DJ87" s="364"/>
      <c r="DK87" s="364"/>
      <c r="DL87" s="364"/>
      <c r="DM87" s="364"/>
      <c r="DN87" s="364"/>
      <c r="DO87" s="364"/>
      <c r="DP87" s="364"/>
      <c r="DQ87" s="364"/>
      <c r="DR87" s="364"/>
      <c r="DS87" s="364"/>
      <c r="DT87" s="364"/>
      <c r="DU87" s="364"/>
      <c r="DV87" s="364"/>
      <c r="DW87" s="364"/>
      <c r="DX87" s="364"/>
      <c r="DY87" s="364"/>
    </row>
    <row r="88" spans="2:129" s="468" customFormat="1" x14ac:dyDescent="0.25">
      <c r="B88" s="469">
        <v>2032</v>
      </c>
      <c r="C88" s="466">
        <v>259728</v>
      </c>
      <c r="D88" s="462" t="s">
        <v>701</v>
      </c>
      <c r="E88" s="461" t="s">
        <v>1170</v>
      </c>
      <c r="F88" s="462"/>
      <c r="G88" s="461"/>
      <c r="H88" s="461" t="s">
        <v>1169</v>
      </c>
      <c r="I88" s="461"/>
      <c r="J88" s="461">
        <v>2022</v>
      </c>
      <c r="K88" s="461"/>
      <c r="L88" s="461"/>
      <c r="M88" s="461" t="s">
        <v>772</v>
      </c>
      <c r="N88" s="465">
        <v>44469</v>
      </c>
      <c r="O88" s="465">
        <v>44469</v>
      </c>
      <c r="P88" s="461" t="s">
        <v>1168</v>
      </c>
      <c r="Q88" s="462">
        <v>1000</v>
      </c>
      <c r="R88" s="462">
        <v>14040</v>
      </c>
      <c r="S88" s="512">
        <v>338721.9</v>
      </c>
      <c r="T88" s="462">
        <v>14046</v>
      </c>
      <c r="U88" s="505">
        <v>36694.879999999997</v>
      </c>
      <c r="V88" s="505">
        <f t="shared" si="61"/>
        <v>302027.02</v>
      </c>
      <c r="W88" s="509">
        <v>28226.83</v>
      </c>
      <c r="X88" s="462">
        <v>51260</v>
      </c>
      <c r="Y88" s="505">
        <v>2822.69</v>
      </c>
      <c r="Z88" s="461" t="s">
        <v>701</v>
      </c>
      <c r="AA88" s="461"/>
      <c r="AB88" s="461"/>
      <c r="AC88" s="461"/>
      <c r="AD88" s="461" t="s">
        <v>705</v>
      </c>
      <c r="AE88" s="461" t="s">
        <v>703</v>
      </c>
      <c r="AF88" s="462" t="s">
        <v>351</v>
      </c>
      <c r="AG88" s="461"/>
      <c r="AH88" s="462" t="s">
        <v>707</v>
      </c>
      <c r="AI88" s="461">
        <v>0</v>
      </c>
      <c r="AJ88" s="461">
        <v>0</v>
      </c>
      <c r="AK88" s="364"/>
      <c r="AL88" s="520" t="s">
        <v>1547</v>
      </c>
      <c r="AM88" s="490">
        <f t="shared" si="51"/>
        <v>9</v>
      </c>
      <c r="AN88" s="490">
        <f t="shared" si="52"/>
        <v>2021</v>
      </c>
      <c r="AO88" s="490">
        <f t="shared" si="57"/>
        <v>2031</v>
      </c>
      <c r="AP88" s="510">
        <f t="shared" si="53"/>
        <v>2031.75</v>
      </c>
      <c r="AQ88" s="351">
        <f t="shared" si="54"/>
        <v>2822.6825000000003</v>
      </c>
      <c r="AR88" s="351">
        <f t="shared" si="55"/>
        <v>33872.19</v>
      </c>
      <c r="AS88" s="351">
        <f t="shared" si="58"/>
        <v>33872.19</v>
      </c>
      <c r="AT88" s="351">
        <f t="shared" si="59"/>
        <v>33872.19</v>
      </c>
      <c r="AU88" s="351">
        <f t="shared" si="56"/>
        <v>67744.38</v>
      </c>
      <c r="AV88" s="351">
        <f t="shared" si="60"/>
        <v>270977.52</v>
      </c>
      <c r="AW88" s="491" t="s">
        <v>339</v>
      </c>
      <c r="AX88" s="364"/>
      <c r="AY88" s="364"/>
      <c r="AZ88" s="364"/>
      <c r="BA88" s="364"/>
      <c r="BB88" s="364"/>
      <c r="BC88" s="364"/>
      <c r="BD88" s="364"/>
      <c r="BE88" s="364"/>
      <c r="BF88" s="364"/>
      <c r="BG88" s="364"/>
      <c r="BH88" s="364"/>
      <c r="BI88" s="364"/>
      <c r="BJ88" s="364"/>
      <c r="BK88" s="364"/>
      <c r="BL88" s="364"/>
      <c r="BM88" s="364"/>
      <c r="BN88" s="364"/>
      <c r="BO88" s="364"/>
      <c r="BP88" s="364"/>
      <c r="BQ88" s="364"/>
      <c r="BR88" s="364"/>
      <c r="BS88" s="364"/>
      <c r="BT88" s="364"/>
      <c r="BU88" s="364"/>
      <c r="BV88" s="364"/>
      <c r="BW88" s="364"/>
      <c r="BX88" s="364"/>
      <c r="BY88" s="364"/>
      <c r="BZ88" s="364"/>
      <c r="CA88" s="364"/>
      <c r="CB88" s="364"/>
      <c r="CC88" s="364"/>
      <c r="CD88" s="364"/>
      <c r="CE88" s="364"/>
      <c r="CF88" s="364"/>
      <c r="CG88" s="364"/>
      <c r="CH88" s="364"/>
      <c r="CI88" s="364"/>
      <c r="CJ88" s="364"/>
      <c r="CK88" s="364"/>
      <c r="CL88" s="364"/>
      <c r="CM88" s="364"/>
      <c r="CN88" s="364"/>
      <c r="CO88" s="364"/>
      <c r="CP88" s="364"/>
      <c r="CQ88" s="364"/>
      <c r="CR88" s="364"/>
      <c r="CS88" s="364"/>
      <c r="CT88" s="364"/>
      <c r="CU88" s="364"/>
      <c r="CV88" s="364"/>
      <c r="CW88" s="364"/>
      <c r="CX88" s="364"/>
      <c r="CY88" s="364"/>
      <c r="CZ88" s="364"/>
      <c r="DA88" s="364"/>
      <c r="DB88" s="364"/>
      <c r="DC88" s="364"/>
      <c r="DD88" s="364"/>
      <c r="DE88" s="364"/>
      <c r="DF88" s="364"/>
      <c r="DG88" s="364"/>
      <c r="DH88" s="364"/>
      <c r="DI88" s="364"/>
      <c r="DJ88" s="364"/>
      <c r="DK88" s="364"/>
      <c r="DL88" s="364"/>
      <c r="DM88" s="364"/>
      <c r="DN88" s="364"/>
      <c r="DO88" s="364"/>
      <c r="DP88" s="364"/>
      <c r="DQ88" s="364"/>
      <c r="DR88" s="364"/>
      <c r="DS88" s="364"/>
      <c r="DT88" s="364"/>
      <c r="DU88" s="364"/>
      <c r="DV88" s="364"/>
      <c r="DW88" s="364"/>
      <c r="DX88" s="364"/>
      <c r="DY88" s="364"/>
    </row>
    <row r="89" spans="2:129" s="468" customFormat="1" x14ac:dyDescent="0.25">
      <c r="B89" s="469">
        <v>2032</v>
      </c>
      <c r="C89" s="466">
        <v>259340</v>
      </c>
      <c r="D89" s="462">
        <v>255504</v>
      </c>
      <c r="E89" s="461" t="s">
        <v>1167</v>
      </c>
      <c r="F89" s="462"/>
      <c r="G89" s="461"/>
      <c r="H89" s="461"/>
      <c r="I89" s="461"/>
      <c r="J89" s="461">
        <v>0</v>
      </c>
      <c r="K89" s="461" t="s">
        <v>1166</v>
      </c>
      <c r="L89" s="461"/>
      <c r="M89" s="461" t="s">
        <v>962</v>
      </c>
      <c r="N89" s="465">
        <v>44377</v>
      </c>
      <c r="O89" s="465">
        <v>44377</v>
      </c>
      <c r="P89" s="461" t="s">
        <v>1163</v>
      </c>
      <c r="Q89" s="462">
        <v>1000</v>
      </c>
      <c r="R89" s="462">
        <v>14040</v>
      </c>
      <c r="S89" s="512">
        <v>5150</v>
      </c>
      <c r="T89" s="462">
        <v>14046</v>
      </c>
      <c r="U89" s="505">
        <v>686.67</v>
      </c>
      <c r="V89" s="505">
        <f t="shared" si="61"/>
        <v>4463.33</v>
      </c>
      <c r="W89" s="509">
        <v>429.17</v>
      </c>
      <c r="X89" s="462">
        <v>51260</v>
      </c>
      <c r="Y89" s="505">
        <v>42.92</v>
      </c>
      <c r="Z89" s="461" t="s">
        <v>701</v>
      </c>
      <c r="AA89" s="461"/>
      <c r="AB89" s="461">
        <v>129520635</v>
      </c>
      <c r="AC89" s="461"/>
      <c r="AD89" s="461" t="s">
        <v>705</v>
      </c>
      <c r="AE89" s="461" t="s">
        <v>703</v>
      </c>
      <c r="AF89" s="462" t="s">
        <v>351</v>
      </c>
      <c r="AG89" s="461"/>
      <c r="AH89" s="462" t="s">
        <v>707</v>
      </c>
      <c r="AI89" s="461">
        <v>0</v>
      </c>
      <c r="AJ89" s="461">
        <v>0</v>
      </c>
      <c r="AK89" s="364"/>
      <c r="AL89" s="364" t="s">
        <v>741</v>
      </c>
      <c r="AM89" s="490">
        <f t="shared" si="51"/>
        <v>6</v>
      </c>
      <c r="AN89" s="490">
        <f t="shared" si="52"/>
        <v>2021</v>
      </c>
      <c r="AO89" s="490">
        <f t="shared" si="57"/>
        <v>2031</v>
      </c>
      <c r="AP89" s="510">
        <f t="shared" si="53"/>
        <v>2031.5</v>
      </c>
      <c r="AQ89" s="351">
        <f t="shared" si="54"/>
        <v>42.916666666666664</v>
      </c>
      <c r="AR89" s="351">
        <f t="shared" si="55"/>
        <v>515</v>
      </c>
      <c r="AS89" s="351">
        <f t="shared" si="58"/>
        <v>515</v>
      </c>
      <c r="AT89" s="351">
        <f t="shared" si="59"/>
        <v>515</v>
      </c>
      <c r="AU89" s="351">
        <f t="shared" si="56"/>
        <v>1030</v>
      </c>
      <c r="AV89" s="351">
        <f t="shared" si="60"/>
        <v>4120</v>
      </c>
      <c r="AW89" s="491" t="s">
        <v>339</v>
      </c>
      <c r="AX89" s="364"/>
      <c r="AY89" s="364"/>
      <c r="AZ89" s="364"/>
      <c r="BA89" s="364"/>
      <c r="BB89" s="364"/>
      <c r="BC89" s="364"/>
      <c r="BD89" s="364"/>
      <c r="BE89" s="364"/>
      <c r="BF89" s="364"/>
      <c r="BG89" s="364"/>
      <c r="BH89" s="364"/>
      <c r="BI89" s="364"/>
      <c r="BJ89" s="364"/>
      <c r="BK89" s="364"/>
      <c r="BL89" s="364"/>
      <c r="BM89" s="364"/>
      <c r="BN89" s="364"/>
      <c r="BO89" s="364"/>
      <c r="BP89" s="364"/>
      <c r="BQ89" s="364"/>
      <c r="BR89" s="364"/>
      <c r="BS89" s="364"/>
      <c r="BT89" s="364"/>
      <c r="BU89" s="364"/>
      <c r="BV89" s="364"/>
      <c r="BW89" s="364"/>
      <c r="BX89" s="364"/>
      <c r="BY89" s="364"/>
      <c r="BZ89" s="364"/>
      <c r="CA89" s="364"/>
      <c r="CB89" s="364"/>
      <c r="CC89" s="364"/>
      <c r="CD89" s="364"/>
      <c r="CE89" s="364"/>
      <c r="CF89" s="364"/>
      <c r="CG89" s="364"/>
      <c r="CH89" s="364"/>
      <c r="CI89" s="364"/>
      <c r="CJ89" s="364"/>
      <c r="CK89" s="364"/>
      <c r="CL89" s="364"/>
      <c r="CM89" s="364"/>
      <c r="CN89" s="364"/>
      <c r="CO89" s="364"/>
      <c r="CP89" s="364"/>
      <c r="CQ89" s="364"/>
      <c r="CR89" s="364"/>
      <c r="CS89" s="364"/>
      <c r="CT89" s="364"/>
      <c r="CU89" s="364"/>
      <c r="CV89" s="364"/>
      <c r="CW89" s="364"/>
      <c r="CX89" s="364"/>
      <c r="CY89" s="364"/>
      <c r="CZ89" s="364"/>
      <c r="DA89" s="364"/>
      <c r="DB89" s="364"/>
      <c r="DC89" s="364"/>
      <c r="DD89" s="364"/>
      <c r="DE89" s="364"/>
      <c r="DF89" s="364"/>
      <c r="DG89" s="364"/>
      <c r="DH89" s="364"/>
      <c r="DI89" s="364"/>
      <c r="DJ89" s="364"/>
      <c r="DK89" s="364"/>
      <c r="DL89" s="364"/>
      <c r="DM89" s="364"/>
      <c r="DN89" s="364"/>
      <c r="DO89" s="364"/>
      <c r="DP89" s="364"/>
      <c r="DQ89" s="364"/>
      <c r="DR89" s="364"/>
      <c r="DS89" s="364"/>
      <c r="DT89" s="364"/>
      <c r="DU89" s="364"/>
      <c r="DV89" s="364"/>
      <c r="DW89" s="364"/>
      <c r="DX89" s="364"/>
      <c r="DY89" s="364"/>
    </row>
    <row r="90" spans="2:129" s="468" customFormat="1" x14ac:dyDescent="0.25">
      <c r="B90" s="469">
        <v>2032</v>
      </c>
      <c r="C90" s="466">
        <v>259339</v>
      </c>
      <c r="D90" s="462">
        <v>255504</v>
      </c>
      <c r="E90" s="461" t="s">
        <v>1167</v>
      </c>
      <c r="F90" s="462"/>
      <c r="G90" s="461"/>
      <c r="H90" s="461"/>
      <c r="I90" s="461"/>
      <c r="J90" s="461">
        <v>0</v>
      </c>
      <c r="K90" s="461" t="s">
        <v>1166</v>
      </c>
      <c r="L90" s="461"/>
      <c r="M90" s="461" t="s">
        <v>962</v>
      </c>
      <c r="N90" s="465">
        <v>44377</v>
      </c>
      <c r="O90" s="465">
        <v>44377</v>
      </c>
      <c r="P90" s="461" t="s">
        <v>1163</v>
      </c>
      <c r="Q90" s="462">
        <v>1000</v>
      </c>
      <c r="R90" s="462">
        <v>14040</v>
      </c>
      <c r="S90" s="512">
        <v>1975.72</v>
      </c>
      <c r="T90" s="462">
        <v>14046</v>
      </c>
      <c r="U90" s="505">
        <v>263.43</v>
      </c>
      <c r="V90" s="505">
        <f t="shared" si="61"/>
        <v>1712.29</v>
      </c>
      <c r="W90" s="509">
        <v>164.64</v>
      </c>
      <c r="X90" s="462">
        <v>51260</v>
      </c>
      <c r="Y90" s="505">
        <v>16.46</v>
      </c>
      <c r="Z90" s="461" t="s">
        <v>701</v>
      </c>
      <c r="AA90" s="461"/>
      <c r="AB90" s="461">
        <v>129520711</v>
      </c>
      <c r="AC90" s="461"/>
      <c r="AD90" s="461" t="s">
        <v>705</v>
      </c>
      <c r="AE90" s="461" t="s">
        <v>703</v>
      </c>
      <c r="AF90" s="462" t="s">
        <v>351</v>
      </c>
      <c r="AG90" s="461"/>
      <c r="AH90" s="462" t="s">
        <v>707</v>
      </c>
      <c r="AI90" s="461">
        <v>0</v>
      </c>
      <c r="AJ90" s="461">
        <v>0</v>
      </c>
      <c r="AK90" s="364"/>
      <c r="AL90" s="364" t="s">
        <v>741</v>
      </c>
      <c r="AM90" s="490">
        <f t="shared" si="51"/>
        <v>6</v>
      </c>
      <c r="AN90" s="490">
        <f t="shared" si="52"/>
        <v>2021</v>
      </c>
      <c r="AO90" s="490">
        <f t="shared" si="57"/>
        <v>2031</v>
      </c>
      <c r="AP90" s="510">
        <f t="shared" si="53"/>
        <v>2031.5</v>
      </c>
      <c r="AQ90" s="351">
        <f t="shared" si="54"/>
        <v>16.464333333333332</v>
      </c>
      <c r="AR90" s="351">
        <f t="shared" si="55"/>
        <v>197.572</v>
      </c>
      <c r="AS90" s="351">
        <f t="shared" si="58"/>
        <v>197.572</v>
      </c>
      <c r="AT90" s="351">
        <f t="shared" si="59"/>
        <v>197.572</v>
      </c>
      <c r="AU90" s="351">
        <f t="shared" si="56"/>
        <v>395.14400000000001</v>
      </c>
      <c r="AV90" s="351">
        <f t="shared" si="60"/>
        <v>1580.576</v>
      </c>
      <c r="AW90" s="491" t="s">
        <v>339</v>
      </c>
      <c r="AX90" s="364"/>
      <c r="AY90" s="364"/>
      <c r="AZ90" s="364"/>
      <c r="BA90" s="364"/>
      <c r="BB90" s="364"/>
      <c r="BC90" s="364"/>
      <c r="BD90" s="364"/>
      <c r="BE90" s="364"/>
      <c r="BF90" s="364"/>
      <c r="BG90" s="364"/>
      <c r="BH90" s="364"/>
      <c r="BI90" s="364"/>
      <c r="BJ90" s="364"/>
      <c r="BK90" s="364"/>
      <c r="BL90" s="364"/>
      <c r="BM90" s="364"/>
      <c r="BN90" s="364"/>
      <c r="BO90" s="364"/>
      <c r="BP90" s="364"/>
      <c r="BQ90" s="364"/>
      <c r="BR90" s="364"/>
      <c r="BS90" s="364"/>
      <c r="BT90" s="364"/>
      <c r="BU90" s="364"/>
      <c r="BV90" s="364"/>
      <c r="BW90" s="364"/>
      <c r="BX90" s="364"/>
      <c r="BY90" s="364"/>
      <c r="BZ90" s="364"/>
      <c r="CA90" s="364"/>
      <c r="CB90" s="364"/>
      <c r="CC90" s="364"/>
      <c r="CD90" s="364"/>
      <c r="CE90" s="364"/>
      <c r="CF90" s="364"/>
      <c r="CG90" s="364"/>
      <c r="CH90" s="364"/>
      <c r="CI90" s="364"/>
      <c r="CJ90" s="364"/>
      <c r="CK90" s="364"/>
      <c r="CL90" s="364"/>
      <c r="CM90" s="364"/>
      <c r="CN90" s="364"/>
      <c r="CO90" s="364"/>
      <c r="CP90" s="364"/>
      <c r="CQ90" s="364"/>
      <c r="CR90" s="364"/>
      <c r="CS90" s="364"/>
      <c r="CT90" s="364"/>
      <c r="CU90" s="364"/>
      <c r="CV90" s="364"/>
      <c r="CW90" s="364"/>
      <c r="CX90" s="364"/>
      <c r="CY90" s="364"/>
      <c r="CZ90" s="364"/>
      <c r="DA90" s="364"/>
      <c r="DB90" s="364"/>
      <c r="DC90" s="364"/>
      <c r="DD90" s="364"/>
      <c r="DE90" s="364"/>
      <c r="DF90" s="364"/>
      <c r="DG90" s="364"/>
      <c r="DH90" s="364"/>
      <c r="DI90" s="364"/>
      <c r="DJ90" s="364"/>
      <c r="DK90" s="364"/>
      <c r="DL90" s="364"/>
      <c r="DM90" s="364"/>
      <c r="DN90" s="364"/>
      <c r="DO90" s="364"/>
      <c r="DP90" s="364"/>
      <c r="DQ90" s="364"/>
      <c r="DR90" s="364"/>
      <c r="DS90" s="364"/>
      <c r="DT90" s="364"/>
      <c r="DU90" s="364"/>
      <c r="DV90" s="364"/>
      <c r="DW90" s="364"/>
      <c r="DX90" s="364"/>
      <c r="DY90" s="364"/>
    </row>
    <row r="91" spans="2:129" s="468" customFormat="1" x14ac:dyDescent="0.25">
      <c r="B91" s="469">
        <v>2032</v>
      </c>
      <c r="C91" s="466">
        <v>259338</v>
      </c>
      <c r="D91" s="462">
        <v>255504</v>
      </c>
      <c r="E91" s="461" t="s">
        <v>1165</v>
      </c>
      <c r="F91" s="462"/>
      <c r="G91" s="461"/>
      <c r="H91" s="461"/>
      <c r="I91" s="461"/>
      <c r="J91" s="461">
        <v>0</v>
      </c>
      <c r="K91" s="461" t="s">
        <v>1164</v>
      </c>
      <c r="L91" s="461"/>
      <c r="M91" s="461" t="s">
        <v>962</v>
      </c>
      <c r="N91" s="465">
        <v>44377</v>
      </c>
      <c r="O91" s="465">
        <v>44377</v>
      </c>
      <c r="P91" s="461" t="s">
        <v>1163</v>
      </c>
      <c r="Q91" s="462">
        <v>1000</v>
      </c>
      <c r="R91" s="462">
        <v>14040</v>
      </c>
      <c r="S91" s="512">
        <v>404.29</v>
      </c>
      <c r="T91" s="462">
        <v>14046</v>
      </c>
      <c r="U91" s="505">
        <v>53.91</v>
      </c>
      <c r="V91" s="505">
        <f t="shared" si="61"/>
        <v>350.38</v>
      </c>
      <c r="W91" s="509">
        <v>33.69</v>
      </c>
      <c r="X91" s="462">
        <v>51260</v>
      </c>
      <c r="Y91" s="505">
        <v>3.37</v>
      </c>
      <c r="Z91" s="461" t="s">
        <v>701</v>
      </c>
      <c r="AA91" s="461"/>
      <c r="AB91" s="461">
        <v>6837</v>
      </c>
      <c r="AC91" s="461"/>
      <c r="AD91" s="461" t="s">
        <v>705</v>
      </c>
      <c r="AE91" s="461" t="s">
        <v>703</v>
      </c>
      <c r="AF91" s="462" t="s">
        <v>351</v>
      </c>
      <c r="AG91" s="461"/>
      <c r="AH91" s="462" t="s">
        <v>707</v>
      </c>
      <c r="AI91" s="461">
        <v>0</v>
      </c>
      <c r="AJ91" s="461">
        <v>0</v>
      </c>
      <c r="AK91" s="364"/>
      <c r="AL91" s="364" t="s">
        <v>741</v>
      </c>
      <c r="AM91" s="490">
        <f t="shared" si="51"/>
        <v>6</v>
      </c>
      <c r="AN91" s="490">
        <f t="shared" si="52"/>
        <v>2021</v>
      </c>
      <c r="AO91" s="490">
        <f t="shared" si="57"/>
        <v>2031</v>
      </c>
      <c r="AP91" s="510">
        <f t="shared" si="53"/>
        <v>2031.5</v>
      </c>
      <c r="AQ91" s="351">
        <f t="shared" si="54"/>
        <v>3.3690833333333337</v>
      </c>
      <c r="AR91" s="351">
        <f t="shared" si="55"/>
        <v>40.429000000000002</v>
      </c>
      <c r="AS91" s="351">
        <f t="shared" si="58"/>
        <v>40.429000000000002</v>
      </c>
      <c r="AT91" s="351">
        <f t="shared" si="59"/>
        <v>40.429000000000002</v>
      </c>
      <c r="AU91" s="351">
        <f t="shared" si="56"/>
        <v>80.858000000000004</v>
      </c>
      <c r="AV91" s="351">
        <f t="shared" si="60"/>
        <v>323.43200000000002</v>
      </c>
      <c r="AW91" s="491" t="s">
        <v>339</v>
      </c>
      <c r="AX91" s="364"/>
      <c r="AY91" s="364"/>
      <c r="AZ91" s="364"/>
      <c r="BA91" s="364"/>
      <c r="BB91" s="364"/>
      <c r="BC91" s="364"/>
      <c r="BD91" s="364"/>
      <c r="BE91" s="364"/>
      <c r="BF91" s="364"/>
      <c r="BG91" s="364"/>
      <c r="BH91" s="364"/>
      <c r="BI91" s="364"/>
      <c r="BJ91" s="364"/>
      <c r="BK91" s="364"/>
      <c r="BL91" s="364"/>
      <c r="BM91" s="364"/>
      <c r="BN91" s="364"/>
      <c r="BO91" s="364"/>
      <c r="BP91" s="364"/>
      <c r="BQ91" s="364"/>
      <c r="BR91" s="364"/>
      <c r="BS91" s="364"/>
      <c r="BT91" s="364"/>
      <c r="BU91" s="364"/>
      <c r="BV91" s="364"/>
      <c r="BW91" s="364"/>
      <c r="BX91" s="364"/>
      <c r="BY91" s="364"/>
      <c r="BZ91" s="364"/>
      <c r="CA91" s="364"/>
      <c r="CB91" s="364"/>
      <c r="CC91" s="364"/>
      <c r="CD91" s="364"/>
      <c r="CE91" s="364"/>
      <c r="CF91" s="364"/>
      <c r="CG91" s="364"/>
      <c r="CH91" s="364"/>
      <c r="CI91" s="364"/>
      <c r="CJ91" s="364"/>
      <c r="CK91" s="364"/>
      <c r="CL91" s="364"/>
      <c r="CM91" s="364"/>
      <c r="CN91" s="364"/>
      <c r="CO91" s="364"/>
      <c r="CP91" s="364"/>
      <c r="CQ91" s="364"/>
      <c r="CR91" s="364"/>
      <c r="CS91" s="364"/>
      <c r="CT91" s="364"/>
      <c r="CU91" s="364"/>
      <c r="CV91" s="364"/>
      <c r="CW91" s="364"/>
      <c r="CX91" s="364"/>
      <c r="CY91" s="364"/>
      <c r="CZ91" s="364"/>
      <c r="DA91" s="364"/>
      <c r="DB91" s="364"/>
      <c r="DC91" s="364"/>
      <c r="DD91" s="364"/>
      <c r="DE91" s="364"/>
      <c r="DF91" s="364"/>
      <c r="DG91" s="364"/>
      <c r="DH91" s="364"/>
      <c r="DI91" s="364"/>
      <c r="DJ91" s="364"/>
      <c r="DK91" s="364"/>
      <c r="DL91" s="364"/>
      <c r="DM91" s="364"/>
      <c r="DN91" s="364"/>
      <c r="DO91" s="364"/>
      <c r="DP91" s="364"/>
      <c r="DQ91" s="364"/>
      <c r="DR91" s="364"/>
      <c r="DS91" s="364"/>
      <c r="DT91" s="364"/>
      <c r="DU91" s="364"/>
      <c r="DV91" s="364"/>
      <c r="DW91" s="364"/>
      <c r="DX91" s="364"/>
      <c r="DY91" s="364"/>
    </row>
    <row r="92" spans="2:129" s="468" customFormat="1" x14ac:dyDescent="0.25">
      <c r="B92" s="469">
        <v>2032</v>
      </c>
      <c r="C92" s="466">
        <v>258500</v>
      </c>
      <c r="D92" s="462" t="s">
        <v>701</v>
      </c>
      <c r="E92" s="461" t="s">
        <v>1162</v>
      </c>
      <c r="F92" s="462">
        <v>15</v>
      </c>
      <c r="G92" s="461"/>
      <c r="H92" s="461"/>
      <c r="I92" s="461"/>
      <c r="J92" s="461">
        <v>0</v>
      </c>
      <c r="K92" s="461"/>
      <c r="L92" s="461"/>
      <c r="M92" s="461" t="s">
        <v>854</v>
      </c>
      <c r="N92" s="465">
        <v>42522</v>
      </c>
      <c r="O92" s="465">
        <v>42522</v>
      </c>
      <c r="P92" s="461"/>
      <c r="Q92" s="462">
        <v>700</v>
      </c>
      <c r="R92" s="462">
        <v>14050</v>
      </c>
      <c r="S92" s="512">
        <v>22500</v>
      </c>
      <c r="T92" s="462">
        <v>14056</v>
      </c>
      <c r="U92" s="505">
        <v>20625.009999999998</v>
      </c>
      <c r="V92" s="505">
        <f t="shared" si="61"/>
        <v>1874.9900000000016</v>
      </c>
      <c r="W92" s="509">
        <v>2678.58</v>
      </c>
      <c r="X92" s="462">
        <v>54260</v>
      </c>
      <c r="Y92" s="505">
        <v>267.86</v>
      </c>
      <c r="Z92" s="461" t="s">
        <v>703</v>
      </c>
      <c r="AA92" s="461" t="s">
        <v>1152</v>
      </c>
      <c r="AB92" s="461"/>
      <c r="AC92" s="461"/>
      <c r="AD92" s="461" t="s">
        <v>705</v>
      </c>
      <c r="AE92" s="461" t="s">
        <v>703</v>
      </c>
      <c r="AF92" s="462" t="s">
        <v>351</v>
      </c>
      <c r="AG92" s="467">
        <v>44408</v>
      </c>
      <c r="AH92" s="462" t="s">
        <v>707</v>
      </c>
      <c r="AI92" s="461">
        <v>0</v>
      </c>
      <c r="AJ92" s="461">
        <v>16607.14</v>
      </c>
      <c r="AK92" s="364"/>
      <c r="AL92" s="364" t="s">
        <v>297</v>
      </c>
      <c r="AM92" s="490">
        <f t="shared" si="51"/>
        <v>6</v>
      </c>
      <c r="AN92" s="490">
        <f t="shared" si="52"/>
        <v>2016</v>
      </c>
      <c r="AO92" s="490">
        <f t="shared" si="57"/>
        <v>2023</v>
      </c>
      <c r="AP92" s="510">
        <f t="shared" si="53"/>
        <v>2023.5</v>
      </c>
      <c r="AQ92" s="351">
        <f t="shared" si="54"/>
        <v>267.85714285714283</v>
      </c>
      <c r="AR92" s="351">
        <f t="shared" si="55"/>
        <v>3214.2857142857138</v>
      </c>
      <c r="AS92" s="351">
        <f t="shared" si="58"/>
        <v>0</v>
      </c>
      <c r="AT92" s="351">
        <f t="shared" si="59"/>
        <v>22500</v>
      </c>
      <c r="AU92" s="351">
        <f t="shared" si="56"/>
        <v>22500</v>
      </c>
      <c r="AV92" s="351">
        <f t="shared" si="60"/>
        <v>0</v>
      </c>
      <c r="AW92" s="491" t="s">
        <v>339</v>
      </c>
      <c r="AX92" s="364"/>
      <c r="AY92" s="364"/>
      <c r="AZ92" s="364"/>
      <c r="BA92" s="364"/>
      <c r="BB92" s="364"/>
      <c r="BC92" s="364"/>
      <c r="BD92" s="364"/>
      <c r="BE92" s="364"/>
      <c r="BF92" s="364"/>
      <c r="BG92" s="364"/>
      <c r="BH92" s="364"/>
      <c r="BI92" s="364"/>
      <c r="BJ92" s="364"/>
      <c r="BK92" s="364"/>
      <c r="BL92" s="364"/>
      <c r="BM92" s="364"/>
      <c r="BN92" s="364"/>
      <c r="BO92" s="364"/>
      <c r="BP92" s="364"/>
      <c r="BQ92" s="364"/>
      <c r="BR92" s="364"/>
      <c r="BS92" s="364"/>
      <c r="BT92" s="364"/>
      <c r="BU92" s="364"/>
      <c r="BV92" s="364"/>
      <c r="BW92" s="364"/>
      <c r="BX92" s="364"/>
      <c r="BY92" s="364"/>
      <c r="BZ92" s="364"/>
      <c r="CA92" s="364"/>
      <c r="CB92" s="364"/>
      <c r="CC92" s="364"/>
      <c r="CD92" s="364"/>
      <c r="CE92" s="364"/>
      <c r="CF92" s="364"/>
      <c r="CG92" s="364"/>
      <c r="CH92" s="364"/>
      <c r="CI92" s="364"/>
      <c r="CJ92" s="364"/>
      <c r="CK92" s="364"/>
      <c r="CL92" s="364"/>
      <c r="CM92" s="364"/>
      <c r="CN92" s="364"/>
      <c r="CO92" s="364"/>
      <c r="CP92" s="364"/>
      <c r="CQ92" s="364"/>
      <c r="CR92" s="364"/>
      <c r="CS92" s="364"/>
      <c r="CT92" s="364"/>
      <c r="CU92" s="364"/>
      <c r="CV92" s="364"/>
      <c r="CW92" s="364"/>
      <c r="CX92" s="364"/>
      <c r="CY92" s="364"/>
      <c r="CZ92" s="364"/>
      <c r="DA92" s="364"/>
      <c r="DB92" s="364"/>
      <c r="DC92" s="364"/>
      <c r="DD92" s="364"/>
      <c r="DE92" s="364"/>
      <c r="DF92" s="364"/>
      <c r="DG92" s="364"/>
      <c r="DH92" s="364"/>
      <c r="DI92" s="364"/>
      <c r="DJ92" s="364"/>
      <c r="DK92" s="364"/>
      <c r="DL92" s="364"/>
      <c r="DM92" s="364"/>
      <c r="DN92" s="364"/>
      <c r="DO92" s="364"/>
      <c r="DP92" s="364"/>
      <c r="DQ92" s="364"/>
      <c r="DR92" s="364"/>
      <c r="DS92" s="364"/>
      <c r="DT92" s="364"/>
      <c r="DU92" s="364"/>
      <c r="DV92" s="364"/>
      <c r="DW92" s="364"/>
      <c r="DX92" s="364"/>
      <c r="DY92" s="364"/>
    </row>
    <row r="93" spans="2:129" s="468" customFormat="1" x14ac:dyDescent="0.25">
      <c r="B93" s="469">
        <v>2032</v>
      </c>
      <c r="C93" s="466">
        <v>258440</v>
      </c>
      <c r="D93" s="462" t="s">
        <v>701</v>
      </c>
      <c r="E93" s="461" t="s">
        <v>1161</v>
      </c>
      <c r="F93" s="462">
        <v>6</v>
      </c>
      <c r="G93" s="461"/>
      <c r="H93" s="461"/>
      <c r="I93" s="461"/>
      <c r="J93" s="461">
        <v>0</v>
      </c>
      <c r="K93" s="461"/>
      <c r="L93" s="461"/>
      <c r="M93" s="461" t="s">
        <v>856</v>
      </c>
      <c r="N93" s="465">
        <v>42522</v>
      </c>
      <c r="O93" s="465">
        <v>42522</v>
      </c>
      <c r="P93" s="461"/>
      <c r="Q93" s="462">
        <v>700</v>
      </c>
      <c r="R93" s="462">
        <v>14050</v>
      </c>
      <c r="S93" s="512">
        <v>9000</v>
      </c>
      <c r="T93" s="462">
        <v>14056</v>
      </c>
      <c r="U93" s="505">
        <v>8250.01</v>
      </c>
      <c r="V93" s="505">
        <f t="shared" si="61"/>
        <v>749.98999999999978</v>
      </c>
      <c r="W93" s="509">
        <v>1071.43</v>
      </c>
      <c r="X93" s="462">
        <v>54260</v>
      </c>
      <c r="Y93" s="505">
        <v>107.14</v>
      </c>
      <c r="Z93" s="461" t="s">
        <v>703</v>
      </c>
      <c r="AA93" s="461" t="s">
        <v>1152</v>
      </c>
      <c r="AB93" s="461"/>
      <c r="AC93" s="461"/>
      <c r="AD93" s="461" t="s">
        <v>705</v>
      </c>
      <c r="AE93" s="461" t="s">
        <v>703</v>
      </c>
      <c r="AF93" s="462" t="s">
        <v>351</v>
      </c>
      <c r="AG93" s="467">
        <v>44408</v>
      </c>
      <c r="AH93" s="462" t="s">
        <v>707</v>
      </c>
      <c r="AI93" s="461">
        <v>0</v>
      </c>
      <c r="AJ93" s="461">
        <v>6642.86</v>
      </c>
      <c r="AK93" s="364"/>
      <c r="AL93" s="364" t="s">
        <v>297</v>
      </c>
      <c r="AM93" s="490">
        <f t="shared" si="51"/>
        <v>6</v>
      </c>
      <c r="AN93" s="490">
        <f t="shared" si="52"/>
        <v>2016</v>
      </c>
      <c r="AO93" s="490">
        <f t="shared" si="57"/>
        <v>2023</v>
      </c>
      <c r="AP93" s="510">
        <f t="shared" si="53"/>
        <v>2023.5</v>
      </c>
      <c r="AQ93" s="351">
        <f t="shared" si="54"/>
        <v>107.14285714285715</v>
      </c>
      <c r="AR93" s="351">
        <f t="shared" si="55"/>
        <v>1285.7142857142858</v>
      </c>
      <c r="AS93" s="351">
        <f t="shared" si="58"/>
        <v>0</v>
      </c>
      <c r="AT93" s="351">
        <f t="shared" si="59"/>
        <v>9000</v>
      </c>
      <c r="AU93" s="351">
        <f t="shared" si="56"/>
        <v>9000</v>
      </c>
      <c r="AV93" s="351">
        <f t="shared" si="60"/>
        <v>0</v>
      </c>
      <c r="AW93" s="491" t="s">
        <v>339</v>
      </c>
      <c r="AX93" s="364"/>
      <c r="AY93" s="364"/>
      <c r="AZ93" s="364"/>
      <c r="BA93" s="364"/>
      <c r="BB93" s="364"/>
      <c r="BC93" s="364"/>
      <c r="BD93" s="364"/>
      <c r="BE93" s="364"/>
      <c r="BF93" s="364"/>
      <c r="BG93" s="364"/>
      <c r="BH93" s="364"/>
      <c r="BI93" s="364"/>
      <c r="BJ93" s="364"/>
      <c r="BK93" s="364"/>
      <c r="BL93" s="364"/>
      <c r="BM93" s="364"/>
      <c r="BN93" s="364"/>
      <c r="BO93" s="364"/>
      <c r="BP93" s="364"/>
      <c r="BQ93" s="364"/>
      <c r="BR93" s="364"/>
      <c r="BS93" s="364"/>
      <c r="BT93" s="364"/>
      <c r="BU93" s="364"/>
      <c r="BV93" s="364"/>
      <c r="BW93" s="364"/>
      <c r="BX93" s="364"/>
      <c r="BY93" s="364"/>
      <c r="BZ93" s="364"/>
      <c r="CA93" s="364"/>
      <c r="CB93" s="364"/>
      <c r="CC93" s="364"/>
      <c r="CD93" s="364"/>
      <c r="CE93" s="364"/>
      <c r="CF93" s="364"/>
      <c r="CG93" s="364"/>
      <c r="CH93" s="364"/>
      <c r="CI93" s="364"/>
      <c r="CJ93" s="364"/>
      <c r="CK93" s="364"/>
      <c r="CL93" s="364"/>
      <c r="CM93" s="364"/>
      <c r="CN93" s="364"/>
      <c r="CO93" s="364"/>
      <c r="CP93" s="364"/>
      <c r="CQ93" s="364"/>
      <c r="CR93" s="364"/>
      <c r="CS93" s="364"/>
      <c r="CT93" s="364"/>
      <c r="CU93" s="364"/>
      <c r="CV93" s="364"/>
      <c r="CW93" s="364"/>
      <c r="CX93" s="364"/>
      <c r="CY93" s="364"/>
      <c r="CZ93" s="364"/>
      <c r="DA93" s="364"/>
      <c r="DB93" s="364"/>
      <c r="DC93" s="364"/>
      <c r="DD93" s="364"/>
      <c r="DE93" s="364"/>
      <c r="DF93" s="364"/>
      <c r="DG93" s="364"/>
      <c r="DH93" s="364"/>
      <c r="DI93" s="364"/>
      <c r="DJ93" s="364"/>
      <c r="DK93" s="364"/>
      <c r="DL93" s="364"/>
      <c r="DM93" s="364"/>
      <c r="DN93" s="364"/>
      <c r="DO93" s="364"/>
      <c r="DP93" s="364"/>
      <c r="DQ93" s="364"/>
      <c r="DR93" s="364"/>
      <c r="DS93" s="364"/>
      <c r="DT93" s="364"/>
      <c r="DU93" s="364"/>
      <c r="DV93" s="364"/>
      <c r="DW93" s="364"/>
      <c r="DX93" s="364"/>
      <c r="DY93" s="364"/>
    </row>
    <row r="94" spans="2:129" s="468" customFormat="1" x14ac:dyDescent="0.25">
      <c r="B94" s="469">
        <v>2032</v>
      </c>
      <c r="C94" s="466">
        <v>258434</v>
      </c>
      <c r="D94" s="462" t="s">
        <v>701</v>
      </c>
      <c r="E94" s="461" t="s">
        <v>1160</v>
      </c>
      <c r="F94" s="462">
        <v>2</v>
      </c>
      <c r="G94" s="461"/>
      <c r="H94" s="461"/>
      <c r="I94" s="461"/>
      <c r="J94" s="461">
        <v>2004</v>
      </c>
      <c r="K94" s="461" t="s">
        <v>1159</v>
      </c>
      <c r="L94" s="461"/>
      <c r="M94" s="461" t="s">
        <v>852</v>
      </c>
      <c r="N94" s="465">
        <v>38174</v>
      </c>
      <c r="O94" s="465">
        <v>38174</v>
      </c>
      <c r="P94" s="461" t="s">
        <v>1158</v>
      </c>
      <c r="Q94" s="462">
        <v>1200</v>
      </c>
      <c r="R94" s="462">
        <v>14050</v>
      </c>
      <c r="S94" s="512">
        <v>7844</v>
      </c>
      <c r="T94" s="462">
        <v>14056</v>
      </c>
      <c r="U94" s="505">
        <v>7844</v>
      </c>
      <c r="V94" s="505">
        <f t="shared" si="61"/>
        <v>0</v>
      </c>
      <c r="W94" s="509">
        <v>0</v>
      </c>
      <c r="X94" s="462">
        <v>54260</v>
      </c>
      <c r="Y94" s="505">
        <v>0</v>
      </c>
      <c r="Z94" s="461" t="s">
        <v>701</v>
      </c>
      <c r="AA94" s="461">
        <v>0</v>
      </c>
      <c r="AB94" s="461">
        <v>2801</v>
      </c>
      <c r="AC94" s="461"/>
      <c r="AD94" s="461" t="s">
        <v>705</v>
      </c>
      <c r="AE94" s="461" t="s">
        <v>703</v>
      </c>
      <c r="AF94" s="462" t="s">
        <v>351</v>
      </c>
      <c r="AG94" s="467">
        <v>44408</v>
      </c>
      <c r="AH94" s="462" t="s">
        <v>707</v>
      </c>
      <c r="AI94" s="461">
        <v>0</v>
      </c>
      <c r="AJ94" s="461">
        <v>7844</v>
      </c>
      <c r="AK94" s="364"/>
      <c r="AL94" s="364" t="s">
        <v>297</v>
      </c>
      <c r="AM94" s="490">
        <f t="shared" si="51"/>
        <v>7</v>
      </c>
      <c r="AN94" s="490">
        <f t="shared" si="52"/>
        <v>2004</v>
      </c>
      <c r="AO94" s="490">
        <f t="shared" si="57"/>
        <v>2016</v>
      </c>
      <c r="AP94" s="510">
        <f t="shared" si="53"/>
        <v>2016.5833333333333</v>
      </c>
      <c r="AQ94" s="351">
        <f t="shared" si="54"/>
        <v>54.472222222222221</v>
      </c>
      <c r="AR94" s="351">
        <f t="shared" si="55"/>
        <v>653.66666666666663</v>
      </c>
      <c r="AS94" s="351">
        <f t="shared" si="58"/>
        <v>0</v>
      </c>
      <c r="AT94" s="351">
        <f t="shared" si="59"/>
        <v>7844</v>
      </c>
      <c r="AU94" s="351">
        <f t="shared" si="56"/>
        <v>7844</v>
      </c>
      <c r="AV94" s="351">
        <f t="shared" si="60"/>
        <v>0</v>
      </c>
      <c r="AW94" s="491" t="s">
        <v>339</v>
      </c>
      <c r="AX94" s="364"/>
      <c r="AY94" s="364"/>
      <c r="AZ94" s="364"/>
      <c r="BA94" s="364"/>
      <c r="BB94" s="364"/>
      <c r="BC94" s="364"/>
      <c r="BD94" s="364"/>
      <c r="BE94" s="364"/>
      <c r="BF94" s="364"/>
      <c r="BG94" s="364"/>
      <c r="BH94" s="364"/>
      <c r="BI94" s="364"/>
      <c r="BJ94" s="364"/>
      <c r="BK94" s="364"/>
      <c r="BL94" s="364"/>
      <c r="BM94" s="364"/>
      <c r="BN94" s="364"/>
      <c r="BO94" s="364"/>
      <c r="BP94" s="364"/>
      <c r="BQ94" s="364"/>
      <c r="BR94" s="364"/>
      <c r="BS94" s="364"/>
      <c r="BT94" s="364"/>
      <c r="BU94" s="364"/>
      <c r="BV94" s="364"/>
      <c r="BW94" s="364"/>
      <c r="BX94" s="364"/>
      <c r="BY94" s="364"/>
      <c r="BZ94" s="364"/>
      <c r="CA94" s="364"/>
      <c r="CB94" s="364"/>
      <c r="CC94" s="364"/>
      <c r="CD94" s="364"/>
      <c r="CE94" s="364"/>
      <c r="CF94" s="364"/>
      <c r="CG94" s="364"/>
      <c r="CH94" s="364"/>
      <c r="CI94" s="364"/>
      <c r="CJ94" s="364"/>
      <c r="CK94" s="364"/>
      <c r="CL94" s="364"/>
      <c r="CM94" s="364"/>
      <c r="CN94" s="364"/>
      <c r="CO94" s="364"/>
      <c r="CP94" s="364"/>
      <c r="CQ94" s="364"/>
      <c r="CR94" s="364"/>
      <c r="CS94" s="364"/>
      <c r="CT94" s="364"/>
      <c r="CU94" s="364"/>
      <c r="CV94" s="364"/>
      <c r="CW94" s="364"/>
      <c r="CX94" s="364"/>
      <c r="CY94" s="364"/>
      <c r="CZ94" s="364"/>
      <c r="DA94" s="364"/>
      <c r="DB94" s="364"/>
      <c r="DC94" s="364"/>
      <c r="DD94" s="364"/>
      <c r="DE94" s="364"/>
      <c r="DF94" s="364"/>
      <c r="DG94" s="364"/>
      <c r="DH94" s="364"/>
      <c r="DI94" s="364"/>
      <c r="DJ94" s="364"/>
      <c r="DK94" s="364"/>
      <c r="DL94" s="364"/>
      <c r="DM94" s="364"/>
      <c r="DN94" s="364"/>
      <c r="DO94" s="364"/>
      <c r="DP94" s="364"/>
      <c r="DQ94" s="364"/>
      <c r="DR94" s="364"/>
      <c r="DS94" s="364"/>
      <c r="DT94" s="364"/>
      <c r="DU94" s="364"/>
      <c r="DV94" s="364"/>
      <c r="DW94" s="364"/>
      <c r="DX94" s="364"/>
      <c r="DY94" s="364"/>
    </row>
    <row r="95" spans="2:129" s="468" customFormat="1" x14ac:dyDescent="0.25">
      <c r="B95" s="469">
        <v>2032</v>
      </c>
      <c r="C95" s="466">
        <v>258392</v>
      </c>
      <c r="D95" s="462" t="s">
        <v>701</v>
      </c>
      <c r="E95" s="461" t="s">
        <v>1157</v>
      </c>
      <c r="F95" s="462">
        <v>17</v>
      </c>
      <c r="G95" s="461"/>
      <c r="H95" s="461"/>
      <c r="I95" s="461"/>
      <c r="J95" s="461">
        <v>0</v>
      </c>
      <c r="K95" s="461"/>
      <c r="L95" s="461"/>
      <c r="M95" s="461" t="s">
        <v>848</v>
      </c>
      <c r="N95" s="465">
        <v>43270</v>
      </c>
      <c r="O95" s="465">
        <v>43270</v>
      </c>
      <c r="P95" s="461" t="s">
        <v>1156</v>
      </c>
      <c r="Q95" s="462">
        <v>0</v>
      </c>
      <c r="R95" s="462">
        <v>14050</v>
      </c>
      <c r="S95" s="512">
        <v>0</v>
      </c>
      <c r="T95" s="462">
        <v>14056</v>
      </c>
      <c r="U95" s="505">
        <v>0</v>
      </c>
      <c r="V95" s="505">
        <f t="shared" si="61"/>
        <v>0</v>
      </c>
      <c r="W95" s="509">
        <v>0</v>
      </c>
      <c r="X95" s="462">
        <v>54260</v>
      </c>
      <c r="Y95" s="505">
        <v>0</v>
      </c>
      <c r="Z95" s="461" t="s">
        <v>701</v>
      </c>
      <c r="AA95" s="461"/>
      <c r="AB95" s="461"/>
      <c r="AC95" s="461"/>
      <c r="AD95" s="461" t="s">
        <v>705</v>
      </c>
      <c r="AE95" s="461" t="s">
        <v>703</v>
      </c>
      <c r="AF95" s="462" t="s">
        <v>706</v>
      </c>
      <c r="AG95" s="461"/>
      <c r="AH95" s="462" t="s">
        <v>707</v>
      </c>
      <c r="AI95" s="461">
        <v>0</v>
      </c>
      <c r="AJ95" s="461">
        <v>0</v>
      </c>
      <c r="AK95" s="364"/>
      <c r="AL95" s="364" t="s">
        <v>295</v>
      </c>
      <c r="AM95" s="490">
        <f t="shared" si="51"/>
        <v>6</v>
      </c>
      <c r="AN95" s="490">
        <f t="shared" si="52"/>
        <v>2018</v>
      </c>
      <c r="AO95" s="490">
        <f t="shared" si="57"/>
        <v>2018</v>
      </c>
      <c r="AP95" s="510">
        <f t="shared" si="53"/>
        <v>2018.5</v>
      </c>
      <c r="AQ95" s="351">
        <f t="shared" si="54"/>
        <v>0</v>
      </c>
      <c r="AR95" s="351">
        <f t="shared" si="55"/>
        <v>0</v>
      </c>
      <c r="AS95" s="351">
        <f t="shared" si="58"/>
        <v>0</v>
      </c>
      <c r="AT95" s="351">
        <f t="shared" si="59"/>
        <v>0</v>
      </c>
      <c r="AU95" s="351">
        <f t="shared" si="56"/>
        <v>0</v>
      </c>
      <c r="AV95" s="351">
        <f t="shared" si="60"/>
        <v>0</v>
      </c>
      <c r="AW95" s="491" t="s">
        <v>339</v>
      </c>
      <c r="AX95" s="364"/>
      <c r="AY95" s="364"/>
      <c r="AZ95" s="364"/>
      <c r="BA95" s="364"/>
      <c r="BB95" s="364"/>
      <c r="BC95" s="364"/>
      <c r="BD95" s="364"/>
      <c r="BE95" s="364"/>
      <c r="BF95" s="364"/>
      <c r="BG95" s="364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4"/>
      <c r="BS95" s="364"/>
      <c r="BT95" s="364"/>
      <c r="BU95" s="364"/>
      <c r="BV95" s="364"/>
      <c r="BW95" s="364"/>
      <c r="BX95" s="364"/>
      <c r="BY95" s="364"/>
      <c r="BZ95" s="364"/>
      <c r="CA95" s="364"/>
      <c r="CB95" s="364"/>
      <c r="CC95" s="364"/>
      <c r="CD95" s="364"/>
      <c r="CE95" s="364"/>
      <c r="CF95" s="364"/>
      <c r="CG95" s="364"/>
      <c r="CH95" s="364"/>
      <c r="CI95" s="364"/>
      <c r="CJ95" s="364"/>
      <c r="CK95" s="364"/>
      <c r="CL95" s="364"/>
      <c r="CM95" s="364"/>
      <c r="CN95" s="364"/>
      <c r="CO95" s="364"/>
      <c r="CP95" s="364"/>
      <c r="CQ95" s="364"/>
      <c r="CR95" s="364"/>
      <c r="CS95" s="364"/>
      <c r="CT95" s="364"/>
      <c r="CU95" s="364"/>
      <c r="CV95" s="364"/>
      <c r="CW95" s="364"/>
      <c r="CX95" s="364"/>
      <c r="CY95" s="364"/>
      <c r="CZ95" s="364"/>
      <c r="DA95" s="364"/>
      <c r="DB95" s="364"/>
      <c r="DC95" s="364"/>
      <c r="DD95" s="364"/>
      <c r="DE95" s="364"/>
      <c r="DF95" s="364"/>
      <c r="DG95" s="364"/>
      <c r="DH95" s="364"/>
      <c r="DI95" s="364"/>
      <c r="DJ95" s="364"/>
      <c r="DK95" s="364"/>
      <c r="DL95" s="364"/>
      <c r="DM95" s="364"/>
      <c r="DN95" s="364"/>
      <c r="DO95" s="364"/>
      <c r="DP95" s="364"/>
      <c r="DQ95" s="364"/>
      <c r="DR95" s="364"/>
      <c r="DS95" s="364"/>
      <c r="DT95" s="364"/>
      <c r="DU95" s="364"/>
      <c r="DV95" s="364"/>
      <c r="DW95" s="364"/>
      <c r="DX95" s="364"/>
      <c r="DY95" s="364"/>
    </row>
    <row r="96" spans="2:129" s="468" customFormat="1" x14ac:dyDescent="0.25">
      <c r="B96" s="469">
        <v>2032</v>
      </c>
      <c r="C96" s="466">
        <v>258278</v>
      </c>
      <c r="D96" s="462" t="s">
        <v>701</v>
      </c>
      <c r="E96" s="461" t="s">
        <v>1155</v>
      </c>
      <c r="F96" s="462">
        <v>8</v>
      </c>
      <c r="G96" s="461"/>
      <c r="H96" s="461"/>
      <c r="I96" s="461"/>
      <c r="J96" s="461">
        <v>0</v>
      </c>
      <c r="K96" s="461"/>
      <c r="L96" s="461"/>
      <c r="M96" s="461" t="s">
        <v>850</v>
      </c>
      <c r="N96" s="465">
        <v>43556</v>
      </c>
      <c r="O96" s="465">
        <v>43556</v>
      </c>
      <c r="P96" s="461"/>
      <c r="Q96" s="462">
        <v>700</v>
      </c>
      <c r="R96" s="462">
        <v>14050</v>
      </c>
      <c r="S96" s="512">
        <v>24000</v>
      </c>
      <c r="T96" s="462">
        <v>14056</v>
      </c>
      <c r="U96" s="505">
        <v>12285.7</v>
      </c>
      <c r="V96" s="505">
        <f t="shared" si="61"/>
        <v>11714.3</v>
      </c>
      <c r="W96" s="509">
        <v>2857.14</v>
      </c>
      <c r="X96" s="462">
        <v>54260</v>
      </c>
      <c r="Y96" s="505">
        <v>285.70999999999998</v>
      </c>
      <c r="Z96" s="461" t="s">
        <v>703</v>
      </c>
      <c r="AA96" s="461" t="s">
        <v>1154</v>
      </c>
      <c r="AB96" s="461"/>
      <c r="AC96" s="461">
        <v>14050</v>
      </c>
      <c r="AD96" s="461" t="s">
        <v>705</v>
      </c>
      <c r="AE96" s="461" t="s">
        <v>703</v>
      </c>
      <c r="AF96" s="462" t="s">
        <v>351</v>
      </c>
      <c r="AG96" s="467">
        <v>44408</v>
      </c>
      <c r="AH96" s="462" t="s">
        <v>707</v>
      </c>
      <c r="AI96" s="461">
        <v>0</v>
      </c>
      <c r="AJ96" s="461">
        <v>8000</v>
      </c>
      <c r="AK96" s="364"/>
      <c r="AL96" s="364" t="s">
        <v>297</v>
      </c>
      <c r="AM96" s="490">
        <f t="shared" si="51"/>
        <v>4</v>
      </c>
      <c r="AN96" s="490">
        <f t="shared" si="52"/>
        <v>2019</v>
      </c>
      <c r="AO96" s="490">
        <f t="shared" si="57"/>
        <v>2026</v>
      </c>
      <c r="AP96" s="510">
        <f t="shared" si="53"/>
        <v>2026.3333333333333</v>
      </c>
      <c r="AQ96" s="351">
        <f t="shared" si="54"/>
        <v>285.71428571428572</v>
      </c>
      <c r="AR96" s="351">
        <f t="shared" si="55"/>
        <v>3428.5714285714284</v>
      </c>
      <c r="AS96" s="351">
        <f t="shared" si="58"/>
        <v>3428.5714285714284</v>
      </c>
      <c r="AT96" s="351">
        <f t="shared" si="59"/>
        <v>10285.714285714286</v>
      </c>
      <c r="AU96" s="351">
        <f t="shared" si="56"/>
        <v>13714.285714285714</v>
      </c>
      <c r="AV96" s="351">
        <f t="shared" si="60"/>
        <v>10285.714285714286</v>
      </c>
      <c r="AW96" s="491" t="s">
        <v>339</v>
      </c>
      <c r="AX96" s="364"/>
      <c r="AY96" s="364"/>
      <c r="AZ96" s="364"/>
      <c r="BA96" s="364"/>
      <c r="BB96" s="364"/>
      <c r="BC96" s="364"/>
      <c r="BD96" s="364"/>
      <c r="BE96" s="364"/>
      <c r="BF96" s="364"/>
      <c r="BG96" s="364"/>
      <c r="BH96" s="364"/>
      <c r="BI96" s="364"/>
      <c r="BJ96" s="364"/>
      <c r="BK96" s="364"/>
      <c r="BL96" s="364"/>
      <c r="BM96" s="364"/>
      <c r="BN96" s="364"/>
      <c r="BO96" s="364"/>
      <c r="BP96" s="364"/>
      <c r="BQ96" s="364"/>
      <c r="BR96" s="364"/>
      <c r="BS96" s="364"/>
      <c r="BT96" s="364"/>
      <c r="BU96" s="364"/>
      <c r="BV96" s="364"/>
      <c r="BW96" s="364"/>
      <c r="BX96" s="364"/>
      <c r="BY96" s="364"/>
      <c r="BZ96" s="364"/>
      <c r="CA96" s="364"/>
      <c r="CB96" s="364"/>
      <c r="CC96" s="364"/>
      <c r="CD96" s="364"/>
      <c r="CE96" s="364"/>
      <c r="CF96" s="364"/>
      <c r="CG96" s="364"/>
      <c r="CH96" s="364"/>
      <c r="CI96" s="364"/>
      <c r="CJ96" s="364"/>
      <c r="CK96" s="364"/>
      <c r="CL96" s="364"/>
      <c r="CM96" s="364"/>
      <c r="CN96" s="364"/>
      <c r="CO96" s="364"/>
      <c r="CP96" s="364"/>
      <c r="CQ96" s="364"/>
      <c r="CR96" s="364"/>
      <c r="CS96" s="364"/>
      <c r="CT96" s="364"/>
      <c r="CU96" s="364"/>
      <c r="CV96" s="364"/>
      <c r="CW96" s="364"/>
      <c r="CX96" s="364"/>
      <c r="CY96" s="364"/>
      <c r="CZ96" s="364"/>
      <c r="DA96" s="364"/>
      <c r="DB96" s="364"/>
      <c r="DC96" s="364"/>
      <c r="DD96" s="364"/>
      <c r="DE96" s="364"/>
      <c r="DF96" s="364"/>
      <c r="DG96" s="364"/>
      <c r="DH96" s="364"/>
      <c r="DI96" s="364"/>
      <c r="DJ96" s="364"/>
      <c r="DK96" s="364"/>
      <c r="DL96" s="364"/>
      <c r="DM96" s="364"/>
      <c r="DN96" s="364"/>
      <c r="DO96" s="364"/>
      <c r="DP96" s="364"/>
      <c r="DQ96" s="364"/>
      <c r="DR96" s="364"/>
      <c r="DS96" s="364"/>
      <c r="DT96" s="364"/>
      <c r="DU96" s="364"/>
      <c r="DV96" s="364"/>
      <c r="DW96" s="364"/>
      <c r="DX96" s="364"/>
      <c r="DY96" s="364"/>
    </row>
    <row r="97" spans="2:129" s="468" customFormat="1" x14ac:dyDescent="0.25">
      <c r="B97" s="469">
        <v>2032</v>
      </c>
      <c r="C97" s="466">
        <v>258230</v>
      </c>
      <c r="D97" s="462" t="s">
        <v>701</v>
      </c>
      <c r="E97" s="461" t="s">
        <v>1153</v>
      </c>
      <c r="F97" s="462">
        <v>31</v>
      </c>
      <c r="G97" s="461"/>
      <c r="H97" s="461"/>
      <c r="I97" s="461"/>
      <c r="J97" s="461">
        <v>0</v>
      </c>
      <c r="K97" s="461"/>
      <c r="L97" s="461"/>
      <c r="M97" s="461" t="s">
        <v>850</v>
      </c>
      <c r="N97" s="465">
        <v>42522</v>
      </c>
      <c r="O97" s="465">
        <v>42522</v>
      </c>
      <c r="P97" s="461"/>
      <c r="Q97" s="462">
        <v>700</v>
      </c>
      <c r="R97" s="462">
        <v>14050</v>
      </c>
      <c r="S97" s="512">
        <v>46365.55</v>
      </c>
      <c r="T97" s="462">
        <v>14056</v>
      </c>
      <c r="U97" s="505">
        <v>42501.75</v>
      </c>
      <c r="V97" s="505">
        <f t="shared" si="61"/>
        <v>3863.8000000000029</v>
      </c>
      <c r="W97" s="509">
        <v>5519.71</v>
      </c>
      <c r="X97" s="462">
        <v>54260</v>
      </c>
      <c r="Y97" s="505">
        <v>551.97</v>
      </c>
      <c r="Z97" s="461" t="s">
        <v>703</v>
      </c>
      <c r="AA97" s="461" t="s">
        <v>1152</v>
      </c>
      <c r="AB97" s="461"/>
      <c r="AC97" s="461"/>
      <c r="AD97" s="461" t="s">
        <v>705</v>
      </c>
      <c r="AE97" s="461" t="s">
        <v>703</v>
      </c>
      <c r="AF97" s="462" t="s">
        <v>351</v>
      </c>
      <c r="AG97" s="467">
        <v>44408</v>
      </c>
      <c r="AH97" s="462" t="s">
        <v>707</v>
      </c>
      <c r="AI97" s="461">
        <v>0</v>
      </c>
      <c r="AJ97" s="461">
        <v>34222.19</v>
      </c>
      <c r="AK97" s="364"/>
      <c r="AL97" s="364" t="s">
        <v>297</v>
      </c>
      <c r="AM97" s="490">
        <f t="shared" si="51"/>
        <v>6</v>
      </c>
      <c r="AN97" s="490">
        <f t="shared" si="52"/>
        <v>2016</v>
      </c>
      <c r="AO97" s="490">
        <f t="shared" si="57"/>
        <v>2023</v>
      </c>
      <c r="AP97" s="510">
        <f t="shared" si="53"/>
        <v>2023.5</v>
      </c>
      <c r="AQ97" s="351">
        <f t="shared" si="54"/>
        <v>551.97083333333342</v>
      </c>
      <c r="AR97" s="351">
        <f t="shared" si="55"/>
        <v>6623.6500000000015</v>
      </c>
      <c r="AS97" s="351">
        <f t="shared" si="58"/>
        <v>0</v>
      </c>
      <c r="AT97" s="351">
        <f t="shared" si="59"/>
        <v>46365.55</v>
      </c>
      <c r="AU97" s="351">
        <f t="shared" si="56"/>
        <v>46365.55</v>
      </c>
      <c r="AV97" s="351">
        <f t="shared" si="60"/>
        <v>0</v>
      </c>
      <c r="AW97" s="491" t="s">
        <v>339</v>
      </c>
      <c r="AX97" s="364"/>
      <c r="AY97" s="364"/>
      <c r="AZ97" s="364"/>
      <c r="BA97" s="364"/>
      <c r="BB97" s="364"/>
      <c r="BC97" s="364"/>
      <c r="BD97" s="364"/>
      <c r="BE97" s="364"/>
      <c r="BF97" s="364"/>
      <c r="BG97" s="364"/>
      <c r="BH97" s="364"/>
      <c r="BI97" s="364"/>
      <c r="BJ97" s="364"/>
      <c r="BK97" s="364"/>
      <c r="BL97" s="364"/>
      <c r="BM97" s="364"/>
      <c r="BN97" s="364"/>
      <c r="BO97" s="364"/>
      <c r="BP97" s="364"/>
      <c r="BQ97" s="364"/>
      <c r="BR97" s="364"/>
      <c r="BS97" s="364"/>
      <c r="BT97" s="364"/>
      <c r="BU97" s="364"/>
      <c r="BV97" s="364"/>
      <c r="BW97" s="364"/>
      <c r="BX97" s="364"/>
      <c r="BY97" s="364"/>
      <c r="BZ97" s="364"/>
      <c r="CA97" s="364"/>
      <c r="CB97" s="364"/>
      <c r="CC97" s="364"/>
      <c r="CD97" s="364"/>
      <c r="CE97" s="364"/>
      <c r="CF97" s="364"/>
      <c r="CG97" s="364"/>
      <c r="CH97" s="364"/>
      <c r="CI97" s="364"/>
      <c r="CJ97" s="364"/>
      <c r="CK97" s="364"/>
      <c r="CL97" s="364"/>
      <c r="CM97" s="364"/>
      <c r="CN97" s="364"/>
      <c r="CO97" s="364"/>
      <c r="CP97" s="364"/>
      <c r="CQ97" s="364"/>
      <c r="CR97" s="364"/>
      <c r="CS97" s="364"/>
      <c r="CT97" s="364"/>
      <c r="CU97" s="364"/>
      <c r="CV97" s="364"/>
      <c r="CW97" s="364"/>
      <c r="CX97" s="364"/>
      <c r="CY97" s="364"/>
      <c r="CZ97" s="364"/>
      <c r="DA97" s="364"/>
      <c r="DB97" s="364"/>
      <c r="DC97" s="364"/>
      <c r="DD97" s="364"/>
      <c r="DE97" s="364"/>
      <c r="DF97" s="364"/>
      <c r="DG97" s="364"/>
      <c r="DH97" s="364"/>
      <c r="DI97" s="364"/>
      <c r="DJ97" s="364"/>
      <c r="DK97" s="364"/>
      <c r="DL97" s="364"/>
      <c r="DM97" s="364"/>
      <c r="DN97" s="364"/>
      <c r="DO97" s="364"/>
      <c r="DP97" s="364"/>
      <c r="DQ97" s="364"/>
      <c r="DR97" s="364"/>
      <c r="DS97" s="364"/>
      <c r="DT97" s="364"/>
      <c r="DU97" s="364"/>
      <c r="DV97" s="364"/>
      <c r="DW97" s="364"/>
      <c r="DX97" s="364"/>
      <c r="DY97" s="364"/>
    </row>
    <row r="98" spans="2:129" s="468" customFormat="1" x14ac:dyDescent="0.25">
      <c r="B98" s="469">
        <v>2032</v>
      </c>
      <c r="C98" s="466">
        <v>257715</v>
      </c>
      <c r="D98" s="462" t="s">
        <v>701</v>
      </c>
      <c r="E98" s="461" t="s">
        <v>1149</v>
      </c>
      <c r="F98" s="462"/>
      <c r="G98" s="461"/>
      <c r="H98" s="461" t="s">
        <v>1151</v>
      </c>
      <c r="I98" s="461"/>
      <c r="J98" s="461">
        <v>2021</v>
      </c>
      <c r="K98" s="461"/>
      <c r="L98" s="461"/>
      <c r="M98" s="461" t="s">
        <v>798</v>
      </c>
      <c r="N98" s="465">
        <v>44439</v>
      </c>
      <c r="O98" s="465">
        <v>44439</v>
      </c>
      <c r="P98" s="461" t="s">
        <v>1150</v>
      </c>
      <c r="Q98" s="462">
        <v>1000</v>
      </c>
      <c r="R98" s="462">
        <v>14040</v>
      </c>
      <c r="S98" s="512">
        <v>388059.28</v>
      </c>
      <c r="T98" s="462">
        <v>14046</v>
      </c>
      <c r="U98" s="505">
        <v>45273.59</v>
      </c>
      <c r="V98" s="505">
        <f t="shared" si="61"/>
        <v>342785.69000000006</v>
      </c>
      <c r="W98" s="509">
        <v>32338.28</v>
      </c>
      <c r="X98" s="462">
        <v>51260</v>
      </c>
      <c r="Y98" s="505">
        <v>3233.83</v>
      </c>
      <c r="Z98" s="461" t="s">
        <v>701</v>
      </c>
      <c r="AA98" s="461"/>
      <c r="AB98" s="461"/>
      <c r="AC98" s="461"/>
      <c r="AD98" s="461" t="s">
        <v>705</v>
      </c>
      <c r="AE98" s="461" t="s">
        <v>703</v>
      </c>
      <c r="AF98" s="462" t="s">
        <v>351</v>
      </c>
      <c r="AG98" s="461"/>
      <c r="AH98" s="462" t="s">
        <v>707</v>
      </c>
      <c r="AI98" s="461">
        <v>0</v>
      </c>
      <c r="AJ98" s="461">
        <v>0</v>
      </c>
      <c r="AK98" s="364"/>
      <c r="AL98" s="364" t="s">
        <v>742</v>
      </c>
      <c r="AM98" s="490">
        <f t="shared" si="51"/>
        <v>8</v>
      </c>
      <c r="AN98" s="490">
        <f t="shared" si="52"/>
        <v>2021</v>
      </c>
      <c r="AO98" s="490">
        <f t="shared" si="57"/>
        <v>2031</v>
      </c>
      <c r="AP98" s="510">
        <f t="shared" si="53"/>
        <v>2031.6666666666667</v>
      </c>
      <c r="AQ98" s="351">
        <f t="shared" si="54"/>
        <v>3233.8273333333332</v>
      </c>
      <c r="AR98" s="351">
        <f t="shared" si="55"/>
        <v>38805.928</v>
      </c>
      <c r="AS98" s="351">
        <f t="shared" si="58"/>
        <v>38805.928</v>
      </c>
      <c r="AT98" s="351">
        <f t="shared" si="59"/>
        <v>38805.928</v>
      </c>
      <c r="AU98" s="351">
        <f t="shared" si="56"/>
        <v>77611.856</v>
      </c>
      <c r="AV98" s="351">
        <f t="shared" si="60"/>
        <v>310447.424</v>
      </c>
      <c r="AW98" s="491" t="s">
        <v>339</v>
      </c>
      <c r="AX98" s="364"/>
      <c r="AY98" s="364"/>
      <c r="AZ98" s="364"/>
      <c r="BA98" s="364"/>
      <c r="BB98" s="364"/>
      <c r="BC98" s="364"/>
      <c r="BD98" s="364"/>
      <c r="BE98" s="364"/>
      <c r="BF98" s="364"/>
      <c r="BG98" s="364"/>
      <c r="BH98" s="364"/>
      <c r="BI98" s="364"/>
      <c r="BJ98" s="364"/>
      <c r="BK98" s="364"/>
      <c r="BL98" s="364"/>
      <c r="BM98" s="364"/>
      <c r="BN98" s="364"/>
      <c r="BO98" s="364"/>
      <c r="BP98" s="364"/>
      <c r="BQ98" s="364"/>
      <c r="BR98" s="364"/>
      <c r="BS98" s="364"/>
      <c r="BT98" s="364"/>
      <c r="BU98" s="364"/>
      <c r="BV98" s="364"/>
      <c r="BW98" s="364"/>
      <c r="BX98" s="364"/>
      <c r="BY98" s="364"/>
      <c r="BZ98" s="364"/>
      <c r="CA98" s="364"/>
      <c r="CB98" s="364"/>
      <c r="CC98" s="364"/>
      <c r="CD98" s="364"/>
      <c r="CE98" s="364"/>
      <c r="CF98" s="364"/>
      <c r="CG98" s="364"/>
      <c r="CH98" s="364"/>
      <c r="CI98" s="364"/>
      <c r="CJ98" s="364"/>
      <c r="CK98" s="364"/>
      <c r="CL98" s="364"/>
      <c r="CM98" s="364"/>
      <c r="CN98" s="364"/>
      <c r="CO98" s="364"/>
      <c r="CP98" s="364"/>
      <c r="CQ98" s="364"/>
      <c r="CR98" s="364"/>
      <c r="CS98" s="364"/>
      <c r="CT98" s="364"/>
      <c r="CU98" s="364"/>
      <c r="CV98" s="364"/>
      <c r="CW98" s="364"/>
      <c r="CX98" s="364"/>
      <c r="CY98" s="364"/>
      <c r="CZ98" s="364"/>
      <c r="DA98" s="364"/>
      <c r="DB98" s="364"/>
      <c r="DC98" s="364"/>
      <c r="DD98" s="364"/>
      <c r="DE98" s="364"/>
      <c r="DF98" s="364"/>
      <c r="DG98" s="364"/>
      <c r="DH98" s="364"/>
      <c r="DI98" s="364"/>
      <c r="DJ98" s="364"/>
      <c r="DK98" s="364"/>
      <c r="DL98" s="364"/>
      <c r="DM98" s="364"/>
      <c r="DN98" s="364"/>
      <c r="DO98" s="364"/>
      <c r="DP98" s="364"/>
      <c r="DQ98" s="364"/>
      <c r="DR98" s="364"/>
      <c r="DS98" s="364"/>
      <c r="DT98" s="364"/>
      <c r="DU98" s="364"/>
      <c r="DV98" s="364"/>
      <c r="DW98" s="364"/>
      <c r="DX98" s="364"/>
      <c r="DY98" s="364"/>
    </row>
    <row r="99" spans="2:129" s="468" customFormat="1" x14ac:dyDescent="0.25">
      <c r="B99" s="469">
        <v>2032</v>
      </c>
      <c r="C99" s="466">
        <v>257714</v>
      </c>
      <c r="D99" s="462" t="s">
        <v>701</v>
      </c>
      <c r="E99" s="461" t="s">
        <v>1149</v>
      </c>
      <c r="F99" s="462"/>
      <c r="G99" s="461"/>
      <c r="H99" s="461" t="s">
        <v>1148</v>
      </c>
      <c r="I99" s="461"/>
      <c r="J99" s="461">
        <v>2021</v>
      </c>
      <c r="K99" s="461"/>
      <c r="L99" s="461"/>
      <c r="M99" s="461" t="s">
        <v>798</v>
      </c>
      <c r="N99" s="465">
        <v>44439</v>
      </c>
      <c r="O99" s="465">
        <v>44439</v>
      </c>
      <c r="P99" s="461" t="s">
        <v>1147</v>
      </c>
      <c r="Q99" s="462">
        <v>1000</v>
      </c>
      <c r="R99" s="462">
        <v>14040</v>
      </c>
      <c r="S99" s="512">
        <v>388059.28</v>
      </c>
      <c r="T99" s="462">
        <v>14046</v>
      </c>
      <c r="U99" s="505">
        <v>45273.59</v>
      </c>
      <c r="V99" s="505">
        <f t="shared" si="61"/>
        <v>342785.69000000006</v>
      </c>
      <c r="W99" s="509">
        <v>32338.28</v>
      </c>
      <c r="X99" s="462">
        <v>51260</v>
      </c>
      <c r="Y99" s="505">
        <v>3233.83</v>
      </c>
      <c r="Z99" s="461" t="s">
        <v>701</v>
      </c>
      <c r="AA99" s="461"/>
      <c r="AB99" s="461"/>
      <c r="AC99" s="461"/>
      <c r="AD99" s="461" t="s">
        <v>705</v>
      </c>
      <c r="AE99" s="461" t="s">
        <v>703</v>
      </c>
      <c r="AF99" s="462" t="s">
        <v>351</v>
      </c>
      <c r="AG99" s="461"/>
      <c r="AH99" s="462" t="s">
        <v>707</v>
      </c>
      <c r="AI99" s="461">
        <v>0</v>
      </c>
      <c r="AJ99" s="461">
        <v>0</v>
      </c>
      <c r="AK99" s="364"/>
      <c r="AL99" s="364" t="s">
        <v>742</v>
      </c>
      <c r="AM99" s="490">
        <f t="shared" si="51"/>
        <v>8</v>
      </c>
      <c r="AN99" s="490">
        <f t="shared" si="52"/>
        <v>2021</v>
      </c>
      <c r="AO99" s="490">
        <f t="shared" si="57"/>
        <v>2031</v>
      </c>
      <c r="AP99" s="510">
        <f t="shared" si="53"/>
        <v>2031.6666666666667</v>
      </c>
      <c r="AQ99" s="351">
        <f t="shared" si="54"/>
        <v>3233.8273333333332</v>
      </c>
      <c r="AR99" s="351">
        <f t="shared" si="55"/>
        <v>38805.928</v>
      </c>
      <c r="AS99" s="351">
        <f t="shared" si="58"/>
        <v>38805.928</v>
      </c>
      <c r="AT99" s="351">
        <f t="shared" si="59"/>
        <v>38805.928</v>
      </c>
      <c r="AU99" s="351">
        <f t="shared" si="56"/>
        <v>77611.856</v>
      </c>
      <c r="AV99" s="351">
        <f t="shared" si="60"/>
        <v>310447.424</v>
      </c>
      <c r="AW99" s="491" t="s">
        <v>339</v>
      </c>
      <c r="AX99" s="364"/>
      <c r="AY99" s="364"/>
      <c r="AZ99" s="364"/>
      <c r="BA99" s="364"/>
      <c r="BB99" s="364"/>
      <c r="BC99" s="364"/>
      <c r="BD99" s="364"/>
      <c r="BE99" s="364"/>
      <c r="BF99" s="364"/>
      <c r="BG99" s="364"/>
      <c r="BH99" s="364"/>
      <c r="BI99" s="364"/>
      <c r="BJ99" s="364"/>
      <c r="BK99" s="364"/>
      <c r="BL99" s="364"/>
      <c r="BM99" s="364"/>
      <c r="BN99" s="364"/>
      <c r="BO99" s="364"/>
      <c r="BP99" s="364"/>
      <c r="BQ99" s="364"/>
      <c r="BR99" s="364"/>
      <c r="BS99" s="364"/>
      <c r="BT99" s="364"/>
      <c r="BU99" s="364"/>
      <c r="BV99" s="364"/>
      <c r="BW99" s="364"/>
      <c r="BX99" s="364"/>
      <c r="BY99" s="364"/>
      <c r="BZ99" s="364"/>
      <c r="CA99" s="364"/>
      <c r="CB99" s="364"/>
      <c r="CC99" s="364"/>
      <c r="CD99" s="364"/>
      <c r="CE99" s="364"/>
      <c r="CF99" s="364"/>
      <c r="CG99" s="364"/>
      <c r="CH99" s="364"/>
      <c r="CI99" s="364"/>
      <c r="CJ99" s="364"/>
      <c r="CK99" s="364"/>
      <c r="CL99" s="364"/>
      <c r="CM99" s="364"/>
      <c r="CN99" s="364"/>
      <c r="CO99" s="364"/>
      <c r="CP99" s="364"/>
      <c r="CQ99" s="364"/>
      <c r="CR99" s="364"/>
      <c r="CS99" s="364"/>
      <c r="CT99" s="364"/>
      <c r="CU99" s="364"/>
      <c r="CV99" s="364"/>
      <c r="CW99" s="364"/>
      <c r="CX99" s="364"/>
      <c r="CY99" s="364"/>
      <c r="CZ99" s="364"/>
      <c r="DA99" s="364"/>
      <c r="DB99" s="364"/>
      <c r="DC99" s="364"/>
      <c r="DD99" s="364"/>
      <c r="DE99" s="364"/>
      <c r="DF99" s="364"/>
      <c r="DG99" s="364"/>
      <c r="DH99" s="364"/>
      <c r="DI99" s="364"/>
      <c r="DJ99" s="364"/>
      <c r="DK99" s="364"/>
      <c r="DL99" s="364"/>
      <c r="DM99" s="364"/>
      <c r="DN99" s="364"/>
      <c r="DO99" s="364"/>
      <c r="DP99" s="364"/>
      <c r="DQ99" s="364"/>
      <c r="DR99" s="364"/>
      <c r="DS99" s="364"/>
      <c r="DT99" s="364"/>
      <c r="DU99" s="364"/>
      <c r="DV99" s="364"/>
      <c r="DW99" s="364"/>
      <c r="DX99" s="364"/>
      <c r="DY99" s="364"/>
    </row>
    <row r="100" spans="2:129" s="468" customFormat="1" x14ac:dyDescent="0.25">
      <c r="B100" s="469">
        <v>2032</v>
      </c>
      <c r="C100" s="466">
        <v>257635</v>
      </c>
      <c r="D100" s="462" t="s">
        <v>701</v>
      </c>
      <c r="E100" s="461" t="s">
        <v>1146</v>
      </c>
      <c r="F100" s="462">
        <v>68</v>
      </c>
      <c r="G100" s="461"/>
      <c r="H100" s="461"/>
      <c r="I100" s="461"/>
      <c r="J100" s="461">
        <v>0</v>
      </c>
      <c r="K100" s="461"/>
      <c r="L100" s="461"/>
      <c r="M100" s="461" t="s">
        <v>848</v>
      </c>
      <c r="N100" s="465">
        <v>40969</v>
      </c>
      <c r="O100" s="465">
        <v>40969</v>
      </c>
      <c r="P100" s="461"/>
      <c r="Q100" s="462">
        <v>700</v>
      </c>
      <c r="R100" s="462">
        <v>14050</v>
      </c>
      <c r="S100" s="512">
        <v>10200</v>
      </c>
      <c r="T100" s="462">
        <v>14056</v>
      </c>
      <c r="U100" s="505">
        <v>10200</v>
      </c>
      <c r="V100" s="505">
        <f t="shared" si="61"/>
        <v>0</v>
      </c>
      <c r="W100" s="509">
        <v>0</v>
      </c>
      <c r="X100" s="462">
        <v>54260</v>
      </c>
      <c r="Y100" s="505">
        <v>0</v>
      </c>
      <c r="Z100" s="461" t="s">
        <v>703</v>
      </c>
      <c r="AA100" s="461" t="s">
        <v>1145</v>
      </c>
      <c r="AB100" s="461"/>
      <c r="AC100" s="461">
        <v>752</v>
      </c>
      <c r="AD100" s="461" t="s">
        <v>705</v>
      </c>
      <c r="AE100" s="461" t="s">
        <v>703</v>
      </c>
      <c r="AF100" s="462" t="s">
        <v>351</v>
      </c>
      <c r="AG100" s="467">
        <v>44408</v>
      </c>
      <c r="AH100" s="462" t="s">
        <v>707</v>
      </c>
      <c r="AI100" s="461">
        <v>0</v>
      </c>
      <c r="AJ100" s="461">
        <v>10200</v>
      </c>
      <c r="AK100" s="364"/>
      <c r="AL100" s="364" t="s">
        <v>295</v>
      </c>
      <c r="AM100" s="490">
        <f t="shared" si="51"/>
        <v>3</v>
      </c>
      <c r="AN100" s="490">
        <f t="shared" si="52"/>
        <v>2012</v>
      </c>
      <c r="AO100" s="490">
        <f t="shared" si="57"/>
        <v>2019</v>
      </c>
      <c r="AP100" s="510">
        <f t="shared" si="53"/>
        <v>2019.25</v>
      </c>
      <c r="AQ100" s="351">
        <f t="shared" si="54"/>
        <v>121.42857142857143</v>
      </c>
      <c r="AR100" s="351">
        <f t="shared" si="55"/>
        <v>1457.1428571428571</v>
      </c>
      <c r="AS100" s="351">
        <f t="shared" si="58"/>
        <v>0</v>
      </c>
      <c r="AT100" s="351">
        <f t="shared" si="59"/>
        <v>10200</v>
      </c>
      <c r="AU100" s="351">
        <f t="shared" si="56"/>
        <v>10200</v>
      </c>
      <c r="AV100" s="351">
        <f t="shared" si="60"/>
        <v>0</v>
      </c>
      <c r="AW100" s="491" t="s">
        <v>339</v>
      </c>
      <c r="AX100" s="364"/>
      <c r="AY100" s="364"/>
      <c r="AZ100" s="364"/>
      <c r="BA100" s="364"/>
      <c r="BB100" s="364"/>
      <c r="BC100" s="364"/>
      <c r="BD100" s="364"/>
      <c r="BE100" s="364"/>
      <c r="BF100" s="364"/>
      <c r="BG100" s="364"/>
      <c r="BH100" s="364"/>
      <c r="BI100" s="364"/>
      <c r="BJ100" s="364"/>
      <c r="BK100" s="364"/>
      <c r="BL100" s="364"/>
      <c r="BM100" s="364"/>
      <c r="BN100" s="364"/>
      <c r="BO100" s="364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4"/>
      <c r="BZ100" s="364"/>
      <c r="CA100" s="364"/>
      <c r="CB100" s="364"/>
      <c r="CC100" s="364"/>
      <c r="CD100" s="364"/>
      <c r="CE100" s="364"/>
      <c r="CF100" s="364"/>
      <c r="CG100" s="364"/>
      <c r="CH100" s="364"/>
      <c r="CI100" s="364"/>
      <c r="CJ100" s="364"/>
      <c r="CK100" s="364"/>
      <c r="CL100" s="364"/>
      <c r="CM100" s="364"/>
      <c r="CN100" s="364"/>
      <c r="CO100" s="364"/>
      <c r="CP100" s="364"/>
      <c r="CQ100" s="364"/>
      <c r="CR100" s="364"/>
      <c r="CS100" s="364"/>
      <c r="CT100" s="364"/>
      <c r="CU100" s="364"/>
      <c r="CV100" s="364"/>
      <c r="CW100" s="364"/>
      <c r="CX100" s="364"/>
      <c r="CY100" s="364"/>
      <c r="CZ100" s="364"/>
      <c r="DA100" s="364"/>
      <c r="DB100" s="364"/>
      <c r="DC100" s="364"/>
      <c r="DD100" s="364"/>
      <c r="DE100" s="364"/>
      <c r="DF100" s="364"/>
      <c r="DG100" s="364"/>
      <c r="DH100" s="364"/>
      <c r="DI100" s="364"/>
      <c r="DJ100" s="364"/>
      <c r="DK100" s="364"/>
      <c r="DL100" s="364"/>
      <c r="DM100" s="364"/>
      <c r="DN100" s="364"/>
      <c r="DO100" s="364"/>
      <c r="DP100" s="364"/>
      <c r="DQ100" s="364"/>
      <c r="DR100" s="364"/>
      <c r="DS100" s="364"/>
      <c r="DT100" s="364"/>
      <c r="DU100" s="364"/>
      <c r="DV100" s="364"/>
      <c r="DW100" s="364"/>
      <c r="DX100" s="364"/>
      <c r="DY100" s="364"/>
    </row>
    <row r="101" spans="2:129" s="468" customFormat="1" x14ac:dyDescent="0.25">
      <c r="B101" s="469">
        <v>2032</v>
      </c>
      <c r="C101" s="466">
        <v>257569</v>
      </c>
      <c r="D101" s="462" t="s">
        <v>701</v>
      </c>
      <c r="E101" s="461" t="s">
        <v>1135</v>
      </c>
      <c r="F101" s="462">
        <v>3</v>
      </c>
      <c r="G101" s="461"/>
      <c r="H101" s="461"/>
      <c r="I101" s="461"/>
      <c r="J101" s="461">
        <v>0</v>
      </c>
      <c r="K101" s="461" t="s">
        <v>1093</v>
      </c>
      <c r="L101" s="461"/>
      <c r="M101" s="461" t="s">
        <v>856</v>
      </c>
      <c r="N101" s="465">
        <v>44409</v>
      </c>
      <c r="O101" s="465">
        <v>44409</v>
      </c>
      <c r="P101" s="461" t="s">
        <v>1134</v>
      </c>
      <c r="Q101" s="462">
        <v>1200</v>
      </c>
      <c r="R101" s="462">
        <v>14050</v>
      </c>
      <c r="S101" s="512">
        <v>25879.14</v>
      </c>
      <c r="T101" s="462">
        <v>14056</v>
      </c>
      <c r="U101" s="505">
        <v>2695.75</v>
      </c>
      <c r="V101" s="505">
        <f t="shared" si="61"/>
        <v>23183.39</v>
      </c>
      <c r="W101" s="509">
        <v>1797.17</v>
      </c>
      <c r="X101" s="462">
        <v>54260</v>
      </c>
      <c r="Y101" s="505">
        <v>179.72</v>
      </c>
      <c r="Z101" s="461" t="s">
        <v>701</v>
      </c>
      <c r="AA101" s="461"/>
      <c r="AB101" s="461" t="s">
        <v>1144</v>
      </c>
      <c r="AC101" s="461"/>
      <c r="AD101" s="461" t="s">
        <v>705</v>
      </c>
      <c r="AE101" s="461" t="s">
        <v>703</v>
      </c>
      <c r="AF101" s="462" t="s">
        <v>351</v>
      </c>
      <c r="AG101" s="461"/>
      <c r="AH101" s="462" t="s">
        <v>707</v>
      </c>
      <c r="AI101" s="461">
        <v>0</v>
      </c>
      <c r="AJ101" s="461">
        <v>0</v>
      </c>
      <c r="AK101" s="364"/>
      <c r="AL101" s="364" t="s">
        <v>297</v>
      </c>
      <c r="AM101" s="490">
        <f t="shared" si="51"/>
        <v>8</v>
      </c>
      <c r="AN101" s="490">
        <f t="shared" si="52"/>
        <v>2021</v>
      </c>
      <c r="AO101" s="490">
        <f t="shared" si="57"/>
        <v>2033</v>
      </c>
      <c r="AP101" s="510">
        <f t="shared" si="53"/>
        <v>2033.6666666666667</v>
      </c>
      <c r="AQ101" s="351">
        <f t="shared" si="54"/>
        <v>179.71624999999997</v>
      </c>
      <c r="AR101" s="351">
        <f t="shared" si="55"/>
        <v>2156.5949999999998</v>
      </c>
      <c r="AS101" s="351">
        <f t="shared" si="58"/>
        <v>2156.5949999999998</v>
      </c>
      <c r="AT101" s="351">
        <f t="shared" si="59"/>
        <v>2156.5949999999998</v>
      </c>
      <c r="AU101" s="351">
        <f t="shared" si="56"/>
        <v>4313.1899999999996</v>
      </c>
      <c r="AV101" s="351">
        <f t="shared" si="60"/>
        <v>21565.95</v>
      </c>
      <c r="AW101" s="491" t="s">
        <v>339</v>
      </c>
      <c r="AX101" s="364"/>
      <c r="AY101" s="364"/>
      <c r="AZ101" s="364"/>
      <c r="BA101" s="364"/>
      <c r="BB101" s="364"/>
      <c r="BC101" s="364"/>
      <c r="BD101" s="364"/>
      <c r="BE101" s="364"/>
      <c r="BF101" s="364"/>
      <c r="BG101" s="364"/>
      <c r="BH101" s="364"/>
      <c r="BI101" s="364"/>
      <c r="BJ101" s="364"/>
      <c r="BK101" s="364"/>
      <c r="BL101" s="364"/>
      <c r="BM101" s="364"/>
      <c r="BN101" s="364"/>
      <c r="BO101" s="364"/>
      <c r="BP101" s="364"/>
      <c r="BQ101" s="364"/>
      <c r="BR101" s="364"/>
      <c r="BS101" s="364"/>
      <c r="BT101" s="364"/>
      <c r="BU101" s="364"/>
      <c r="BV101" s="364"/>
      <c r="BW101" s="364"/>
      <c r="BX101" s="364"/>
      <c r="BY101" s="364"/>
      <c r="BZ101" s="364"/>
      <c r="CA101" s="364"/>
      <c r="CB101" s="364"/>
      <c r="CC101" s="364"/>
      <c r="CD101" s="364"/>
      <c r="CE101" s="364"/>
      <c r="CF101" s="364"/>
      <c r="CG101" s="364"/>
      <c r="CH101" s="364"/>
      <c r="CI101" s="364"/>
      <c r="CJ101" s="364"/>
      <c r="CK101" s="364"/>
      <c r="CL101" s="364"/>
      <c r="CM101" s="364"/>
      <c r="CN101" s="364"/>
      <c r="CO101" s="364"/>
      <c r="CP101" s="364"/>
      <c r="CQ101" s="364"/>
      <c r="CR101" s="364"/>
      <c r="CS101" s="364"/>
      <c r="CT101" s="364"/>
      <c r="CU101" s="364"/>
      <c r="CV101" s="364"/>
      <c r="CW101" s="364"/>
      <c r="CX101" s="364"/>
      <c r="CY101" s="364"/>
      <c r="CZ101" s="364"/>
      <c r="DA101" s="364"/>
      <c r="DB101" s="364"/>
      <c r="DC101" s="364"/>
      <c r="DD101" s="364"/>
      <c r="DE101" s="364"/>
      <c r="DF101" s="364"/>
      <c r="DG101" s="364"/>
      <c r="DH101" s="364"/>
      <c r="DI101" s="364"/>
      <c r="DJ101" s="364"/>
      <c r="DK101" s="364"/>
      <c r="DL101" s="364"/>
      <c r="DM101" s="364"/>
      <c r="DN101" s="364"/>
      <c r="DO101" s="364"/>
      <c r="DP101" s="364"/>
      <c r="DQ101" s="364"/>
      <c r="DR101" s="364"/>
      <c r="DS101" s="364"/>
      <c r="DT101" s="364"/>
      <c r="DU101" s="364"/>
      <c r="DV101" s="364"/>
      <c r="DW101" s="364"/>
      <c r="DX101" s="364"/>
      <c r="DY101" s="364"/>
    </row>
    <row r="102" spans="2:129" s="468" customFormat="1" x14ac:dyDescent="0.25">
      <c r="B102" s="469">
        <v>2032</v>
      </c>
      <c r="C102" s="466">
        <v>256375</v>
      </c>
      <c r="D102" s="462">
        <v>253427</v>
      </c>
      <c r="E102" s="461" t="s">
        <v>1143</v>
      </c>
      <c r="F102" s="462">
        <v>1</v>
      </c>
      <c r="G102" s="461"/>
      <c r="H102" s="461"/>
      <c r="I102" s="461"/>
      <c r="J102" s="461">
        <v>0</v>
      </c>
      <c r="K102" s="461" t="s">
        <v>1142</v>
      </c>
      <c r="L102" s="461"/>
      <c r="M102" s="461"/>
      <c r="N102" s="465">
        <v>44361</v>
      </c>
      <c r="O102" s="465">
        <v>44361</v>
      </c>
      <c r="P102" s="461" t="s">
        <v>1109</v>
      </c>
      <c r="Q102" s="462">
        <v>200</v>
      </c>
      <c r="R102" s="462">
        <v>14110</v>
      </c>
      <c r="S102" s="512">
        <v>337.78</v>
      </c>
      <c r="T102" s="462">
        <v>14116</v>
      </c>
      <c r="U102" s="505">
        <v>239.25</v>
      </c>
      <c r="V102" s="505">
        <f t="shared" si="61"/>
        <v>98.529999999999973</v>
      </c>
      <c r="W102" s="509">
        <v>140.74</v>
      </c>
      <c r="X102" s="462">
        <v>70260</v>
      </c>
      <c r="Y102" s="505">
        <v>14.07</v>
      </c>
      <c r="Z102" s="461" t="s">
        <v>701</v>
      </c>
      <c r="AA102" s="461"/>
      <c r="AB102" s="461" t="s">
        <v>1141</v>
      </c>
      <c r="AC102" s="461"/>
      <c r="AD102" s="461" t="s">
        <v>705</v>
      </c>
      <c r="AE102" s="461" t="s">
        <v>703</v>
      </c>
      <c r="AF102" s="462" t="s">
        <v>351</v>
      </c>
      <c r="AG102" s="461"/>
      <c r="AH102" s="462" t="s">
        <v>707</v>
      </c>
      <c r="AI102" s="461">
        <v>0</v>
      </c>
      <c r="AJ102" s="461">
        <v>0</v>
      </c>
      <c r="AK102" s="364"/>
      <c r="AL102" s="364" t="s">
        <v>300</v>
      </c>
      <c r="AM102" s="490">
        <f t="shared" si="51"/>
        <v>6</v>
      </c>
      <c r="AN102" s="490">
        <f t="shared" si="52"/>
        <v>2021</v>
      </c>
      <c r="AO102" s="490">
        <f t="shared" si="57"/>
        <v>2023</v>
      </c>
      <c r="AP102" s="510">
        <f t="shared" si="53"/>
        <v>2023.5</v>
      </c>
      <c r="AQ102" s="351">
        <f t="shared" si="54"/>
        <v>14.074166666666665</v>
      </c>
      <c r="AR102" s="351">
        <f t="shared" si="55"/>
        <v>168.89</v>
      </c>
      <c r="AS102" s="351">
        <f t="shared" si="58"/>
        <v>0</v>
      </c>
      <c r="AT102" s="351">
        <f t="shared" si="59"/>
        <v>337.78</v>
      </c>
      <c r="AU102" s="351">
        <f t="shared" si="56"/>
        <v>337.78</v>
      </c>
      <c r="AV102" s="351">
        <f t="shared" si="60"/>
        <v>0</v>
      </c>
      <c r="AW102" s="491" t="s">
        <v>339</v>
      </c>
      <c r="AX102" s="364"/>
      <c r="AY102" s="364"/>
      <c r="AZ102" s="364"/>
      <c r="BA102" s="364"/>
      <c r="BB102" s="364"/>
      <c r="BC102" s="364"/>
      <c r="BD102" s="364"/>
      <c r="BE102" s="364"/>
      <c r="BF102" s="364"/>
      <c r="BG102" s="364"/>
      <c r="BH102" s="364"/>
      <c r="BI102" s="364"/>
      <c r="BJ102" s="364"/>
      <c r="BK102" s="364"/>
      <c r="BL102" s="364"/>
      <c r="BM102" s="364"/>
      <c r="BN102" s="364"/>
      <c r="BO102" s="364"/>
      <c r="BP102" s="364"/>
      <c r="BQ102" s="364"/>
      <c r="BR102" s="364"/>
      <c r="BS102" s="364"/>
      <c r="BT102" s="364"/>
      <c r="BU102" s="364"/>
      <c r="BV102" s="364"/>
      <c r="BW102" s="364"/>
      <c r="BX102" s="364"/>
      <c r="BY102" s="364"/>
      <c r="BZ102" s="364"/>
      <c r="CA102" s="364"/>
      <c r="CB102" s="364"/>
      <c r="CC102" s="364"/>
      <c r="CD102" s="364"/>
      <c r="CE102" s="364"/>
      <c r="CF102" s="364"/>
      <c r="CG102" s="364"/>
      <c r="CH102" s="364"/>
      <c r="CI102" s="364"/>
      <c r="CJ102" s="364"/>
      <c r="CK102" s="364"/>
      <c r="CL102" s="364"/>
      <c r="CM102" s="364"/>
      <c r="CN102" s="364"/>
      <c r="CO102" s="364"/>
      <c r="CP102" s="364"/>
      <c r="CQ102" s="364"/>
      <c r="CR102" s="364"/>
      <c r="CS102" s="364"/>
      <c r="CT102" s="364"/>
      <c r="CU102" s="364"/>
      <c r="CV102" s="364"/>
      <c r="CW102" s="364"/>
      <c r="CX102" s="364"/>
      <c r="CY102" s="364"/>
      <c r="CZ102" s="364"/>
      <c r="DA102" s="364"/>
      <c r="DB102" s="364"/>
      <c r="DC102" s="364"/>
      <c r="DD102" s="364"/>
      <c r="DE102" s="364"/>
      <c r="DF102" s="364"/>
      <c r="DG102" s="364"/>
      <c r="DH102" s="364"/>
      <c r="DI102" s="364"/>
      <c r="DJ102" s="364"/>
      <c r="DK102" s="364"/>
      <c r="DL102" s="364"/>
      <c r="DM102" s="364"/>
      <c r="DN102" s="364"/>
      <c r="DO102" s="364"/>
      <c r="DP102" s="364"/>
      <c r="DQ102" s="364"/>
      <c r="DR102" s="364"/>
      <c r="DS102" s="364"/>
      <c r="DT102" s="364"/>
      <c r="DU102" s="364"/>
      <c r="DV102" s="364"/>
      <c r="DW102" s="364"/>
      <c r="DX102" s="364"/>
      <c r="DY102" s="364"/>
    </row>
    <row r="103" spans="2:129" s="468" customFormat="1" x14ac:dyDescent="0.25">
      <c r="B103" s="469">
        <v>2032</v>
      </c>
      <c r="C103" s="466">
        <v>255682</v>
      </c>
      <c r="D103" s="462" t="s">
        <v>701</v>
      </c>
      <c r="E103" s="461" t="s">
        <v>1140</v>
      </c>
      <c r="F103" s="462">
        <v>1</v>
      </c>
      <c r="G103" s="461"/>
      <c r="H103" s="461"/>
      <c r="I103" s="461"/>
      <c r="J103" s="461">
        <v>0</v>
      </c>
      <c r="K103" s="461"/>
      <c r="L103" s="461"/>
      <c r="M103" s="461"/>
      <c r="N103" s="465">
        <v>44378</v>
      </c>
      <c r="O103" s="465">
        <v>44378</v>
      </c>
      <c r="P103" s="461" t="s">
        <v>1139</v>
      </c>
      <c r="Q103" s="462">
        <v>500</v>
      </c>
      <c r="R103" s="462">
        <v>14070</v>
      </c>
      <c r="S103" s="512">
        <v>539.04999999999995</v>
      </c>
      <c r="T103" s="462">
        <v>14076</v>
      </c>
      <c r="U103" s="505">
        <v>143.74</v>
      </c>
      <c r="V103" s="505">
        <f t="shared" si="61"/>
        <v>395.30999999999995</v>
      </c>
      <c r="W103" s="509">
        <v>89.84</v>
      </c>
      <c r="X103" s="462">
        <v>51260</v>
      </c>
      <c r="Y103" s="505">
        <v>8.98</v>
      </c>
      <c r="Z103" s="461" t="s">
        <v>701</v>
      </c>
      <c r="AA103" s="461"/>
      <c r="AB103" s="461"/>
      <c r="AC103" s="461"/>
      <c r="AD103" s="461" t="s">
        <v>705</v>
      </c>
      <c r="AE103" s="461" t="s">
        <v>703</v>
      </c>
      <c r="AF103" s="462" t="s">
        <v>351</v>
      </c>
      <c r="AG103" s="461"/>
      <c r="AH103" s="462" t="s">
        <v>707</v>
      </c>
      <c r="AI103" s="461">
        <v>0</v>
      </c>
      <c r="AJ103" s="461">
        <v>0</v>
      </c>
      <c r="AK103" s="364"/>
      <c r="AL103" s="364" t="s">
        <v>741</v>
      </c>
      <c r="AM103" s="490">
        <f t="shared" si="51"/>
        <v>7</v>
      </c>
      <c r="AN103" s="490">
        <f t="shared" si="52"/>
        <v>2021</v>
      </c>
      <c r="AO103" s="490">
        <f t="shared" si="57"/>
        <v>2026</v>
      </c>
      <c r="AP103" s="510">
        <f t="shared" si="53"/>
        <v>2026.5833333333333</v>
      </c>
      <c r="AQ103" s="351">
        <f t="shared" si="54"/>
        <v>8.9841666666666651</v>
      </c>
      <c r="AR103" s="351">
        <f t="shared" si="55"/>
        <v>107.80999999999997</v>
      </c>
      <c r="AS103" s="351">
        <f t="shared" si="58"/>
        <v>107.80999999999997</v>
      </c>
      <c r="AT103" s="351">
        <f t="shared" si="59"/>
        <v>107.80999999999997</v>
      </c>
      <c r="AU103" s="351">
        <f t="shared" si="56"/>
        <v>215.61999999999995</v>
      </c>
      <c r="AV103" s="351">
        <f t="shared" si="60"/>
        <v>323.43</v>
      </c>
      <c r="AW103" s="491" t="s">
        <v>339</v>
      </c>
      <c r="AX103" s="364"/>
      <c r="AY103" s="364"/>
      <c r="AZ103" s="364"/>
      <c r="BA103" s="364"/>
      <c r="BB103" s="364"/>
      <c r="BC103" s="364"/>
      <c r="BD103" s="364"/>
      <c r="BE103" s="364"/>
      <c r="BF103" s="364"/>
      <c r="BG103" s="364"/>
      <c r="BH103" s="364"/>
      <c r="BI103" s="364"/>
      <c r="BJ103" s="364"/>
      <c r="BK103" s="364"/>
      <c r="BL103" s="364"/>
      <c r="BM103" s="364"/>
      <c r="BN103" s="364"/>
      <c r="BO103" s="364"/>
      <c r="BP103" s="364"/>
      <c r="BQ103" s="364"/>
      <c r="BR103" s="364"/>
      <c r="BS103" s="364"/>
      <c r="BT103" s="364"/>
      <c r="BU103" s="364"/>
      <c r="BV103" s="364"/>
      <c r="BW103" s="364"/>
      <c r="BX103" s="364"/>
      <c r="BY103" s="364"/>
      <c r="BZ103" s="364"/>
      <c r="CA103" s="364"/>
      <c r="CB103" s="364"/>
      <c r="CC103" s="364"/>
      <c r="CD103" s="364"/>
      <c r="CE103" s="364"/>
      <c r="CF103" s="364"/>
      <c r="CG103" s="364"/>
      <c r="CH103" s="364"/>
      <c r="CI103" s="364"/>
      <c r="CJ103" s="364"/>
      <c r="CK103" s="364"/>
      <c r="CL103" s="364"/>
      <c r="CM103" s="364"/>
      <c r="CN103" s="364"/>
      <c r="CO103" s="364"/>
      <c r="CP103" s="364"/>
      <c r="CQ103" s="364"/>
      <c r="CR103" s="364"/>
      <c r="CS103" s="364"/>
      <c r="CT103" s="364"/>
      <c r="CU103" s="364"/>
      <c r="CV103" s="364"/>
      <c r="CW103" s="364"/>
      <c r="CX103" s="364"/>
      <c r="CY103" s="364"/>
      <c r="CZ103" s="364"/>
      <c r="DA103" s="364"/>
      <c r="DB103" s="364"/>
      <c r="DC103" s="364"/>
      <c r="DD103" s="364"/>
      <c r="DE103" s="364"/>
      <c r="DF103" s="364"/>
      <c r="DG103" s="364"/>
      <c r="DH103" s="364"/>
      <c r="DI103" s="364"/>
      <c r="DJ103" s="364"/>
      <c r="DK103" s="364"/>
      <c r="DL103" s="364"/>
      <c r="DM103" s="364"/>
      <c r="DN103" s="364"/>
      <c r="DO103" s="364"/>
      <c r="DP103" s="364"/>
      <c r="DQ103" s="364"/>
      <c r="DR103" s="364"/>
      <c r="DS103" s="364"/>
      <c r="DT103" s="364"/>
      <c r="DU103" s="364"/>
      <c r="DV103" s="364"/>
      <c r="DW103" s="364"/>
      <c r="DX103" s="364"/>
      <c r="DY103" s="364"/>
    </row>
    <row r="104" spans="2:129" s="468" customFormat="1" x14ac:dyDescent="0.25">
      <c r="B104" s="469">
        <v>2032</v>
      </c>
      <c r="C104" s="466">
        <v>255504</v>
      </c>
      <c r="D104" s="462" t="s">
        <v>701</v>
      </c>
      <c r="E104" s="461" t="s">
        <v>1138</v>
      </c>
      <c r="F104" s="462"/>
      <c r="G104" s="461"/>
      <c r="H104" s="461" t="s">
        <v>1137</v>
      </c>
      <c r="I104" s="461"/>
      <c r="J104" s="461">
        <v>2022</v>
      </c>
      <c r="K104" s="461"/>
      <c r="L104" s="461"/>
      <c r="M104" s="461" t="s">
        <v>779</v>
      </c>
      <c r="N104" s="465">
        <v>44408</v>
      </c>
      <c r="O104" s="465">
        <v>44408</v>
      </c>
      <c r="P104" s="461" t="s">
        <v>1136</v>
      </c>
      <c r="Q104" s="462">
        <v>1000</v>
      </c>
      <c r="R104" s="462">
        <v>14040</v>
      </c>
      <c r="S104" s="512">
        <v>257987.68</v>
      </c>
      <c r="T104" s="462">
        <v>14046</v>
      </c>
      <c r="U104" s="505">
        <v>32248.47</v>
      </c>
      <c r="V104" s="505">
        <f t="shared" si="61"/>
        <v>225739.21</v>
      </c>
      <c r="W104" s="509">
        <v>21498.98</v>
      </c>
      <c r="X104" s="462">
        <v>51260</v>
      </c>
      <c r="Y104" s="505">
        <v>2149.9</v>
      </c>
      <c r="Z104" s="461" t="s">
        <v>701</v>
      </c>
      <c r="AA104" s="461"/>
      <c r="AB104" s="461"/>
      <c r="AC104" s="461"/>
      <c r="AD104" s="461" t="s">
        <v>705</v>
      </c>
      <c r="AE104" s="461" t="s">
        <v>703</v>
      </c>
      <c r="AF104" s="462" t="s">
        <v>351</v>
      </c>
      <c r="AG104" s="461"/>
      <c r="AH104" s="462" t="s">
        <v>707</v>
      </c>
      <c r="AI104" s="461">
        <v>0</v>
      </c>
      <c r="AJ104" s="461">
        <v>0</v>
      </c>
      <c r="AK104" s="364"/>
      <c r="AL104" s="364" t="s">
        <v>741</v>
      </c>
      <c r="AM104" s="490">
        <f t="shared" si="51"/>
        <v>7</v>
      </c>
      <c r="AN104" s="490">
        <f t="shared" si="52"/>
        <v>2021</v>
      </c>
      <c r="AO104" s="490">
        <f t="shared" si="57"/>
        <v>2031</v>
      </c>
      <c r="AP104" s="510">
        <f t="shared" si="53"/>
        <v>2031.5833333333333</v>
      </c>
      <c r="AQ104" s="351">
        <f t="shared" si="54"/>
        <v>2149.8973333333333</v>
      </c>
      <c r="AR104" s="351">
        <f t="shared" si="55"/>
        <v>25798.768</v>
      </c>
      <c r="AS104" s="351">
        <f t="shared" si="58"/>
        <v>25798.768</v>
      </c>
      <c r="AT104" s="351">
        <f t="shared" si="59"/>
        <v>25798.768</v>
      </c>
      <c r="AU104" s="351">
        <f t="shared" si="56"/>
        <v>51597.536</v>
      </c>
      <c r="AV104" s="351">
        <f t="shared" si="60"/>
        <v>206390.144</v>
      </c>
      <c r="AW104" s="491" t="s">
        <v>339</v>
      </c>
      <c r="AX104" s="364"/>
      <c r="AY104" s="364"/>
      <c r="AZ104" s="364"/>
      <c r="BA104" s="364"/>
      <c r="BB104" s="364"/>
      <c r="BC104" s="364"/>
      <c r="BD104" s="364"/>
      <c r="BE104" s="364"/>
      <c r="BF104" s="364"/>
      <c r="BG104" s="364"/>
      <c r="BH104" s="364"/>
      <c r="BI104" s="364"/>
      <c r="BJ104" s="364"/>
      <c r="BK104" s="364"/>
      <c r="BL104" s="364"/>
      <c r="BM104" s="364"/>
      <c r="BN104" s="364"/>
      <c r="BO104" s="364"/>
      <c r="BP104" s="364"/>
      <c r="BQ104" s="364"/>
      <c r="BR104" s="364"/>
      <c r="BS104" s="364"/>
      <c r="BT104" s="364"/>
      <c r="BU104" s="364"/>
      <c r="BV104" s="364"/>
      <c r="BW104" s="364"/>
      <c r="BX104" s="364"/>
      <c r="BY104" s="364"/>
      <c r="BZ104" s="364"/>
      <c r="CA104" s="364"/>
      <c r="CB104" s="364"/>
      <c r="CC104" s="364"/>
      <c r="CD104" s="364"/>
      <c r="CE104" s="364"/>
      <c r="CF104" s="364"/>
      <c r="CG104" s="364"/>
      <c r="CH104" s="364"/>
      <c r="CI104" s="364"/>
      <c r="CJ104" s="364"/>
      <c r="CK104" s="364"/>
      <c r="CL104" s="364"/>
      <c r="CM104" s="364"/>
      <c r="CN104" s="364"/>
      <c r="CO104" s="364"/>
      <c r="CP104" s="364"/>
      <c r="CQ104" s="364"/>
      <c r="CR104" s="364"/>
      <c r="CS104" s="364"/>
      <c r="CT104" s="364"/>
      <c r="CU104" s="364"/>
      <c r="CV104" s="364"/>
      <c r="CW104" s="364"/>
      <c r="CX104" s="364"/>
      <c r="CY104" s="364"/>
      <c r="CZ104" s="364"/>
      <c r="DA104" s="364"/>
      <c r="DB104" s="364"/>
      <c r="DC104" s="364"/>
      <c r="DD104" s="364"/>
      <c r="DE104" s="364"/>
      <c r="DF104" s="364"/>
      <c r="DG104" s="364"/>
      <c r="DH104" s="364"/>
      <c r="DI104" s="364"/>
      <c r="DJ104" s="364"/>
      <c r="DK104" s="364"/>
      <c r="DL104" s="364"/>
      <c r="DM104" s="364"/>
      <c r="DN104" s="364"/>
      <c r="DO104" s="364"/>
      <c r="DP104" s="364"/>
      <c r="DQ104" s="364"/>
      <c r="DR104" s="364"/>
      <c r="DS104" s="364"/>
      <c r="DT104" s="364"/>
      <c r="DU104" s="364"/>
      <c r="DV104" s="364"/>
      <c r="DW104" s="364"/>
      <c r="DX104" s="364"/>
      <c r="DY104" s="364"/>
    </row>
    <row r="105" spans="2:129" s="468" customFormat="1" x14ac:dyDescent="0.25">
      <c r="B105" s="469">
        <v>2032</v>
      </c>
      <c r="C105" s="466">
        <v>255154</v>
      </c>
      <c r="D105" s="462" t="s">
        <v>701</v>
      </c>
      <c r="E105" s="461" t="s">
        <v>1135</v>
      </c>
      <c r="F105" s="462">
        <v>2</v>
      </c>
      <c r="G105" s="461"/>
      <c r="H105" s="461"/>
      <c r="I105" s="461"/>
      <c r="J105" s="461">
        <v>0</v>
      </c>
      <c r="K105" s="461" t="s">
        <v>1093</v>
      </c>
      <c r="L105" s="461"/>
      <c r="M105" s="461" t="s">
        <v>856</v>
      </c>
      <c r="N105" s="465">
        <v>44378</v>
      </c>
      <c r="O105" s="465">
        <v>44378</v>
      </c>
      <c r="P105" s="461" t="s">
        <v>1134</v>
      </c>
      <c r="Q105" s="462">
        <v>1200</v>
      </c>
      <c r="R105" s="462">
        <v>14050</v>
      </c>
      <c r="S105" s="512">
        <v>17252.759999999998</v>
      </c>
      <c r="T105" s="462">
        <v>14056</v>
      </c>
      <c r="U105" s="505">
        <v>1916.96</v>
      </c>
      <c r="V105" s="505">
        <f t="shared" si="61"/>
        <v>15335.8</v>
      </c>
      <c r="W105" s="509">
        <v>1198.0899999999999</v>
      </c>
      <c r="X105" s="462">
        <v>54260</v>
      </c>
      <c r="Y105" s="505">
        <v>119.81</v>
      </c>
      <c r="Z105" s="461" t="s">
        <v>701</v>
      </c>
      <c r="AA105" s="461"/>
      <c r="AB105" s="461" t="s">
        <v>1133</v>
      </c>
      <c r="AC105" s="461"/>
      <c r="AD105" s="461" t="s">
        <v>705</v>
      </c>
      <c r="AE105" s="461" t="s">
        <v>703</v>
      </c>
      <c r="AF105" s="462" t="s">
        <v>351</v>
      </c>
      <c r="AG105" s="461"/>
      <c r="AH105" s="462" t="s">
        <v>707</v>
      </c>
      <c r="AI105" s="461">
        <v>0</v>
      </c>
      <c r="AJ105" s="461">
        <v>0</v>
      </c>
      <c r="AK105" s="364"/>
      <c r="AL105" s="364" t="s">
        <v>297</v>
      </c>
      <c r="AM105" s="490">
        <f t="shared" si="51"/>
        <v>7</v>
      </c>
      <c r="AN105" s="490">
        <f t="shared" si="52"/>
        <v>2021</v>
      </c>
      <c r="AO105" s="490">
        <f t="shared" si="57"/>
        <v>2033</v>
      </c>
      <c r="AP105" s="510">
        <f t="shared" si="53"/>
        <v>2033.5833333333333</v>
      </c>
      <c r="AQ105" s="351">
        <f t="shared" si="54"/>
        <v>119.81083333333332</v>
      </c>
      <c r="AR105" s="351">
        <f t="shared" si="55"/>
        <v>1437.7299999999998</v>
      </c>
      <c r="AS105" s="351">
        <f t="shared" si="58"/>
        <v>1437.7299999999998</v>
      </c>
      <c r="AT105" s="351">
        <f t="shared" si="59"/>
        <v>1437.7299999999998</v>
      </c>
      <c r="AU105" s="351">
        <f t="shared" si="56"/>
        <v>2875.4599999999996</v>
      </c>
      <c r="AV105" s="351">
        <f t="shared" si="60"/>
        <v>14377.3</v>
      </c>
      <c r="AW105" s="491" t="s">
        <v>339</v>
      </c>
      <c r="AX105" s="364"/>
      <c r="AY105" s="364"/>
      <c r="AZ105" s="364"/>
      <c r="BA105" s="364"/>
      <c r="BB105" s="364"/>
      <c r="BC105" s="364"/>
      <c r="BD105" s="364"/>
      <c r="BE105" s="364"/>
      <c r="BF105" s="364"/>
      <c r="BG105" s="364"/>
      <c r="BH105" s="364"/>
      <c r="BI105" s="364"/>
      <c r="BJ105" s="364"/>
      <c r="BK105" s="364"/>
      <c r="BL105" s="364"/>
      <c r="BM105" s="364"/>
      <c r="BN105" s="364"/>
      <c r="BO105" s="364"/>
      <c r="BP105" s="364"/>
      <c r="BQ105" s="364"/>
      <c r="BR105" s="364"/>
      <c r="BS105" s="364"/>
      <c r="BT105" s="364"/>
      <c r="BU105" s="364"/>
      <c r="BV105" s="364"/>
      <c r="BW105" s="364"/>
      <c r="BX105" s="364"/>
      <c r="BY105" s="364"/>
      <c r="BZ105" s="364"/>
      <c r="CA105" s="364"/>
      <c r="CB105" s="364"/>
      <c r="CC105" s="364"/>
      <c r="CD105" s="364"/>
      <c r="CE105" s="364"/>
      <c r="CF105" s="364"/>
      <c r="CG105" s="364"/>
      <c r="CH105" s="364"/>
      <c r="CI105" s="364"/>
      <c r="CJ105" s="364"/>
      <c r="CK105" s="364"/>
      <c r="CL105" s="364"/>
      <c r="CM105" s="364"/>
      <c r="CN105" s="364"/>
      <c r="CO105" s="364"/>
      <c r="CP105" s="364"/>
      <c r="CQ105" s="364"/>
      <c r="CR105" s="364"/>
      <c r="CS105" s="364"/>
      <c r="CT105" s="364"/>
      <c r="CU105" s="364"/>
      <c r="CV105" s="364"/>
      <c r="CW105" s="364"/>
      <c r="CX105" s="364"/>
      <c r="CY105" s="364"/>
      <c r="CZ105" s="364"/>
      <c r="DA105" s="364"/>
      <c r="DB105" s="364"/>
      <c r="DC105" s="364"/>
      <c r="DD105" s="364"/>
      <c r="DE105" s="364"/>
      <c r="DF105" s="364"/>
      <c r="DG105" s="364"/>
      <c r="DH105" s="364"/>
      <c r="DI105" s="364"/>
      <c r="DJ105" s="364"/>
      <c r="DK105" s="364"/>
      <c r="DL105" s="364"/>
      <c r="DM105" s="364"/>
      <c r="DN105" s="364"/>
      <c r="DO105" s="364"/>
      <c r="DP105" s="364"/>
      <c r="DQ105" s="364"/>
      <c r="DR105" s="364"/>
      <c r="DS105" s="364"/>
      <c r="DT105" s="364"/>
      <c r="DU105" s="364"/>
      <c r="DV105" s="364"/>
      <c r="DW105" s="364"/>
      <c r="DX105" s="364"/>
      <c r="DY105" s="364"/>
    </row>
    <row r="106" spans="2:129" s="468" customFormat="1" x14ac:dyDescent="0.25">
      <c r="B106" s="469">
        <v>2032</v>
      </c>
      <c r="C106" s="466">
        <v>254562</v>
      </c>
      <c r="D106" s="462" t="s">
        <v>701</v>
      </c>
      <c r="E106" s="461" t="s">
        <v>1129</v>
      </c>
      <c r="F106" s="462">
        <v>45</v>
      </c>
      <c r="G106" s="461"/>
      <c r="H106" s="461"/>
      <c r="I106" s="461"/>
      <c r="J106" s="461">
        <v>0</v>
      </c>
      <c r="K106" s="461" t="s">
        <v>970</v>
      </c>
      <c r="L106" s="461"/>
      <c r="M106" s="461" t="s">
        <v>858</v>
      </c>
      <c r="N106" s="465">
        <v>44363</v>
      </c>
      <c r="O106" s="465">
        <v>44363</v>
      </c>
      <c r="P106" s="461" t="s">
        <v>1128</v>
      </c>
      <c r="Q106" s="462">
        <v>700</v>
      </c>
      <c r="R106" s="462">
        <v>14050</v>
      </c>
      <c r="S106" s="512">
        <v>19466.150000000001</v>
      </c>
      <c r="T106" s="462">
        <v>14056</v>
      </c>
      <c r="U106" s="505">
        <v>3707.84</v>
      </c>
      <c r="V106" s="505">
        <f t="shared" si="61"/>
        <v>15758.310000000001</v>
      </c>
      <c r="W106" s="509">
        <v>2317.4</v>
      </c>
      <c r="X106" s="462">
        <v>54260</v>
      </c>
      <c r="Y106" s="505">
        <v>231.74</v>
      </c>
      <c r="Z106" s="461" t="s">
        <v>701</v>
      </c>
      <c r="AA106" s="461"/>
      <c r="AB106" s="461" t="s">
        <v>1132</v>
      </c>
      <c r="AC106" s="461"/>
      <c r="AD106" s="461" t="s">
        <v>705</v>
      </c>
      <c r="AE106" s="461" t="s">
        <v>703</v>
      </c>
      <c r="AF106" s="462" t="s">
        <v>351</v>
      </c>
      <c r="AG106" s="461"/>
      <c r="AH106" s="462" t="s">
        <v>707</v>
      </c>
      <c r="AI106" s="461">
        <v>0</v>
      </c>
      <c r="AJ106" s="461">
        <v>0</v>
      </c>
      <c r="AK106" s="364"/>
      <c r="AL106" s="364" t="s">
        <v>1304</v>
      </c>
      <c r="AM106" s="490">
        <f t="shared" si="51"/>
        <v>6</v>
      </c>
      <c r="AN106" s="490">
        <f t="shared" si="52"/>
        <v>2021</v>
      </c>
      <c r="AO106" s="490">
        <f t="shared" si="57"/>
        <v>2028</v>
      </c>
      <c r="AP106" s="510">
        <f t="shared" si="53"/>
        <v>2028.5</v>
      </c>
      <c r="AQ106" s="351">
        <f t="shared" si="54"/>
        <v>231.73988095238099</v>
      </c>
      <c r="AR106" s="351">
        <f t="shared" si="55"/>
        <v>2780.8785714285718</v>
      </c>
      <c r="AS106" s="351">
        <f t="shared" si="58"/>
        <v>2780.8785714285718</v>
      </c>
      <c r="AT106" s="351">
        <f t="shared" si="59"/>
        <v>2780.8785714285718</v>
      </c>
      <c r="AU106" s="351">
        <f t="shared" si="56"/>
        <v>5561.7571428571437</v>
      </c>
      <c r="AV106" s="351">
        <f t="shared" si="60"/>
        <v>13904.392857142859</v>
      </c>
      <c r="AW106" s="491" t="s">
        <v>339</v>
      </c>
      <c r="AX106" s="364"/>
      <c r="AY106" s="364"/>
      <c r="AZ106" s="364"/>
      <c r="BA106" s="364"/>
      <c r="BB106" s="364"/>
      <c r="BC106" s="364"/>
      <c r="BD106" s="364"/>
      <c r="BE106" s="364"/>
      <c r="BF106" s="364"/>
      <c r="BG106" s="364"/>
      <c r="BH106" s="364"/>
      <c r="BI106" s="364"/>
      <c r="BJ106" s="364"/>
      <c r="BK106" s="364"/>
      <c r="BL106" s="364"/>
      <c r="BM106" s="364"/>
      <c r="BN106" s="364"/>
      <c r="BO106" s="364"/>
      <c r="BP106" s="364"/>
      <c r="BQ106" s="364"/>
      <c r="BR106" s="364"/>
      <c r="BS106" s="364"/>
      <c r="BT106" s="364"/>
      <c r="BU106" s="364"/>
      <c r="BV106" s="364"/>
      <c r="BW106" s="364"/>
      <c r="BX106" s="364"/>
      <c r="BY106" s="364"/>
      <c r="BZ106" s="364"/>
      <c r="CA106" s="364"/>
      <c r="CB106" s="364"/>
      <c r="CC106" s="364"/>
      <c r="CD106" s="364"/>
      <c r="CE106" s="364"/>
      <c r="CF106" s="364"/>
      <c r="CG106" s="364"/>
      <c r="CH106" s="364"/>
      <c r="CI106" s="364"/>
      <c r="CJ106" s="364"/>
      <c r="CK106" s="364"/>
      <c r="CL106" s="364"/>
      <c r="CM106" s="364"/>
      <c r="CN106" s="364"/>
      <c r="CO106" s="364"/>
      <c r="CP106" s="364"/>
      <c r="CQ106" s="364"/>
      <c r="CR106" s="364"/>
      <c r="CS106" s="364"/>
      <c r="CT106" s="364"/>
      <c r="CU106" s="364"/>
      <c r="CV106" s="364"/>
      <c r="CW106" s="364"/>
      <c r="CX106" s="364"/>
      <c r="CY106" s="364"/>
      <c r="CZ106" s="364"/>
      <c r="DA106" s="364"/>
      <c r="DB106" s="364"/>
      <c r="DC106" s="364"/>
      <c r="DD106" s="364"/>
      <c r="DE106" s="364"/>
      <c r="DF106" s="364"/>
      <c r="DG106" s="364"/>
      <c r="DH106" s="364"/>
      <c r="DI106" s="364"/>
      <c r="DJ106" s="364"/>
      <c r="DK106" s="364"/>
      <c r="DL106" s="364"/>
      <c r="DM106" s="364"/>
      <c r="DN106" s="364"/>
      <c r="DO106" s="364"/>
      <c r="DP106" s="364"/>
      <c r="DQ106" s="364"/>
      <c r="DR106" s="364"/>
      <c r="DS106" s="364"/>
      <c r="DT106" s="364"/>
      <c r="DU106" s="364"/>
      <c r="DV106" s="364"/>
      <c r="DW106" s="364"/>
      <c r="DX106" s="364"/>
      <c r="DY106" s="364"/>
    </row>
    <row r="107" spans="2:129" s="468" customFormat="1" x14ac:dyDescent="0.25">
      <c r="B107" s="469">
        <v>2032</v>
      </c>
      <c r="C107" s="466">
        <v>254561</v>
      </c>
      <c r="D107" s="462" t="s">
        <v>701</v>
      </c>
      <c r="E107" s="461" t="s">
        <v>1131</v>
      </c>
      <c r="F107" s="462">
        <v>95</v>
      </c>
      <c r="G107" s="461"/>
      <c r="H107" s="461"/>
      <c r="I107" s="461"/>
      <c r="J107" s="461">
        <v>0</v>
      </c>
      <c r="K107" s="461" t="s">
        <v>970</v>
      </c>
      <c r="L107" s="461"/>
      <c r="M107" s="461" t="s">
        <v>858</v>
      </c>
      <c r="N107" s="465">
        <v>44351</v>
      </c>
      <c r="O107" s="465">
        <v>44351</v>
      </c>
      <c r="P107" s="461" t="s">
        <v>1128</v>
      </c>
      <c r="Q107" s="462">
        <v>700</v>
      </c>
      <c r="R107" s="462">
        <v>14050</v>
      </c>
      <c r="S107" s="512">
        <v>26746.29</v>
      </c>
      <c r="T107" s="462">
        <v>14056</v>
      </c>
      <c r="U107" s="505">
        <v>5412.94</v>
      </c>
      <c r="V107" s="505">
        <f t="shared" si="61"/>
        <v>21333.350000000002</v>
      </c>
      <c r="W107" s="509">
        <v>3184.08</v>
      </c>
      <c r="X107" s="462">
        <v>54260</v>
      </c>
      <c r="Y107" s="505">
        <v>318.39999999999998</v>
      </c>
      <c r="Z107" s="461" t="s">
        <v>701</v>
      </c>
      <c r="AA107" s="461"/>
      <c r="AB107" s="461" t="s">
        <v>1130</v>
      </c>
      <c r="AC107" s="461"/>
      <c r="AD107" s="461" t="s">
        <v>705</v>
      </c>
      <c r="AE107" s="461" t="s">
        <v>703</v>
      </c>
      <c r="AF107" s="462" t="s">
        <v>351</v>
      </c>
      <c r="AG107" s="461"/>
      <c r="AH107" s="462" t="s">
        <v>707</v>
      </c>
      <c r="AI107" s="461">
        <v>0</v>
      </c>
      <c r="AJ107" s="461">
        <v>0</v>
      </c>
      <c r="AK107" s="364"/>
      <c r="AL107" s="364" t="s">
        <v>1304</v>
      </c>
      <c r="AM107" s="490">
        <f t="shared" si="51"/>
        <v>6</v>
      </c>
      <c r="AN107" s="490">
        <f t="shared" si="52"/>
        <v>2021</v>
      </c>
      <c r="AO107" s="490">
        <f t="shared" si="57"/>
        <v>2028</v>
      </c>
      <c r="AP107" s="510">
        <f t="shared" si="53"/>
        <v>2028.5</v>
      </c>
      <c r="AQ107" s="351">
        <f t="shared" si="54"/>
        <v>318.40821428571428</v>
      </c>
      <c r="AR107" s="351">
        <f t="shared" si="55"/>
        <v>3820.8985714285714</v>
      </c>
      <c r="AS107" s="351">
        <f t="shared" si="58"/>
        <v>3820.8985714285714</v>
      </c>
      <c r="AT107" s="351">
        <f t="shared" si="59"/>
        <v>3820.8985714285714</v>
      </c>
      <c r="AU107" s="351">
        <f t="shared" si="56"/>
        <v>7641.7971428571427</v>
      </c>
      <c r="AV107" s="351">
        <f t="shared" si="60"/>
        <v>19104.492857142857</v>
      </c>
      <c r="AW107" s="491" t="s">
        <v>339</v>
      </c>
      <c r="AX107" s="364"/>
      <c r="AY107" s="364"/>
      <c r="AZ107" s="364"/>
      <c r="BA107" s="364"/>
      <c r="BB107" s="364"/>
      <c r="BC107" s="364"/>
      <c r="BD107" s="364"/>
      <c r="BE107" s="364"/>
      <c r="BF107" s="364"/>
      <c r="BG107" s="364"/>
      <c r="BH107" s="364"/>
      <c r="BI107" s="364"/>
      <c r="BJ107" s="364"/>
      <c r="BK107" s="364"/>
      <c r="BL107" s="364"/>
      <c r="BM107" s="364"/>
      <c r="BN107" s="364"/>
      <c r="BO107" s="364"/>
      <c r="BP107" s="364"/>
      <c r="BQ107" s="364"/>
      <c r="BR107" s="364"/>
      <c r="BS107" s="364"/>
      <c r="BT107" s="364"/>
      <c r="BU107" s="364"/>
      <c r="BV107" s="364"/>
      <c r="BW107" s="364"/>
      <c r="BX107" s="364"/>
      <c r="BY107" s="364"/>
      <c r="BZ107" s="364"/>
      <c r="CA107" s="364"/>
      <c r="CB107" s="364"/>
      <c r="CC107" s="364"/>
      <c r="CD107" s="364"/>
      <c r="CE107" s="364"/>
      <c r="CF107" s="364"/>
      <c r="CG107" s="364"/>
      <c r="CH107" s="364"/>
      <c r="CI107" s="364"/>
      <c r="CJ107" s="364"/>
      <c r="CK107" s="364"/>
      <c r="CL107" s="364"/>
      <c r="CM107" s="364"/>
      <c r="CN107" s="364"/>
      <c r="CO107" s="364"/>
      <c r="CP107" s="364"/>
      <c r="CQ107" s="364"/>
      <c r="CR107" s="364"/>
      <c r="CS107" s="364"/>
      <c r="CT107" s="364"/>
      <c r="CU107" s="364"/>
      <c r="CV107" s="364"/>
      <c r="CW107" s="364"/>
      <c r="CX107" s="364"/>
      <c r="CY107" s="364"/>
      <c r="CZ107" s="364"/>
      <c r="DA107" s="364"/>
      <c r="DB107" s="364"/>
      <c r="DC107" s="364"/>
      <c r="DD107" s="364"/>
      <c r="DE107" s="364"/>
      <c r="DF107" s="364"/>
      <c r="DG107" s="364"/>
      <c r="DH107" s="364"/>
      <c r="DI107" s="364"/>
      <c r="DJ107" s="364"/>
      <c r="DK107" s="364"/>
      <c r="DL107" s="364"/>
      <c r="DM107" s="364"/>
      <c r="DN107" s="364"/>
      <c r="DO107" s="364"/>
      <c r="DP107" s="364"/>
      <c r="DQ107" s="364"/>
      <c r="DR107" s="364"/>
      <c r="DS107" s="364"/>
      <c r="DT107" s="364"/>
      <c r="DU107" s="364"/>
      <c r="DV107" s="364"/>
      <c r="DW107" s="364"/>
      <c r="DX107" s="364"/>
      <c r="DY107" s="364"/>
    </row>
    <row r="108" spans="2:129" s="468" customFormat="1" x14ac:dyDescent="0.25">
      <c r="B108" s="469">
        <v>2032</v>
      </c>
      <c r="C108" s="466">
        <v>254560</v>
      </c>
      <c r="D108" s="462" t="s">
        <v>701</v>
      </c>
      <c r="E108" s="461" t="s">
        <v>1129</v>
      </c>
      <c r="F108" s="462">
        <v>60</v>
      </c>
      <c r="G108" s="461"/>
      <c r="H108" s="461"/>
      <c r="I108" s="461"/>
      <c r="J108" s="461">
        <v>0</v>
      </c>
      <c r="K108" s="461" t="s">
        <v>970</v>
      </c>
      <c r="L108" s="461"/>
      <c r="M108" s="461" t="s">
        <v>858</v>
      </c>
      <c r="N108" s="465">
        <v>44337</v>
      </c>
      <c r="O108" s="465">
        <v>44337</v>
      </c>
      <c r="P108" s="461" t="s">
        <v>1128</v>
      </c>
      <c r="Q108" s="462">
        <v>700</v>
      </c>
      <c r="R108" s="462">
        <v>14050</v>
      </c>
      <c r="S108" s="512">
        <v>19805.330000000002</v>
      </c>
      <c r="T108" s="462">
        <v>14056</v>
      </c>
      <c r="U108" s="505">
        <v>4008.23</v>
      </c>
      <c r="V108" s="505">
        <f t="shared" si="61"/>
        <v>15797.100000000002</v>
      </c>
      <c r="W108" s="509">
        <v>2357.7800000000002</v>
      </c>
      <c r="X108" s="462">
        <v>54260</v>
      </c>
      <c r="Y108" s="505">
        <v>235.78</v>
      </c>
      <c r="Z108" s="461" t="s">
        <v>701</v>
      </c>
      <c r="AA108" s="461"/>
      <c r="AB108" s="461" t="s">
        <v>1127</v>
      </c>
      <c r="AC108" s="461"/>
      <c r="AD108" s="461" t="s">
        <v>705</v>
      </c>
      <c r="AE108" s="461" t="s">
        <v>703</v>
      </c>
      <c r="AF108" s="462" t="s">
        <v>351</v>
      </c>
      <c r="AG108" s="461"/>
      <c r="AH108" s="462" t="s">
        <v>707</v>
      </c>
      <c r="AI108" s="461">
        <v>0</v>
      </c>
      <c r="AJ108" s="461">
        <v>0</v>
      </c>
      <c r="AK108" s="364"/>
      <c r="AL108" s="364" t="s">
        <v>1304</v>
      </c>
      <c r="AM108" s="490">
        <f t="shared" si="51"/>
        <v>5</v>
      </c>
      <c r="AN108" s="490">
        <f t="shared" si="52"/>
        <v>2021</v>
      </c>
      <c r="AO108" s="490">
        <f t="shared" si="57"/>
        <v>2028</v>
      </c>
      <c r="AP108" s="510">
        <f t="shared" si="53"/>
        <v>2028.4166666666667</v>
      </c>
      <c r="AQ108" s="351">
        <f t="shared" si="54"/>
        <v>235.77773809523811</v>
      </c>
      <c r="AR108" s="351">
        <f t="shared" si="55"/>
        <v>2829.3328571428574</v>
      </c>
      <c r="AS108" s="351">
        <f t="shared" si="58"/>
        <v>2829.3328571428574</v>
      </c>
      <c r="AT108" s="351">
        <f t="shared" si="59"/>
        <v>2829.3328571428574</v>
      </c>
      <c r="AU108" s="351">
        <f t="shared" si="56"/>
        <v>5658.6657142857148</v>
      </c>
      <c r="AV108" s="351">
        <f t="shared" si="60"/>
        <v>14146.664285714287</v>
      </c>
      <c r="AW108" s="491" t="s">
        <v>339</v>
      </c>
      <c r="AX108" s="364"/>
      <c r="AY108" s="364"/>
      <c r="AZ108" s="364"/>
      <c r="BA108" s="364"/>
      <c r="BB108" s="364"/>
      <c r="BC108" s="364"/>
      <c r="BD108" s="364"/>
      <c r="BE108" s="364"/>
      <c r="BF108" s="364"/>
      <c r="BG108" s="364"/>
      <c r="BH108" s="364"/>
      <c r="BI108" s="364"/>
      <c r="BJ108" s="364"/>
      <c r="BK108" s="364"/>
      <c r="BL108" s="364"/>
      <c r="BM108" s="364"/>
      <c r="BN108" s="364"/>
      <c r="BO108" s="364"/>
      <c r="BP108" s="364"/>
      <c r="BQ108" s="364"/>
      <c r="BR108" s="364"/>
      <c r="BS108" s="364"/>
      <c r="BT108" s="364"/>
      <c r="BU108" s="364"/>
      <c r="BV108" s="364"/>
      <c r="BW108" s="364"/>
      <c r="BX108" s="364"/>
      <c r="BY108" s="364"/>
      <c r="BZ108" s="364"/>
      <c r="CA108" s="364"/>
      <c r="CB108" s="364"/>
      <c r="CC108" s="364"/>
      <c r="CD108" s="364"/>
      <c r="CE108" s="364"/>
      <c r="CF108" s="364"/>
      <c r="CG108" s="364"/>
      <c r="CH108" s="364"/>
      <c r="CI108" s="364"/>
      <c r="CJ108" s="364"/>
      <c r="CK108" s="364"/>
      <c r="CL108" s="364"/>
      <c r="CM108" s="364"/>
      <c r="CN108" s="364"/>
      <c r="CO108" s="364"/>
      <c r="CP108" s="364"/>
      <c r="CQ108" s="364"/>
      <c r="CR108" s="364"/>
      <c r="CS108" s="364"/>
      <c r="CT108" s="364"/>
      <c r="CU108" s="364"/>
      <c r="CV108" s="364"/>
      <c r="CW108" s="364"/>
      <c r="CX108" s="364"/>
      <c r="CY108" s="364"/>
      <c r="CZ108" s="364"/>
      <c r="DA108" s="364"/>
      <c r="DB108" s="364"/>
      <c r="DC108" s="364"/>
      <c r="DD108" s="364"/>
      <c r="DE108" s="364"/>
      <c r="DF108" s="364"/>
      <c r="DG108" s="364"/>
      <c r="DH108" s="364"/>
      <c r="DI108" s="364"/>
      <c r="DJ108" s="364"/>
      <c r="DK108" s="364"/>
      <c r="DL108" s="364"/>
      <c r="DM108" s="364"/>
      <c r="DN108" s="364"/>
      <c r="DO108" s="364"/>
      <c r="DP108" s="364"/>
      <c r="DQ108" s="364"/>
      <c r="DR108" s="364"/>
      <c r="DS108" s="364"/>
      <c r="DT108" s="364"/>
      <c r="DU108" s="364"/>
      <c r="DV108" s="364"/>
      <c r="DW108" s="364"/>
      <c r="DX108" s="364"/>
      <c r="DY108" s="364"/>
    </row>
    <row r="109" spans="2:129" s="468" customFormat="1" x14ac:dyDescent="0.25">
      <c r="B109" s="469">
        <v>2032</v>
      </c>
      <c r="C109" s="466">
        <v>254481</v>
      </c>
      <c r="D109" s="462">
        <v>253427</v>
      </c>
      <c r="E109" s="461" t="s">
        <v>1126</v>
      </c>
      <c r="F109" s="462">
        <v>1</v>
      </c>
      <c r="G109" s="461"/>
      <c r="H109" s="461"/>
      <c r="I109" s="461"/>
      <c r="J109" s="461">
        <v>0</v>
      </c>
      <c r="K109" s="461" t="s">
        <v>1125</v>
      </c>
      <c r="L109" s="461"/>
      <c r="M109" s="461"/>
      <c r="N109" s="465">
        <v>44361</v>
      </c>
      <c r="O109" s="465">
        <v>44361</v>
      </c>
      <c r="P109" s="461" t="s">
        <v>1109</v>
      </c>
      <c r="Q109" s="462">
        <v>200</v>
      </c>
      <c r="R109" s="462">
        <v>14110</v>
      </c>
      <c r="S109" s="512">
        <v>709.59</v>
      </c>
      <c r="T109" s="462">
        <v>14116</v>
      </c>
      <c r="U109" s="505">
        <v>502.63</v>
      </c>
      <c r="V109" s="505">
        <f t="shared" si="61"/>
        <v>206.96000000000004</v>
      </c>
      <c r="W109" s="509">
        <v>295.67</v>
      </c>
      <c r="X109" s="462">
        <v>70260</v>
      </c>
      <c r="Y109" s="505">
        <v>29.57</v>
      </c>
      <c r="Z109" s="461" t="s">
        <v>701</v>
      </c>
      <c r="AA109" s="461"/>
      <c r="AB109" s="461" t="s">
        <v>1124</v>
      </c>
      <c r="AC109" s="461"/>
      <c r="AD109" s="461" t="s">
        <v>705</v>
      </c>
      <c r="AE109" s="461" t="s">
        <v>703</v>
      </c>
      <c r="AF109" s="462" t="s">
        <v>351</v>
      </c>
      <c r="AG109" s="461"/>
      <c r="AH109" s="462" t="s">
        <v>707</v>
      </c>
      <c r="AI109" s="461">
        <v>0</v>
      </c>
      <c r="AJ109" s="461">
        <v>0</v>
      </c>
      <c r="AK109" s="364"/>
      <c r="AL109" s="364" t="s">
        <v>300</v>
      </c>
      <c r="AM109" s="490">
        <f t="shared" si="51"/>
        <v>6</v>
      </c>
      <c r="AN109" s="490">
        <f t="shared" si="52"/>
        <v>2021</v>
      </c>
      <c r="AO109" s="490">
        <f t="shared" si="57"/>
        <v>2023</v>
      </c>
      <c r="AP109" s="510">
        <f t="shared" si="53"/>
        <v>2023.5</v>
      </c>
      <c r="AQ109" s="351">
        <f t="shared" si="54"/>
        <v>29.56625</v>
      </c>
      <c r="AR109" s="351">
        <f t="shared" si="55"/>
        <v>354.79500000000002</v>
      </c>
      <c r="AS109" s="351">
        <f t="shared" si="58"/>
        <v>0</v>
      </c>
      <c r="AT109" s="351">
        <f t="shared" si="59"/>
        <v>709.59</v>
      </c>
      <c r="AU109" s="351">
        <f t="shared" si="56"/>
        <v>709.59</v>
      </c>
      <c r="AV109" s="351">
        <f t="shared" si="60"/>
        <v>0</v>
      </c>
      <c r="AW109" s="491" t="s">
        <v>339</v>
      </c>
      <c r="AX109" s="364"/>
      <c r="AY109" s="364"/>
      <c r="AZ109" s="364"/>
      <c r="BA109" s="364"/>
      <c r="BB109" s="364"/>
      <c r="BC109" s="364"/>
      <c r="BD109" s="364"/>
      <c r="BE109" s="364"/>
      <c r="BF109" s="364"/>
      <c r="BG109" s="364"/>
      <c r="BH109" s="364"/>
      <c r="BI109" s="364"/>
      <c r="BJ109" s="364"/>
      <c r="BK109" s="364"/>
      <c r="BL109" s="364"/>
      <c r="BM109" s="364"/>
      <c r="BN109" s="364"/>
      <c r="BO109" s="364"/>
      <c r="BP109" s="364"/>
      <c r="BQ109" s="364"/>
      <c r="BR109" s="364"/>
      <c r="BS109" s="364"/>
      <c r="BT109" s="364"/>
      <c r="BU109" s="364"/>
      <c r="BV109" s="364"/>
      <c r="BW109" s="364"/>
      <c r="BX109" s="364"/>
      <c r="BY109" s="364"/>
      <c r="BZ109" s="364"/>
      <c r="CA109" s="364"/>
      <c r="CB109" s="364"/>
      <c r="CC109" s="364"/>
      <c r="CD109" s="364"/>
      <c r="CE109" s="364"/>
      <c r="CF109" s="364"/>
      <c r="CG109" s="364"/>
      <c r="CH109" s="364"/>
      <c r="CI109" s="364"/>
      <c r="CJ109" s="364"/>
      <c r="CK109" s="364"/>
      <c r="CL109" s="364"/>
      <c r="CM109" s="364"/>
      <c r="CN109" s="364"/>
      <c r="CO109" s="364"/>
      <c r="CP109" s="364"/>
      <c r="CQ109" s="364"/>
      <c r="CR109" s="364"/>
      <c r="CS109" s="364"/>
      <c r="CT109" s="364"/>
      <c r="CU109" s="364"/>
      <c r="CV109" s="364"/>
      <c r="CW109" s="364"/>
      <c r="CX109" s="364"/>
      <c r="CY109" s="364"/>
      <c r="CZ109" s="364"/>
      <c r="DA109" s="364"/>
      <c r="DB109" s="364"/>
      <c r="DC109" s="364"/>
      <c r="DD109" s="364"/>
      <c r="DE109" s="364"/>
      <c r="DF109" s="364"/>
      <c r="DG109" s="364"/>
      <c r="DH109" s="364"/>
      <c r="DI109" s="364"/>
      <c r="DJ109" s="364"/>
      <c r="DK109" s="364"/>
      <c r="DL109" s="364"/>
      <c r="DM109" s="364"/>
      <c r="DN109" s="364"/>
      <c r="DO109" s="364"/>
      <c r="DP109" s="364"/>
      <c r="DQ109" s="364"/>
      <c r="DR109" s="364"/>
      <c r="DS109" s="364"/>
      <c r="DT109" s="364"/>
      <c r="DU109" s="364"/>
      <c r="DV109" s="364"/>
      <c r="DW109" s="364"/>
      <c r="DX109" s="364"/>
      <c r="DY109" s="364"/>
    </row>
    <row r="110" spans="2:129" s="468" customFormat="1" x14ac:dyDescent="0.25">
      <c r="B110" s="469">
        <v>2032</v>
      </c>
      <c r="C110" s="466">
        <v>253859</v>
      </c>
      <c r="D110" s="462" t="s">
        <v>701</v>
      </c>
      <c r="E110" s="461" t="s">
        <v>1123</v>
      </c>
      <c r="F110" s="462">
        <v>3</v>
      </c>
      <c r="G110" s="461"/>
      <c r="H110" s="461"/>
      <c r="I110" s="461"/>
      <c r="J110" s="461">
        <v>0</v>
      </c>
      <c r="K110" s="461" t="s">
        <v>1093</v>
      </c>
      <c r="L110" s="461"/>
      <c r="M110" s="461" t="s">
        <v>854</v>
      </c>
      <c r="N110" s="465">
        <v>44356</v>
      </c>
      <c r="O110" s="465">
        <v>44356</v>
      </c>
      <c r="P110" s="461" t="s">
        <v>1122</v>
      </c>
      <c r="Q110" s="462">
        <v>1200</v>
      </c>
      <c r="R110" s="462">
        <v>14050</v>
      </c>
      <c r="S110" s="512">
        <v>23592.82</v>
      </c>
      <c r="T110" s="462">
        <v>14056</v>
      </c>
      <c r="U110" s="505">
        <v>2785.26</v>
      </c>
      <c r="V110" s="505">
        <f t="shared" si="61"/>
        <v>20807.559999999998</v>
      </c>
      <c r="W110" s="509">
        <v>1638.39</v>
      </c>
      <c r="X110" s="462">
        <v>54260</v>
      </c>
      <c r="Y110" s="505">
        <v>163.84</v>
      </c>
      <c r="Z110" s="461" t="s">
        <v>701</v>
      </c>
      <c r="AA110" s="461"/>
      <c r="AB110" s="461" t="s">
        <v>1120</v>
      </c>
      <c r="AC110" s="461"/>
      <c r="AD110" s="461" t="s">
        <v>705</v>
      </c>
      <c r="AE110" s="461" t="s">
        <v>703</v>
      </c>
      <c r="AF110" s="462" t="s">
        <v>351</v>
      </c>
      <c r="AG110" s="461"/>
      <c r="AH110" s="462" t="s">
        <v>707</v>
      </c>
      <c r="AI110" s="461">
        <v>0</v>
      </c>
      <c r="AJ110" s="461">
        <v>0</v>
      </c>
      <c r="AK110" s="364"/>
      <c r="AL110" s="364" t="s">
        <v>297</v>
      </c>
      <c r="AM110" s="490">
        <f t="shared" si="51"/>
        <v>6</v>
      </c>
      <c r="AN110" s="490">
        <f t="shared" si="52"/>
        <v>2021</v>
      </c>
      <c r="AO110" s="490">
        <f t="shared" ref="AO110:AO140" si="62">$AN110+($Q110/100)</f>
        <v>2033</v>
      </c>
      <c r="AP110" s="510">
        <f t="shared" si="53"/>
        <v>2033.5</v>
      </c>
      <c r="AQ110" s="351">
        <f t="shared" si="54"/>
        <v>163.83902777777777</v>
      </c>
      <c r="AR110" s="351">
        <f t="shared" si="55"/>
        <v>1966.0683333333332</v>
      </c>
      <c r="AS110" s="351">
        <f t="shared" ref="AS110:AS140" si="63">IF($AP110&lt;=$AK$8,0,IF($AO110&gt;$AK$7,$AR110,($AQ110*$AM110)))</f>
        <v>1966.0683333333332</v>
      </c>
      <c r="AT110" s="351">
        <f t="shared" ref="AT110:AT140" si="64">IF($AS110=0,$S110,IF($AK$6-AN110&lt;1,0,(($AK$6-$AN110)*AR110)))</f>
        <v>1966.0683333333332</v>
      </c>
      <c r="AU110" s="351">
        <f t="shared" si="56"/>
        <v>3932.1366666666663</v>
      </c>
      <c r="AV110" s="351">
        <f t="shared" ref="AV110:AV140" si="65">$S110-$AU110</f>
        <v>19660.683333333334</v>
      </c>
      <c r="AW110" s="491" t="s">
        <v>339</v>
      </c>
      <c r="AX110" s="364"/>
      <c r="AY110" s="364"/>
      <c r="AZ110" s="364"/>
      <c r="BA110" s="364"/>
      <c r="BB110" s="364"/>
      <c r="BC110" s="364"/>
      <c r="BD110" s="364"/>
      <c r="BE110" s="364"/>
      <c r="BF110" s="364"/>
      <c r="BG110" s="364"/>
      <c r="BH110" s="364"/>
      <c r="BI110" s="364"/>
      <c r="BJ110" s="364"/>
      <c r="BK110" s="364"/>
      <c r="BL110" s="364"/>
      <c r="BM110" s="364"/>
      <c r="BN110" s="364"/>
      <c r="BO110" s="364"/>
      <c r="BP110" s="364"/>
      <c r="BQ110" s="364"/>
      <c r="BR110" s="364"/>
      <c r="BS110" s="364"/>
      <c r="BT110" s="364"/>
      <c r="BU110" s="364"/>
      <c r="BV110" s="364"/>
      <c r="BW110" s="364"/>
      <c r="BX110" s="364"/>
      <c r="BY110" s="364"/>
      <c r="BZ110" s="364"/>
      <c r="CA110" s="364"/>
      <c r="CB110" s="364"/>
      <c r="CC110" s="364"/>
      <c r="CD110" s="364"/>
      <c r="CE110" s="364"/>
      <c r="CF110" s="364"/>
      <c r="CG110" s="364"/>
      <c r="CH110" s="364"/>
      <c r="CI110" s="364"/>
      <c r="CJ110" s="364"/>
      <c r="CK110" s="364"/>
      <c r="CL110" s="364"/>
      <c r="CM110" s="364"/>
      <c r="CN110" s="364"/>
      <c r="CO110" s="364"/>
      <c r="CP110" s="364"/>
      <c r="CQ110" s="364"/>
      <c r="CR110" s="364"/>
      <c r="CS110" s="364"/>
      <c r="CT110" s="364"/>
      <c r="CU110" s="364"/>
      <c r="CV110" s="364"/>
      <c r="CW110" s="364"/>
      <c r="CX110" s="364"/>
      <c r="CY110" s="364"/>
      <c r="CZ110" s="364"/>
      <c r="DA110" s="364"/>
      <c r="DB110" s="364"/>
      <c r="DC110" s="364"/>
      <c r="DD110" s="364"/>
      <c r="DE110" s="364"/>
      <c r="DF110" s="364"/>
      <c r="DG110" s="364"/>
      <c r="DH110" s="364"/>
      <c r="DI110" s="364"/>
      <c r="DJ110" s="364"/>
      <c r="DK110" s="364"/>
      <c r="DL110" s="364"/>
      <c r="DM110" s="364"/>
      <c r="DN110" s="364"/>
      <c r="DO110" s="364"/>
      <c r="DP110" s="364"/>
      <c r="DQ110" s="364"/>
      <c r="DR110" s="364"/>
      <c r="DS110" s="364"/>
      <c r="DT110" s="364"/>
      <c r="DU110" s="364"/>
      <c r="DV110" s="364"/>
      <c r="DW110" s="364"/>
      <c r="DX110" s="364"/>
      <c r="DY110" s="364"/>
    </row>
    <row r="111" spans="2:129" s="468" customFormat="1" x14ac:dyDescent="0.25">
      <c r="B111" s="469">
        <v>2032</v>
      </c>
      <c r="C111" s="466">
        <v>253858</v>
      </c>
      <c r="D111" s="462" t="s">
        <v>701</v>
      </c>
      <c r="E111" s="461" t="s">
        <v>1121</v>
      </c>
      <c r="F111" s="462">
        <v>2</v>
      </c>
      <c r="G111" s="461"/>
      <c r="H111" s="461"/>
      <c r="I111" s="461"/>
      <c r="J111" s="461">
        <v>0</v>
      </c>
      <c r="K111" s="461" t="s">
        <v>1093</v>
      </c>
      <c r="L111" s="461"/>
      <c r="M111" s="461" t="s">
        <v>850</v>
      </c>
      <c r="N111" s="465">
        <v>44340</v>
      </c>
      <c r="O111" s="465">
        <v>44340</v>
      </c>
      <c r="P111" s="461" t="s">
        <v>1092</v>
      </c>
      <c r="Q111" s="462">
        <v>1200</v>
      </c>
      <c r="R111" s="462">
        <v>14050</v>
      </c>
      <c r="S111" s="512">
        <v>15012.93</v>
      </c>
      <c r="T111" s="462">
        <v>14056</v>
      </c>
      <c r="U111" s="505">
        <v>1772.37</v>
      </c>
      <c r="V111" s="505">
        <f t="shared" si="61"/>
        <v>13240.560000000001</v>
      </c>
      <c r="W111" s="509">
        <v>1042.57</v>
      </c>
      <c r="X111" s="462">
        <v>54260</v>
      </c>
      <c r="Y111" s="505">
        <v>104.26</v>
      </c>
      <c r="Z111" s="461" t="s">
        <v>701</v>
      </c>
      <c r="AA111" s="461"/>
      <c r="AB111" s="461" t="s">
        <v>1120</v>
      </c>
      <c r="AC111" s="461"/>
      <c r="AD111" s="461" t="s">
        <v>705</v>
      </c>
      <c r="AE111" s="461" t="s">
        <v>703</v>
      </c>
      <c r="AF111" s="462" t="s">
        <v>351</v>
      </c>
      <c r="AG111" s="461"/>
      <c r="AH111" s="462" t="s">
        <v>707</v>
      </c>
      <c r="AI111" s="461">
        <v>0</v>
      </c>
      <c r="AJ111" s="461">
        <v>0</v>
      </c>
      <c r="AK111" s="364"/>
      <c r="AL111" s="364" t="s">
        <v>297</v>
      </c>
      <c r="AM111" s="490">
        <f t="shared" si="51"/>
        <v>5</v>
      </c>
      <c r="AN111" s="490">
        <f t="shared" si="52"/>
        <v>2021</v>
      </c>
      <c r="AO111" s="490">
        <f t="shared" si="62"/>
        <v>2033</v>
      </c>
      <c r="AP111" s="510">
        <f t="shared" si="53"/>
        <v>2033.4166666666667</v>
      </c>
      <c r="AQ111" s="351">
        <f t="shared" si="54"/>
        <v>104.25645833333334</v>
      </c>
      <c r="AR111" s="351">
        <f t="shared" si="55"/>
        <v>1251.0775000000001</v>
      </c>
      <c r="AS111" s="351">
        <f t="shared" si="63"/>
        <v>1251.0775000000001</v>
      </c>
      <c r="AT111" s="351">
        <f t="shared" si="64"/>
        <v>1251.0775000000001</v>
      </c>
      <c r="AU111" s="351">
        <f t="shared" si="56"/>
        <v>2502.1550000000002</v>
      </c>
      <c r="AV111" s="351">
        <f t="shared" si="65"/>
        <v>12510.775</v>
      </c>
      <c r="AW111" s="491" t="s">
        <v>339</v>
      </c>
      <c r="AX111" s="364"/>
      <c r="AY111" s="364"/>
      <c r="AZ111" s="364"/>
      <c r="BA111" s="364"/>
      <c r="BB111" s="364"/>
      <c r="BC111" s="364"/>
      <c r="BD111" s="364"/>
      <c r="BE111" s="364"/>
      <c r="BF111" s="364"/>
      <c r="BG111" s="364"/>
      <c r="BH111" s="364"/>
      <c r="BI111" s="364"/>
      <c r="BJ111" s="364"/>
      <c r="BK111" s="364"/>
      <c r="BL111" s="364"/>
      <c r="BM111" s="364"/>
      <c r="BN111" s="364"/>
      <c r="BO111" s="364"/>
      <c r="BP111" s="364"/>
      <c r="BQ111" s="364"/>
      <c r="BR111" s="364"/>
      <c r="BS111" s="364"/>
      <c r="BT111" s="364"/>
      <c r="BU111" s="364"/>
      <c r="BV111" s="364"/>
      <c r="BW111" s="364"/>
      <c r="BX111" s="364"/>
      <c r="BY111" s="364"/>
      <c r="BZ111" s="364"/>
      <c r="CA111" s="364"/>
      <c r="CB111" s="364"/>
      <c r="CC111" s="364"/>
      <c r="CD111" s="364"/>
      <c r="CE111" s="364"/>
      <c r="CF111" s="364"/>
      <c r="CG111" s="364"/>
      <c r="CH111" s="364"/>
      <c r="CI111" s="364"/>
      <c r="CJ111" s="364"/>
      <c r="CK111" s="364"/>
      <c r="CL111" s="364"/>
      <c r="CM111" s="364"/>
      <c r="CN111" s="364"/>
      <c r="CO111" s="364"/>
      <c r="CP111" s="364"/>
      <c r="CQ111" s="364"/>
      <c r="CR111" s="364"/>
      <c r="CS111" s="364"/>
      <c r="CT111" s="364"/>
      <c r="CU111" s="364"/>
      <c r="CV111" s="364"/>
      <c r="CW111" s="364"/>
      <c r="CX111" s="364"/>
      <c r="CY111" s="364"/>
      <c r="CZ111" s="364"/>
      <c r="DA111" s="364"/>
      <c r="DB111" s="364"/>
      <c r="DC111" s="364"/>
      <c r="DD111" s="364"/>
      <c r="DE111" s="364"/>
      <c r="DF111" s="364"/>
      <c r="DG111" s="364"/>
      <c r="DH111" s="364"/>
      <c r="DI111" s="364"/>
      <c r="DJ111" s="364"/>
      <c r="DK111" s="364"/>
      <c r="DL111" s="364"/>
      <c r="DM111" s="364"/>
      <c r="DN111" s="364"/>
      <c r="DO111" s="364"/>
      <c r="DP111" s="364"/>
      <c r="DQ111" s="364"/>
      <c r="DR111" s="364"/>
      <c r="DS111" s="364"/>
      <c r="DT111" s="364"/>
      <c r="DU111" s="364"/>
      <c r="DV111" s="364"/>
      <c r="DW111" s="364"/>
      <c r="DX111" s="364"/>
      <c r="DY111" s="364"/>
    </row>
    <row r="112" spans="2:129" s="468" customFormat="1" x14ac:dyDescent="0.25">
      <c r="B112" s="469">
        <v>2032</v>
      </c>
      <c r="C112" s="466">
        <v>253732</v>
      </c>
      <c r="D112" s="462" t="s">
        <v>701</v>
      </c>
      <c r="E112" s="461" t="s">
        <v>1119</v>
      </c>
      <c r="F112" s="462">
        <v>2</v>
      </c>
      <c r="G112" s="461"/>
      <c r="H112" s="461"/>
      <c r="I112" s="461"/>
      <c r="J112" s="461">
        <v>0</v>
      </c>
      <c r="K112" s="461" t="s">
        <v>909</v>
      </c>
      <c r="L112" s="461"/>
      <c r="M112" s="461" t="s">
        <v>854</v>
      </c>
      <c r="N112" s="465">
        <v>44361</v>
      </c>
      <c r="O112" s="465">
        <v>44361</v>
      </c>
      <c r="P112" s="461" t="s">
        <v>1116</v>
      </c>
      <c r="Q112" s="462">
        <v>1200</v>
      </c>
      <c r="R112" s="462">
        <v>14050</v>
      </c>
      <c r="S112" s="512">
        <v>22528.04</v>
      </c>
      <c r="T112" s="462">
        <v>14056</v>
      </c>
      <c r="U112" s="505">
        <v>2659.56</v>
      </c>
      <c r="V112" s="505">
        <f t="shared" si="61"/>
        <v>19868.48</v>
      </c>
      <c r="W112" s="509">
        <v>1564.45</v>
      </c>
      <c r="X112" s="462">
        <v>54260</v>
      </c>
      <c r="Y112" s="505">
        <v>156.44</v>
      </c>
      <c r="Z112" s="461" t="s">
        <v>701</v>
      </c>
      <c r="AA112" s="461"/>
      <c r="AB112" s="461" t="s">
        <v>1118</v>
      </c>
      <c r="AC112" s="461"/>
      <c r="AD112" s="461" t="s">
        <v>705</v>
      </c>
      <c r="AE112" s="461" t="s">
        <v>703</v>
      </c>
      <c r="AF112" s="462" t="s">
        <v>351</v>
      </c>
      <c r="AG112" s="461"/>
      <c r="AH112" s="462" t="s">
        <v>707</v>
      </c>
      <c r="AI112" s="461">
        <v>0</v>
      </c>
      <c r="AJ112" s="461">
        <v>0</v>
      </c>
      <c r="AK112" s="364"/>
      <c r="AL112" s="364" t="s">
        <v>297</v>
      </c>
      <c r="AM112" s="490">
        <f t="shared" si="51"/>
        <v>6</v>
      </c>
      <c r="AN112" s="490">
        <f t="shared" si="52"/>
        <v>2021</v>
      </c>
      <c r="AO112" s="490">
        <f t="shared" si="62"/>
        <v>2033</v>
      </c>
      <c r="AP112" s="510">
        <f t="shared" si="53"/>
        <v>2033.5</v>
      </c>
      <c r="AQ112" s="351">
        <f t="shared" si="54"/>
        <v>156.44472222222223</v>
      </c>
      <c r="AR112" s="351">
        <f t="shared" si="55"/>
        <v>1877.3366666666666</v>
      </c>
      <c r="AS112" s="351">
        <f t="shared" si="63"/>
        <v>1877.3366666666666</v>
      </c>
      <c r="AT112" s="351">
        <f t="shared" si="64"/>
        <v>1877.3366666666666</v>
      </c>
      <c r="AU112" s="351">
        <f t="shared" si="56"/>
        <v>3754.6733333333332</v>
      </c>
      <c r="AV112" s="351">
        <f t="shared" si="65"/>
        <v>18773.366666666669</v>
      </c>
      <c r="AW112" s="491" t="s">
        <v>339</v>
      </c>
      <c r="AX112" s="364"/>
      <c r="AY112" s="364"/>
      <c r="AZ112" s="364"/>
      <c r="BA112" s="364"/>
      <c r="BB112" s="364"/>
      <c r="BC112" s="364"/>
      <c r="BD112" s="364"/>
      <c r="BE112" s="364"/>
      <c r="BF112" s="364"/>
      <c r="BG112" s="364"/>
      <c r="BH112" s="364"/>
      <c r="BI112" s="364"/>
      <c r="BJ112" s="364"/>
      <c r="BK112" s="364"/>
      <c r="BL112" s="364"/>
      <c r="BM112" s="364"/>
      <c r="BN112" s="364"/>
      <c r="BO112" s="364"/>
      <c r="BP112" s="364"/>
      <c r="BQ112" s="364"/>
      <c r="BR112" s="364"/>
      <c r="BS112" s="364"/>
      <c r="BT112" s="364"/>
      <c r="BU112" s="364"/>
      <c r="BV112" s="364"/>
      <c r="BW112" s="364"/>
      <c r="BX112" s="364"/>
      <c r="BY112" s="364"/>
      <c r="BZ112" s="364"/>
      <c r="CA112" s="364"/>
      <c r="CB112" s="364"/>
      <c r="CC112" s="364"/>
      <c r="CD112" s="364"/>
      <c r="CE112" s="364"/>
      <c r="CF112" s="364"/>
      <c r="CG112" s="364"/>
      <c r="CH112" s="364"/>
      <c r="CI112" s="364"/>
      <c r="CJ112" s="364"/>
      <c r="CK112" s="364"/>
      <c r="CL112" s="364"/>
      <c r="CM112" s="364"/>
      <c r="CN112" s="364"/>
      <c r="CO112" s="364"/>
      <c r="CP112" s="364"/>
      <c r="CQ112" s="364"/>
      <c r="CR112" s="364"/>
      <c r="CS112" s="364"/>
      <c r="CT112" s="364"/>
      <c r="CU112" s="364"/>
      <c r="CV112" s="364"/>
      <c r="CW112" s="364"/>
      <c r="CX112" s="364"/>
      <c r="CY112" s="364"/>
      <c r="CZ112" s="364"/>
      <c r="DA112" s="364"/>
      <c r="DB112" s="364"/>
      <c r="DC112" s="364"/>
      <c r="DD112" s="364"/>
      <c r="DE112" s="364"/>
      <c r="DF112" s="364"/>
      <c r="DG112" s="364"/>
      <c r="DH112" s="364"/>
      <c r="DI112" s="364"/>
      <c r="DJ112" s="364"/>
      <c r="DK112" s="364"/>
      <c r="DL112" s="364"/>
      <c r="DM112" s="364"/>
      <c r="DN112" s="364"/>
      <c r="DO112" s="364"/>
      <c r="DP112" s="364"/>
      <c r="DQ112" s="364"/>
      <c r="DR112" s="364"/>
      <c r="DS112" s="364"/>
      <c r="DT112" s="364"/>
      <c r="DU112" s="364"/>
      <c r="DV112" s="364"/>
      <c r="DW112" s="364"/>
      <c r="DX112" s="364"/>
      <c r="DY112" s="364"/>
    </row>
    <row r="113" spans="2:129" s="468" customFormat="1" x14ac:dyDescent="0.25">
      <c r="B113" s="469">
        <v>2032</v>
      </c>
      <c r="C113" s="466">
        <v>253731</v>
      </c>
      <c r="D113" s="462" t="s">
        <v>701</v>
      </c>
      <c r="E113" s="461" t="s">
        <v>1117</v>
      </c>
      <c r="F113" s="462">
        <v>4</v>
      </c>
      <c r="G113" s="461"/>
      <c r="H113" s="461"/>
      <c r="I113" s="461"/>
      <c r="J113" s="461">
        <v>0</v>
      </c>
      <c r="K113" s="461" t="s">
        <v>909</v>
      </c>
      <c r="L113" s="461"/>
      <c r="M113" s="461" t="s">
        <v>854</v>
      </c>
      <c r="N113" s="465">
        <v>44361</v>
      </c>
      <c r="O113" s="465">
        <v>44361</v>
      </c>
      <c r="P113" s="461" t="s">
        <v>1116</v>
      </c>
      <c r="Q113" s="462">
        <v>1200</v>
      </c>
      <c r="R113" s="462">
        <v>14050</v>
      </c>
      <c r="S113" s="512">
        <v>45056.08</v>
      </c>
      <c r="T113" s="462">
        <v>14056</v>
      </c>
      <c r="U113" s="505">
        <v>5319.12</v>
      </c>
      <c r="V113" s="505">
        <f t="shared" si="61"/>
        <v>39736.959999999999</v>
      </c>
      <c r="W113" s="509">
        <v>3128.89</v>
      </c>
      <c r="X113" s="462">
        <v>54260</v>
      </c>
      <c r="Y113" s="505">
        <v>312.89</v>
      </c>
      <c r="Z113" s="461" t="s">
        <v>701</v>
      </c>
      <c r="AA113" s="461"/>
      <c r="AB113" s="461" t="s">
        <v>1115</v>
      </c>
      <c r="AC113" s="461"/>
      <c r="AD113" s="461" t="s">
        <v>705</v>
      </c>
      <c r="AE113" s="461" t="s">
        <v>703</v>
      </c>
      <c r="AF113" s="462" t="s">
        <v>351</v>
      </c>
      <c r="AG113" s="461"/>
      <c r="AH113" s="462" t="s">
        <v>707</v>
      </c>
      <c r="AI113" s="461">
        <v>0</v>
      </c>
      <c r="AJ113" s="461">
        <v>0</v>
      </c>
      <c r="AK113" s="364"/>
      <c r="AL113" s="364" t="s">
        <v>297</v>
      </c>
      <c r="AM113" s="490">
        <f t="shared" si="51"/>
        <v>6</v>
      </c>
      <c r="AN113" s="490">
        <f t="shared" si="52"/>
        <v>2021</v>
      </c>
      <c r="AO113" s="490">
        <f t="shared" si="62"/>
        <v>2033</v>
      </c>
      <c r="AP113" s="510">
        <f t="shared" si="53"/>
        <v>2033.5</v>
      </c>
      <c r="AQ113" s="351">
        <f t="shared" si="54"/>
        <v>312.88944444444445</v>
      </c>
      <c r="AR113" s="351">
        <f t="shared" si="55"/>
        <v>3754.6733333333332</v>
      </c>
      <c r="AS113" s="351">
        <f t="shared" si="63"/>
        <v>3754.6733333333332</v>
      </c>
      <c r="AT113" s="351">
        <f t="shared" si="64"/>
        <v>3754.6733333333332</v>
      </c>
      <c r="AU113" s="351">
        <f t="shared" si="56"/>
        <v>7509.3466666666664</v>
      </c>
      <c r="AV113" s="351">
        <f t="shared" si="65"/>
        <v>37546.733333333337</v>
      </c>
      <c r="AW113" s="491" t="s">
        <v>339</v>
      </c>
      <c r="AX113" s="364"/>
      <c r="AY113" s="364"/>
      <c r="AZ113" s="364"/>
      <c r="BA113" s="364"/>
      <c r="BB113" s="364"/>
      <c r="BC113" s="364"/>
      <c r="BD113" s="364"/>
      <c r="BE113" s="364"/>
      <c r="BF113" s="364"/>
      <c r="BG113" s="364"/>
      <c r="BH113" s="364"/>
      <c r="BI113" s="364"/>
      <c r="BJ113" s="364"/>
      <c r="BK113" s="364"/>
      <c r="BL113" s="364"/>
      <c r="BM113" s="364"/>
      <c r="BN113" s="364"/>
      <c r="BO113" s="364"/>
      <c r="BP113" s="364"/>
      <c r="BQ113" s="364"/>
      <c r="BR113" s="364"/>
      <c r="BS113" s="364"/>
      <c r="BT113" s="364"/>
      <c r="BU113" s="364"/>
      <c r="BV113" s="364"/>
      <c r="BW113" s="364"/>
      <c r="BX113" s="364"/>
      <c r="BY113" s="364"/>
      <c r="BZ113" s="364"/>
      <c r="CA113" s="364"/>
      <c r="CB113" s="364"/>
      <c r="CC113" s="364"/>
      <c r="CD113" s="364"/>
      <c r="CE113" s="364"/>
      <c r="CF113" s="364"/>
      <c r="CG113" s="364"/>
      <c r="CH113" s="364"/>
      <c r="CI113" s="364"/>
      <c r="CJ113" s="364"/>
      <c r="CK113" s="364"/>
      <c r="CL113" s="364"/>
      <c r="CM113" s="364"/>
      <c r="CN113" s="364"/>
      <c r="CO113" s="364"/>
      <c r="CP113" s="364"/>
      <c r="CQ113" s="364"/>
      <c r="CR113" s="364"/>
      <c r="CS113" s="364"/>
      <c r="CT113" s="364"/>
      <c r="CU113" s="364"/>
      <c r="CV113" s="364"/>
      <c r="CW113" s="364"/>
      <c r="CX113" s="364"/>
      <c r="CY113" s="364"/>
      <c r="CZ113" s="364"/>
      <c r="DA113" s="364"/>
      <c r="DB113" s="364"/>
      <c r="DC113" s="364"/>
      <c r="DD113" s="364"/>
      <c r="DE113" s="364"/>
      <c r="DF113" s="364"/>
      <c r="DG113" s="364"/>
      <c r="DH113" s="364"/>
      <c r="DI113" s="364"/>
      <c r="DJ113" s="364"/>
      <c r="DK113" s="364"/>
      <c r="DL113" s="364"/>
      <c r="DM113" s="364"/>
      <c r="DN113" s="364"/>
      <c r="DO113" s="364"/>
      <c r="DP113" s="364"/>
      <c r="DQ113" s="364"/>
      <c r="DR113" s="364"/>
      <c r="DS113" s="364"/>
      <c r="DT113" s="364"/>
      <c r="DU113" s="364"/>
      <c r="DV113" s="364"/>
      <c r="DW113" s="364"/>
      <c r="DX113" s="364"/>
      <c r="DY113" s="364"/>
    </row>
    <row r="114" spans="2:129" s="468" customFormat="1" x14ac:dyDescent="0.25">
      <c r="B114" s="469">
        <v>2032</v>
      </c>
      <c r="C114" s="466">
        <v>253429</v>
      </c>
      <c r="D114" s="462" t="s">
        <v>701</v>
      </c>
      <c r="E114" s="461" t="s">
        <v>1114</v>
      </c>
      <c r="F114" s="462">
        <v>20</v>
      </c>
      <c r="G114" s="461"/>
      <c r="H114" s="461"/>
      <c r="I114" s="461" t="s">
        <v>988</v>
      </c>
      <c r="J114" s="461">
        <v>0</v>
      </c>
      <c r="K114" s="461" t="s">
        <v>909</v>
      </c>
      <c r="L114" s="461"/>
      <c r="M114" s="461" t="s">
        <v>1113</v>
      </c>
      <c r="N114" s="465">
        <v>44343</v>
      </c>
      <c r="O114" s="465">
        <v>44343</v>
      </c>
      <c r="P114" s="461" t="s">
        <v>1112</v>
      </c>
      <c r="Q114" s="462">
        <v>1200</v>
      </c>
      <c r="R114" s="462">
        <v>14050</v>
      </c>
      <c r="S114" s="512">
        <v>26988.959999999999</v>
      </c>
      <c r="T114" s="462">
        <v>14056</v>
      </c>
      <c r="U114" s="505">
        <v>3186.19</v>
      </c>
      <c r="V114" s="505">
        <f t="shared" si="61"/>
        <v>23802.77</v>
      </c>
      <c r="W114" s="509">
        <v>1874.23</v>
      </c>
      <c r="X114" s="462">
        <v>54260</v>
      </c>
      <c r="Y114" s="505">
        <v>187.42</v>
      </c>
      <c r="Z114" s="461" t="s">
        <v>701</v>
      </c>
      <c r="AA114" s="461"/>
      <c r="AB114" s="461" t="s">
        <v>1111</v>
      </c>
      <c r="AC114" s="461"/>
      <c r="AD114" s="461" t="s">
        <v>705</v>
      </c>
      <c r="AE114" s="461" t="s">
        <v>703</v>
      </c>
      <c r="AF114" s="462" t="s">
        <v>351</v>
      </c>
      <c r="AG114" s="461"/>
      <c r="AH114" s="462" t="s">
        <v>707</v>
      </c>
      <c r="AI114" s="461">
        <v>0</v>
      </c>
      <c r="AJ114" s="461">
        <v>0</v>
      </c>
      <c r="AK114" s="364"/>
      <c r="AL114" s="364" t="s">
        <v>295</v>
      </c>
      <c r="AM114" s="490">
        <f t="shared" si="51"/>
        <v>5</v>
      </c>
      <c r="AN114" s="490">
        <f t="shared" si="52"/>
        <v>2021</v>
      </c>
      <c r="AO114" s="490">
        <f t="shared" si="62"/>
        <v>2033</v>
      </c>
      <c r="AP114" s="510">
        <f t="shared" si="53"/>
        <v>2033.4166666666667</v>
      </c>
      <c r="AQ114" s="351">
        <f t="shared" si="54"/>
        <v>187.42333333333332</v>
      </c>
      <c r="AR114" s="351">
        <f t="shared" si="55"/>
        <v>2249.08</v>
      </c>
      <c r="AS114" s="351">
        <f t="shared" si="63"/>
        <v>2249.08</v>
      </c>
      <c r="AT114" s="351">
        <f t="shared" si="64"/>
        <v>2249.08</v>
      </c>
      <c r="AU114" s="351">
        <f t="shared" si="56"/>
        <v>4498.16</v>
      </c>
      <c r="AV114" s="351">
        <f t="shared" si="65"/>
        <v>22490.799999999999</v>
      </c>
      <c r="AW114" s="491" t="s">
        <v>339</v>
      </c>
      <c r="AX114" s="364"/>
      <c r="AY114" s="364"/>
      <c r="AZ114" s="364"/>
      <c r="BA114" s="364"/>
      <c r="BB114" s="364"/>
      <c r="BC114" s="364"/>
      <c r="BD114" s="364"/>
      <c r="BE114" s="364"/>
      <c r="BF114" s="364"/>
      <c r="BG114" s="364"/>
      <c r="BH114" s="364"/>
      <c r="BI114" s="364"/>
      <c r="BJ114" s="364"/>
      <c r="BK114" s="364"/>
      <c r="BL114" s="364"/>
      <c r="BM114" s="364"/>
      <c r="BN114" s="364"/>
      <c r="BO114" s="364"/>
      <c r="BP114" s="364"/>
      <c r="BQ114" s="364"/>
      <c r="BR114" s="364"/>
      <c r="BS114" s="364"/>
      <c r="BT114" s="364"/>
      <c r="BU114" s="364"/>
      <c r="BV114" s="364"/>
      <c r="BW114" s="364"/>
      <c r="BX114" s="364"/>
      <c r="BY114" s="364"/>
      <c r="BZ114" s="364"/>
      <c r="CA114" s="364"/>
      <c r="CB114" s="364"/>
      <c r="CC114" s="364"/>
      <c r="CD114" s="364"/>
      <c r="CE114" s="364"/>
      <c r="CF114" s="364"/>
      <c r="CG114" s="364"/>
      <c r="CH114" s="364"/>
      <c r="CI114" s="364"/>
      <c r="CJ114" s="364"/>
      <c r="CK114" s="364"/>
      <c r="CL114" s="364"/>
      <c r="CM114" s="364"/>
      <c r="CN114" s="364"/>
      <c r="CO114" s="364"/>
      <c r="CP114" s="364"/>
      <c r="CQ114" s="364"/>
      <c r="CR114" s="364"/>
      <c r="CS114" s="364"/>
      <c r="CT114" s="364"/>
      <c r="CU114" s="364"/>
      <c r="CV114" s="364"/>
      <c r="CW114" s="364"/>
      <c r="CX114" s="364"/>
      <c r="CY114" s="364"/>
      <c r="CZ114" s="364"/>
      <c r="DA114" s="364"/>
      <c r="DB114" s="364"/>
      <c r="DC114" s="364"/>
      <c r="DD114" s="364"/>
      <c r="DE114" s="364"/>
      <c r="DF114" s="364"/>
      <c r="DG114" s="364"/>
      <c r="DH114" s="364"/>
      <c r="DI114" s="364"/>
      <c r="DJ114" s="364"/>
      <c r="DK114" s="364"/>
      <c r="DL114" s="364"/>
      <c r="DM114" s="364"/>
      <c r="DN114" s="364"/>
      <c r="DO114" s="364"/>
      <c r="DP114" s="364"/>
      <c r="DQ114" s="364"/>
      <c r="DR114" s="364"/>
      <c r="DS114" s="364"/>
      <c r="DT114" s="364"/>
      <c r="DU114" s="364"/>
      <c r="DV114" s="364"/>
      <c r="DW114" s="364"/>
      <c r="DX114" s="364"/>
      <c r="DY114" s="364"/>
    </row>
    <row r="115" spans="2:129" s="468" customFormat="1" x14ac:dyDescent="0.25">
      <c r="B115" s="469">
        <v>2032</v>
      </c>
      <c r="C115" s="466">
        <v>253428</v>
      </c>
      <c r="D115" s="462">
        <v>253427</v>
      </c>
      <c r="E115" s="461" t="s">
        <v>1110</v>
      </c>
      <c r="F115" s="462">
        <v>0</v>
      </c>
      <c r="G115" s="461"/>
      <c r="H115" s="461"/>
      <c r="I115" s="461" t="s">
        <v>988</v>
      </c>
      <c r="J115" s="461">
        <v>0</v>
      </c>
      <c r="K115" s="461" t="s">
        <v>1107</v>
      </c>
      <c r="L115" s="461"/>
      <c r="M115" s="461"/>
      <c r="N115" s="465">
        <v>44333</v>
      </c>
      <c r="O115" s="465">
        <v>44333</v>
      </c>
      <c r="P115" s="461" t="s">
        <v>1109</v>
      </c>
      <c r="Q115" s="462">
        <v>200</v>
      </c>
      <c r="R115" s="462">
        <v>14110</v>
      </c>
      <c r="S115" s="512">
        <v>976.5</v>
      </c>
      <c r="T115" s="462">
        <v>14116</v>
      </c>
      <c r="U115" s="505">
        <v>691.69</v>
      </c>
      <c r="V115" s="505">
        <f t="shared" si="61"/>
        <v>284.80999999999995</v>
      </c>
      <c r="W115" s="509">
        <v>406.88</v>
      </c>
      <c r="X115" s="462">
        <v>70260</v>
      </c>
      <c r="Y115" s="505">
        <v>40.69</v>
      </c>
      <c r="Z115" s="461" t="s">
        <v>701</v>
      </c>
      <c r="AA115" s="461"/>
      <c r="AB115" s="461" t="s">
        <v>1105</v>
      </c>
      <c r="AC115" s="461"/>
      <c r="AD115" s="461" t="s">
        <v>705</v>
      </c>
      <c r="AE115" s="461" t="s">
        <v>703</v>
      </c>
      <c r="AF115" s="462" t="s">
        <v>351</v>
      </c>
      <c r="AG115" s="461"/>
      <c r="AH115" s="462" t="s">
        <v>707</v>
      </c>
      <c r="AI115" s="461">
        <v>0</v>
      </c>
      <c r="AJ115" s="461">
        <v>0</v>
      </c>
      <c r="AK115" s="364"/>
      <c r="AL115" s="364" t="s">
        <v>300</v>
      </c>
      <c r="AM115" s="490">
        <f t="shared" si="51"/>
        <v>5</v>
      </c>
      <c r="AN115" s="490">
        <f t="shared" si="52"/>
        <v>2021</v>
      </c>
      <c r="AO115" s="490">
        <f t="shared" si="62"/>
        <v>2023</v>
      </c>
      <c r="AP115" s="510">
        <f t="shared" si="53"/>
        <v>2023.4166666666667</v>
      </c>
      <c r="AQ115" s="351">
        <f t="shared" si="54"/>
        <v>40.6875</v>
      </c>
      <c r="AR115" s="351">
        <f t="shared" si="55"/>
        <v>488.25</v>
      </c>
      <c r="AS115" s="351">
        <f t="shared" si="63"/>
        <v>0</v>
      </c>
      <c r="AT115" s="351">
        <f t="shared" si="64"/>
        <v>976.5</v>
      </c>
      <c r="AU115" s="351">
        <f t="shared" si="56"/>
        <v>976.5</v>
      </c>
      <c r="AV115" s="351">
        <f t="shared" si="65"/>
        <v>0</v>
      </c>
      <c r="AW115" s="491" t="s">
        <v>339</v>
      </c>
      <c r="AX115" s="364"/>
      <c r="AY115" s="364"/>
      <c r="AZ115" s="364"/>
      <c r="BA115" s="364"/>
      <c r="BB115" s="364"/>
      <c r="BC115" s="364"/>
      <c r="BD115" s="364"/>
      <c r="BE115" s="364"/>
      <c r="BF115" s="364"/>
      <c r="BG115" s="364"/>
      <c r="BH115" s="364"/>
      <c r="BI115" s="364"/>
      <c r="BJ115" s="364"/>
      <c r="BK115" s="364"/>
      <c r="BL115" s="364"/>
      <c r="BM115" s="364"/>
      <c r="BN115" s="364"/>
      <c r="BO115" s="364"/>
      <c r="BP115" s="364"/>
      <c r="BQ115" s="364"/>
      <c r="BR115" s="364"/>
      <c r="BS115" s="364"/>
      <c r="BT115" s="364"/>
      <c r="BU115" s="364"/>
      <c r="BV115" s="364"/>
      <c r="BW115" s="364"/>
      <c r="BX115" s="364"/>
      <c r="BY115" s="364"/>
      <c r="BZ115" s="364"/>
      <c r="CA115" s="364"/>
      <c r="CB115" s="364"/>
      <c r="CC115" s="364"/>
      <c r="CD115" s="364"/>
      <c r="CE115" s="364"/>
      <c r="CF115" s="364"/>
      <c r="CG115" s="364"/>
      <c r="CH115" s="364"/>
      <c r="CI115" s="364"/>
      <c r="CJ115" s="364"/>
      <c r="CK115" s="364"/>
      <c r="CL115" s="364"/>
      <c r="CM115" s="364"/>
      <c r="CN115" s="364"/>
      <c r="CO115" s="364"/>
      <c r="CP115" s="364"/>
      <c r="CQ115" s="364"/>
      <c r="CR115" s="364"/>
      <c r="CS115" s="364"/>
      <c r="CT115" s="364"/>
      <c r="CU115" s="364"/>
      <c r="CV115" s="364"/>
      <c r="CW115" s="364"/>
      <c r="CX115" s="364"/>
      <c r="CY115" s="364"/>
      <c r="CZ115" s="364"/>
      <c r="DA115" s="364"/>
      <c r="DB115" s="364"/>
      <c r="DC115" s="364"/>
      <c r="DD115" s="364"/>
      <c r="DE115" s="364"/>
      <c r="DF115" s="364"/>
      <c r="DG115" s="364"/>
      <c r="DH115" s="364"/>
      <c r="DI115" s="364"/>
      <c r="DJ115" s="364"/>
      <c r="DK115" s="364"/>
      <c r="DL115" s="364"/>
      <c r="DM115" s="364"/>
      <c r="DN115" s="364"/>
      <c r="DO115" s="364"/>
      <c r="DP115" s="364"/>
      <c r="DQ115" s="364"/>
      <c r="DR115" s="364"/>
      <c r="DS115" s="364"/>
      <c r="DT115" s="364"/>
      <c r="DU115" s="364"/>
      <c r="DV115" s="364"/>
      <c r="DW115" s="364"/>
      <c r="DX115" s="364"/>
      <c r="DY115" s="364"/>
    </row>
    <row r="116" spans="2:129" s="468" customFormat="1" x14ac:dyDescent="0.25">
      <c r="B116" s="469">
        <v>2032</v>
      </c>
      <c r="C116" s="466">
        <v>253427</v>
      </c>
      <c r="D116" s="462" t="s">
        <v>701</v>
      </c>
      <c r="E116" s="461" t="s">
        <v>1108</v>
      </c>
      <c r="F116" s="462">
        <v>1</v>
      </c>
      <c r="G116" s="461"/>
      <c r="H116" s="461"/>
      <c r="I116" s="461" t="s">
        <v>988</v>
      </c>
      <c r="J116" s="461">
        <v>0</v>
      </c>
      <c r="K116" s="461" t="s">
        <v>1107</v>
      </c>
      <c r="L116" s="461"/>
      <c r="M116" s="461"/>
      <c r="N116" s="465">
        <v>44333</v>
      </c>
      <c r="O116" s="465">
        <v>44333</v>
      </c>
      <c r="P116" s="461" t="s">
        <v>1106</v>
      </c>
      <c r="Q116" s="462">
        <v>200</v>
      </c>
      <c r="R116" s="462">
        <v>14110</v>
      </c>
      <c r="S116" s="512">
        <v>1907.03</v>
      </c>
      <c r="T116" s="462">
        <v>14116</v>
      </c>
      <c r="U116" s="505">
        <v>1350.82</v>
      </c>
      <c r="V116" s="505">
        <f t="shared" si="61"/>
        <v>556.21</v>
      </c>
      <c r="W116" s="509">
        <v>794.6</v>
      </c>
      <c r="X116" s="462">
        <v>70260</v>
      </c>
      <c r="Y116" s="505">
        <v>79.459999999999994</v>
      </c>
      <c r="Z116" s="461" t="s">
        <v>701</v>
      </c>
      <c r="AA116" s="461"/>
      <c r="AB116" s="461" t="s">
        <v>1105</v>
      </c>
      <c r="AC116" s="461"/>
      <c r="AD116" s="461" t="s">
        <v>705</v>
      </c>
      <c r="AE116" s="461" t="s">
        <v>703</v>
      </c>
      <c r="AF116" s="462" t="s">
        <v>351</v>
      </c>
      <c r="AG116" s="461"/>
      <c r="AH116" s="462" t="s">
        <v>707</v>
      </c>
      <c r="AI116" s="461">
        <v>0</v>
      </c>
      <c r="AJ116" s="461">
        <v>0</v>
      </c>
      <c r="AK116" s="364"/>
      <c r="AL116" s="364" t="s">
        <v>300</v>
      </c>
      <c r="AM116" s="490">
        <f t="shared" si="51"/>
        <v>5</v>
      </c>
      <c r="AN116" s="490">
        <f t="shared" si="52"/>
        <v>2021</v>
      </c>
      <c r="AO116" s="490">
        <f t="shared" si="62"/>
        <v>2023</v>
      </c>
      <c r="AP116" s="510">
        <f t="shared" si="53"/>
        <v>2023.4166666666667</v>
      </c>
      <c r="AQ116" s="351">
        <f t="shared" si="54"/>
        <v>79.459583333333327</v>
      </c>
      <c r="AR116" s="351">
        <f t="shared" si="55"/>
        <v>953.51499999999987</v>
      </c>
      <c r="AS116" s="351">
        <f t="shared" si="63"/>
        <v>0</v>
      </c>
      <c r="AT116" s="351">
        <f t="shared" si="64"/>
        <v>1907.03</v>
      </c>
      <c r="AU116" s="351">
        <f t="shared" si="56"/>
        <v>1907.03</v>
      </c>
      <c r="AV116" s="351">
        <f t="shared" si="65"/>
        <v>0</v>
      </c>
      <c r="AW116" s="491" t="s">
        <v>339</v>
      </c>
      <c r="AX116" s="364"/>
      <c r="AY116" s="364"/>
      <c r="AZ116" s="364"/>
      <c r="BA116" s="364"/>
      <c r="BB116" s="364"/>
      <c r="BC116" s="364"/>
      <c r="BD116" s="364"/>
      <c r="BE116" s="364"/>
      <c r="BF116" s="364"/>
      <c r="BG116" s="364"/>
      <c r="BH116" s="364"/>
      <c r="BI116" s="364"/>
      <c r="BJ116" s="364"/>
      <c r="BK116" s="364"/>
      <c r="BL116" s="364"/>
      <c r="BM116" s="364"/>
      <c r="BN116" s="364"/>
      <c r="BO116" s="364"/>
      <c r="BP116" s="364"/>
      <c r="BQ116" s="364"/>
      <c r="BR116" s="364"/>
      <c r="BS116" s="364"/>
      <c r="BT116" s="364"/>
      <c r="BU116" s="364"/>
      <c r="BV116" s="364"/>
      <c r="BW116" s="364"/>
      <c r="BX116" s="364"/>
      <c r="BY116" s="364"/>
      <c r="BZ116" s="364"/>
      <c r="CA116" s="364"/>
      <c r="CB116" s="364"/>
      <c r="CC116" s="364"/>
      <c r="CD116" s="364"/>
      <c r="CE116" s="364"/>
      <c r="CF116" s="364"/>
      <c r="CG116" s="364"/>
      <c r="CH116" s="364"/>
      <c r="CI116" s="364"/>
      <c r="CJ116" s="364"/>
      <c r="CK116" s="364"/>
      <c r="CL116" s="364"/>
      <c r="CM116" s="364"/>
      <c r="CN116" s="364"/>
      <c r="CO116" s="364"/>
      <c r="CP116" s="364"/>
      <c r="CQ116" s="364"/>
      <c r="CR116" s="364"/>
      <c r="CS116" s="364"/>
      <c r="CT116" s="364"/>
      <c r="CU116" s="364"/>
      <c r="CV116" s="364"/>
      <c r="CW116" s="364"/>
      <c r="CX116" s="364"/>
      <c r="CY116" s="364"/>
      <c r="CZ116" s="364"/>
      <c r="DA116" s="364"/>
      <c r="DB116" s="364"/>
      <c r="DC116" s="364"/>
      <c r="DD116" s="364"/>
      <c r="DE116" s="364"/>
      <c r="DF116" s="364"/>
      <c r="DG116" s="364"/>
      <c r="DH116" s="364"/>
      <c r="DI116" s="364"/>
      <c r="DJ116" s="364"/>
      <c r="DK116" s="364"/>
      <c r="DL116" s="364"/>
      <c r="DM116" s="364"/>
      <c r="DN116" s="364"/>
      <c r="DO116" s="364"/>
      <c r="DP116" s="364"/>
      <c r="DQ116" s="364"/>
      <c r="DR116" s="364"/>
      <c r="DS116" s="364"/>
      <c r="DT116" s="364"/>
      <c r="DU116" s="364"/>
      <c r="DV116" s="364"/>
      <c r="DW116" s="364"/>
      <c r="DX116" s="364"/>
      <c r="DY116" s="364"/>
    </row>
    <row r="117" spans="2:129" s="468" customFormat="1" x14ac:dyDescent="0.25">
      <c r="B117" s="469">
        <v>2032</v>
      </c>
      <c r="C117" s="466">
        <v>252696</v>
      </c>
      <c r="D117" s="462" t="s">
        <v>701</v>
      </c>
      <c r="E117" s="461" t="s">
        <v>1104</v>
      </c>
      <c r="F117" s="462">
        <v>13</v>
      </c>
      <c r="G117" s="461"/>
      <c r="H117" s="461"/>
      <c r="I117" s="461"/>
      <c r="J117" s="461">
        <v>0</v>
      </c>
      <c r="K117" s="461" t="s">
        <v>909</v>
      </c>
      <c r="L117" s="461"/>
      <c r="M117" s="461" t="s">
        <v>1103</v>
      </c>
      <c r="N117" s="465">
        <v>44338</v>
      </c>
      <c r="O117" s="465">
        <v>44338</v>
      </c>
      <c r="P117" s="461" t="s">
        <v>1102</v>
      </c>
      <c r="Q117" s="462">
        <v>1200</v>
      </c>
      <c r="R117" s="462">
        <v>14050</v>
      </c>
      <c r="S117" s="512">
        <v>9218.77</v>
      </c>
      <c r="T117" s="462">
        <v>14056</v>
      </c>
      <c r="U117" s="505">
        <v>1088.33</v>
      </c>
      <c r="V117" s="505">
        <f t="shared" si="61"/>
        <v>8130.4400000000005</v>
      </c>
      <c r="W117" s="509">
        <v>640.19000000000005</v>
      </c>
      <c r="X117" s="462">
        <v>54260</v>
      </c>
      <c r="Y117" s="505">
        <v>64.02</v>
      </c>
      <c r="Z117" s="461" t="s">
        <v>701</v>
      </c>
      <c r="AA117" s="461"/>
      <c r="AB117" s="461" t="s">
        <v>1095</v>
      </c>
      <c r="AC117" s="461"/>
      <c r="AD117" s="461" t="s">
        <v>705</v>
      </c>
      <c r="AE117" s="461" t="s">
        <v>703</v>
      </c>
      <c r="AF117" s="462" t="s">
        <v>351</v>
      </c>
      <c r="AG117" s="461"/>
      <c r="AH117" s="462" t="s">
        <v>707</v>
      </c>
      <c r="AI117" s="461">
        <v>0</v>
      </c>
      <c r="AJ117" s="461">
        <v>0</v>
      </c>
      <c r="AK117" s="364"/>
      <c r="AL117" s="364" t="s">
        <v>295</v>
      </c>
      <c r="AM117" s="490">
        <f t="shared" si="51"/>
        <v>5</v>
      </c>
      <c r="AN117" s="490">
        <f t="shared" si="52"/>
        <v>2021</v>
      </c>
      <c r="AO117" s="490">
        <f t="shared" si="62"/>
        <v>2033</v>
      </c>
      <c r="AP117" s="510">
        <f t="shared" si="53"/>
        <v>2033.4166666666667</v>
      </c>
      <c r="AQ117" s="351">
        <f t="shared" si="54"/>
        <v>64.019236111111113</v>
      </c>
      <c r="AR117" s="351">
        <f t="shared" si="55"/>
        <v>768.23083333333329</v>
      </c>
      <c r="AS117" s="351">
        <f t="shared" si="63"/>
        <v>768.23083333333329</v>
      </c>
      <c r="AT117" s="351">
        <f t="shared" si="64"/>
        <v>768.23083333333329</v>
      </c>
      <c r="AU117" s="351">
        <f t="shared" si="56"/>
        <v>1536.4616666666666</v>
      </c>
      <c r="AV117" s="351">
        <f t="shared" si="65"/>
        <v>7682.3083333333343</v>
      </c>
      <c r="AW117" s="491" t="s">
        <v>339</v>
      </c>
      <c r="AX117" s="364"/>
      <c r="AY117" s="364"/>
      <c r="AZ117" s="364"/>
      <c r="BA117" s="364"/>
      <c r="BB117" s="364"/>
      <c r="BC117" s="364"/>
      <c r="BD117" s="364"/>
      <c r="BE117" s="364"/>
      <c r="BF117" s="364"/>
      <c r="BG117" s="364"/>
      <c r="BH117" s="364"/>
      <c r="BI117" s="364"/>
      <c r="BJ117" s="364"/>
      <c r="BK117" s="364"/>
      <c r="BL117" s="364"/>
      <c r="BM117" s="364"/>
      <c r="BN117" s="364"/>
      <c r="BO117" s="364"/>
      <c r="BP117" s="364"/>
      <c r="BQ117" s="364"/>
      <c r="BR117" s="364"/>
      <c r="BS117" s="364"/>
      <c r="BT117" s="364"/>
      <c r="BU117" s="364"/>
      <c r="BV117" s="364"/>
      <c r="BW117" s="364"/>
      <c r="BX117" s="364"/>
      <c r="BY117" s="364"/>
      <c r="BZ117" s="364"/>
      <c r="CA117" s="364"/>
      <c r="CB117" s="364"/>
      <c r="CC117" s="364"/>
      <c r="CD117" s="364"/>
      <c r="CE117" s="364"/>
      <c r="CF117" s="364"/>
      <c r="CG117" s="364"/>
      <c r="CH117" s="364"/>
      <c r="CI117" s="364"/>
      <c r="CJ117" s="364"/>
      <c r="CK117" s="364"/>
      <c r="CL117" s="364"/>
      <c r="CM117" s="364"/>
      <c r="CN117" s="364"/>
      <c r="CO117" s="364"/>
      <c r="CP117" s="364"/>
      <c r="CQ117" s="364"/>
      <c r="CR117" s="364"/>
      <c r="CS117" s="364"/>
      <c r="CT117" s="364"/>
      <c r="CU117" s="364"/>
      <c r="CV117" s="364"/>
      <c r="CW117" s="364"/>
      <c r="CX117" s="364"/>
      <c r="CY117" s="364"/>
      <c r="CZ117" s="364"/>
      <c r="DA117" s="364"/>
      <c r="DB117" s="364"/>
      <c r="DC117" s="364"/>
      <c r="DD117" s="364"/>
      <c r="DE117" s="364"/>
      <c r="DF117" s="364"/>
      <c r="DG117" s="364"/>
      <c r="DH117" s="364"/>
      <c r="DI117" s="364"/>
      <c r="DJ117" s="364"/>
      <c r="DK117" s="364"/>
      <c r="DL117" s="364"/>
      <c r="DM117" s="364"/>
      <c r="DN117" s="364"/>
      <c r="DO117" s="364"/>
      <c r="DP117" s="364"/>
      <c r="DQ117" s="364"/>
      <c r="DR117" s="364"/>
      <c r="DS117" s="364"/>
      <c r="DT117" s="364"/>
      <c r="DU117" s="364"/>
      <c r="DV117" s="364"/>
      <c r="DW117" s="364"/>
      <c r="DX117" s="364"/>
      <c r="DY117" s="364"/>
    </row>
    <row r="118" spans="2:129" s="468" customFormat="1" x14ac:dyDescent="0.25">
      <c r="B118" s="469">
        <v>2032</v>
      </c>
      <c r="C118" s="466">
        <v>252695</v>
      </c>
      <c r="D118" s="462" t="s">
        <v>701</v>
      </c>
      <c r="E118" s="461" t="s">
        <v>1101</v>
      </c>
      <c r="F118" s="462">
        <v>8</v>
      </c>
      <c r="G118" s="461"/>
      <c r="H118" s="461"/>
      <c r="I118" s="461"/>
      <c r="J118" s="461">
        <v>0</v>
      </c>
      <c r="K118" s="461" t="s">
        <v>909</v>
      </c>
      <c r="L118" s="461"/>
      <c r="M118" s="461" t="s">
        <v>1100</v>
      </c>
      <c r="N118" s="465">
        <v>44338</v>
      </c>
      <c r="O118" s="465">
        <v>44338</v>
      </c>
      <c r="P118" s="461" t="s">
        <v>1099</v>
      </c>
      <c r="Q118" s="462">
        <v>1200</v>
      </c>
      <c r="R118" s="462">
        <v>14050</v>
      </c>
      <c r="S118" s="512">
        <v>5180.1499999999996</v>
      </c>
      <c r="T118" s="462">
        <v>14056</v>
      </c>
      <c r="U118" s="505">
        <v>611.54</v>
      </c>
      <c r="V118" s="505">
        <f t="shared" si="61"/>
        <v>4568.6099999999997</v>
      </c>
      <c r="W118" s="509">
        <v>359.73</v>
      </c>
      <c r="X118" s="462">
        <v>54260</v>
      </c>
      <c r="Y118" s="505">
        <v>35.97</v>
      </c>
      <c r="Z118" s="461" t="s">
        <v>701</v>
      </c>
      <c r="AA118" s="461"/>
      <c r="AB118" s="461" t="s">
        <v>1095</v>
      </c>
      <c r="AC118" s="461"/>
      <c r="AD118" s="461" t="s">
        <v>705</v>
      </c>
      <c r="AE118" s="461" t="s">
        <v>703</v>
      </c>
      <c r="AF118" s="462" t="s">
        <v>351</v>
      </c>
      <c r="AG118" s="461"/>
      <c r="AH118" s="462" t="s">
        <v>707</v>
      </c>
      <c r="AI118" s="461">
        <v>0</v>
      </c>
      <c r="AJ118" s="461">
        <v>0</v>
      </c>
      <c r="AK118" s="364"/>
      <c r="AL118" s="364" t="s">
        <v>295</v>
      </c>
      <c r="AM118" s="490">
        <f t="shared" si="51"/>
        <v>5</v>
      </c>
      <c r="AN118" s="490">
        <f t="shared" si="52"/>
        <v>2021</v>
      </c>
      <c r="AO118" s="490">
        <f t="shared" si="62"/>
        <v>2033</v>
      </c>
      <c r="AP118" s="510">
        <f t="shared" si="53"/>
        <v>2033.4166666666667</v>
      </c>
      <c r="AQ118" s="351">
        <f t="shared" si="54"/>
        <v>35.973263888888887</v>
      </c>
      <c r="AR118" s="351">
        <f t="shared" si="55"/>
        <v>431.67916666666667</v>
      </c>
      <c r="AS118" s="351">
        <f t="shared" si="63"/>
        <v>431.67916666666667</v>
      </c>
      <c r="AT118" s="351">
        <f t="shared" si="64"/>
        <v>431.67916666666667</v>
      </c>
      <c r="AU118" s="351">
        <f t="shared" si="56"/>
        <v>863.35833333333335</v>
      </c>
      <c r="AV118" s="351">
        <f t="shared" si="65"/>
        <v>4316.7916666666661</v>
      </c>
      <c r="AW118" s="491" t="s">
        <v>339</v>
      </c>
      <c r="AX118" s="364"/>
      <c r="AY118" s="364"/>
      <c r="AZ118" s="364"/>
      <c r="BA118" s="364"/>
      <c r="BB118" s="364"/>
      <c r="BC118" s="364"/>
      <c r="BD118" s="364"/>
      <c r="BE118" s="364"/>
      <c r="BF118" s="364"/>
      <c r="BG118" s="364"/>
      <c r="BH118" s="364"/>
      <c r="BI118" s="364"/>
      <c r="BJ118" s="364"/>
      <c r="BK118" s="364"/>
      <c r="BL118" s="364"/>
      <c r="BM118" s="364"/>
      <c r="BN118" s="364"/>
      <c r="BO118" s="364"/>
      <c r="BP118" s="364"/>
      <c r="BQ118" s="364"/>
      <c r="BR118" s="364"/>
      <c r="BS118" s="364"/>
      <c r="BT118" s="364"/>
      <c r="BU118" s="364"/>
      <c r="BV118" s="364"/>
      <c r="BW118" s="364"/>
      <c r="BX118" s="364"/>
      <c r="BY118" s="364"/>
      <c r="BZ118" s="364"/>
      <c r="CA118" s="364"/>
      <c r="CB118" s="364"/>
      <c r="CC118" s="364"/>
      <c r="CD118" s="364"/>
      <c r="CE118" s="364"/>
      <c r="CF118" s="364"/>
      <c r="CG118" s="364"/>
      <c r="CH118" s="364"/>
      <c r="CI118" s="364"/>
      <c r="CJ118" s="364"/>
      <c r="CK118" s="364"/>
      <c r="CL118" s="364"/>
      <c r="CM118" s="364"/>
      <c r="CN118" s="364"/>
      <c r="CO118" s="364"/>
      <c r="CP118" s="364"/>
      <c r="CQ118" s="364"/>
      <c r="CR118" s="364"/>
      <c r="CS118" s="364"/>
      <c r="CT118" s="364"/>
      <c r="CU118" s="364"/>
      <c r="CV118" s="364"/>
      <c r="CW118" s="364"/>
      <c r="CX118" s="364"/>
      <c r="CY118" s="364"/>
      <c r="CZ118" s="364"/>
      <c r="DA118" s="364"/>
      <c r="DB118" s="364"/>
      <c r="DC118" s="364"/>
      <c r="DD118" s="364"/>
      <c r="DE118" s="364"/>
      <c r="DF118" s="364"/>
      <c r="DG118" s="364"/>
      <c r="DH118" s="364"/>
      <c r="DI118" s="364"/>
      <c r="DJ118" s="364"/>
      <c r="DK118" s="364"/>
      <c r="DL118" s="364"/>
      <c r="DM118" s="364"/>
      <c r="DN118" s="364"/>
      <c r="DO118" s="364"/>
      <c r="DP118" s="364"/>
      <c r="DQ118" s="364"/>
      <c r="DR118" s="364"/>
      <c r="DS118" s="364"/>
      <c r="DT118" s="364"/>
      <c r="DU118" s="364"/>
      <c r="DV118" s="364"/>
      <c r="DW118" s="364"/>
      <c r="DX118" s="364"/>
      <c r="DY118" s="364"/>
    </row>
    <row r="119" spans="2:129" s="468" customFormat="1" x14ac:dyDescent="0.25">
      <c r="B119" s="469">
        <v>2032</v>
      </c>
      <c r="C119" s="466">
        <v>252694</v>
      </c>
      <c r="D119" s="462" t="s">
        <v>701</v>
      </c>
      <c r="E119" s="461" t="s">
        <v>1098</v>
      </c>
      <c r="F119" s="462">
        <v>4</v>
      </c>
      <c r="G119" s="461"/>
      <c r="H119" s="461"/>
      <c r="I119" s="461"/>
      <c r="J119" s="461">
        <v>0</v>
      </c>
      <c r="K119" s="461" t="s">
        <v>909</v>
      </c>
      <c r="L119" s="461"/>
      <c r="M119" s="461" t="s">
        <v>1097</v>
      </c>
      <c r="N119" s="465">
        <v>44338</v>
      </c>
      <c r="O119" s="465">
        <v>44338</v>
      </c>
      <c r="P119" s="461" t="s">
        <v>1096</v>
      </c>
      <c r="Q119" s="462">
        <v>1200</v>
      </c>
      <c r="R119" s="462">
        <v>14050</v>
      </c>
      <c r="S119" s="512">
        <v>2019.31</v>
      </c>
      <c r="T119" s="462">
        <v>14056</v>
      </c>
      <c r="U119" s="505">
        <v>238.39</v>
      </c>
      <c r="V119" s="505">
        <f t="shared" si="61"/>
        <v>1780.92</v>
      </c>
      <c r="W119" s="509">
        <v>140.22999999999999</v>
      </c>
      <c r="X119" s="462">
        <v>54260</v>
      </c>
      <c r="Y119" s="505">
        <v>14.02</v>
      </c>
      <c r="Z119" s="461" t="s">
        <v>701</v>
      </c>
      <c r="AA119" s="461"/>
      <c r="AB119" s="461" t="s">
        <v>1095</v>
      </c>
      <c r="AC119" s="461"/>
      <c r="AD119" s="461" t="s">
        <v>705</v>
      </c>
      <c r="AE119" s="461" t="s">
        <v>703</v>
      </c>
      <c r="AF119" s="462" t="s">
        <v>351</v>
      </c>
      <c r="AG119" s="461"/>
      <c r="AH119" s="462" t="s">
        <v>707</v>
      </c>
      <c r="AI119" s="461">
        <v>0</v>
      </c>
      <c r="AJ119" s="461">
        <v>0</v>
      </c>
      <c r="AK119" s="364"/>
      <c r="AL119" s="364" t="s">
        <v>295</v>
      </c>
      <c r="AM119" s="490">
        <f t="shared" si="51"/>
        <v>5</v>
      </c>
      <c r="AN119" s="490">
        <f t="shared" si="52"/>
        <v>2021</v>
      </c>
      <c r="AO119" s="490">
        <f t="shared" si="62"/>
        <v>2033</v>
      </c>
      <c r="AP119" s="510">
        <f t="shared" si="53"/>
        <v>2033.4166666666667</v>
      </c>
      <c r="AQ119" s="351">
        <f t="shared" si="54"/>
        <v>14.022986111111111</v>
      </c>
      <c r="AR119" s="351">
        <f t="shared" si="55"/>
        <v>168.27583333333334</v>
      </c>
      <c r="AS119" s="351">
        <f t="shared" si="63"/>
        <v>168.27583333333334</v>
      </c>
      <c r="AT119" s="351">
        <f t="shared" si="64"/>
        <v>168.27583333333334</v>
      </c>
      <c r="AU119" s="351">
        <f t="shared" si="56"/>
        <v>336.55166666666668</v>
      </c>
      <c r="AV119" s="351">
        <f t="shared" si="65"/>
        <v>1682.7583333333332</v>
      </c>
      <c r="AW119" s="491" t="s">
        <v>339</v>
      </c>
      <c r="AX119" s="364"/>
      <c r="AY119" s="364"/>
      <c r="AZ119" s="364"/>
      <c r="BA119" s="364"/>
      <c r="BB119" s="364"/>
      <c r="BC119" s="364"/>
      <c r="BD119" s="364"/>
      <c r="BE119" s="364"/>
      <c r="BF119" s="364"/>
      <c r="BG119" s="364"/>
      <c r="BH119" s="364"/>
      <c r="BI119" s="364"/>
      <c r="BJ119" s="364"/>
      <c r="BK119" s="364"/>
      <c r="BL119" s="364"/>
      <c r="BM119" s="364"/>
      <c r="BN119" s="364"/>
      <c r="BO119" s="364"/>
      <c r="BP119" s="364"/>
      <c r="BQ119" s="364"/>
      <c r="BR119" s="364"/>
      <c r="BS119" s="364"/>
      <c r="BT119" s="364"/>
      <c r="BU119" s="364"/>
      <c r="BV119" s="364"/>
      <c r="BW119" s="364"/>
      <c r="BX119" s="364"/>
      <c r="BY119" s="364"/>
      <c r="BZ119" s="364"/>
      <c r="CA119" s="364"/>
      <c r="CB119" s="364"/>
      <c r="CC119" s="364"/>
      <c r="CD119" s="364"/>
      <c r="CE119" s="364"/>
      <c r="CF119" s="364"/>
      <c r="CG119" s="364"/>
      <c r="CH119" s="364"/>
      <c r="CI119" s="364"/>
      <c r="CJ119" s="364"/>
      <c r="CK119" s="364"/>
      <c r="CL119" s="364"/>
      <c r="CM119" s="364"/>
      <c r="CN119" s="364"/>
      <c r="CO119" s="364"/>
      <c r="CP119" s="364"/>
      <c r="CQ119" s="364"/>
      <c r="CR119" s="364"/>
      <c r="CS119" s="364"/>
      <c r="CT119" s="364"/>
      <c r="CU119" s="364"/>
      <c r="CV119" s="364"/>
      <c r="CW119" s="364"/>
      <c r="CX119" s="364"/>
      <c r="CY119" s="364"/>
      <c r="CZ119" s="364"/>
      <c r="DA119" s="364"/>
      <c r="DB119" s="364"/>
      <c r="DC119" s="364"/>
      <c r="DD119" s="364"/>
      <c r="DE119" s="364"/>
      <c r="DF119" s="364"/>
      <c r="DG119" s="364"/>
      <c r="DH119" s="364"/>
      <c r="DI119" s="364"/>
      <c r="DJ119" s="364"/>
      <c r="DK119" s="364"/>
      <c r="DL119" s="364"/>
      <c r="DM119" s="364"/>
      <c r="DN119" s="364"/>
      <c r="DO119" s="364"/>
      <c r="DP119" s="364"/>
      <c r="DQ119" s="364"/>
      <c r="DR119" s="364"/>
      <c r="DS119" s="364"/>
      <c r="DT119" s="364"/>
      <c r="DU119" s="364"/>
      <c r="DV119" s="364"/>
      <c r="DW119" s="364"/>
      <c r="DX119" s="364"/>
      <c r="DY119" s="364"/>
    </row>
    <row r="120" spans="2:129" s="468" customFormat="1" x14ac:dyDescent="0.25">
      <c r="B120" s="469">
        <v>2032</v>
      </c>
      <c r="C120" s="466">
        <v>252475</v>
      </c>
      <c r="D120" s="462" t="s">
        <v>701</v>
      </c>
      <c r="E120" s="461" t="s">
        <v>1094</v>
      </c>
      <c r="F120" s="462">
        <v>2</v>
      </c>
      <c r="G120" s="461"/>
      <c r="H120" s="461"/>
      <c r="I120" s="461"/>
      <c r="J120" s="461">
        <v>0</v>
      </c>
      <c r="K120" s="461" t="s">
        <v>1093</v>
      </c>
      <c r="L120" s="461"/>
      <c r="M120" s="461" t="s">
        <v>850</v>
      </c>
      <c r="N120" s="465">
        <v>44340</v>
      </c>
      <c r="O120" s="465">
        <v>44340</v>
      </c>
      <c r="P120" s="461" t="s">
        <v>1092</v>
      </c>
      <c r="Q120" s="462">
        <v>1200</v>
      </c>
      <c r="R120" s="462">
        <v>14050</v>
      </c>
      <c r="S120" s="512">
        <v>15012.93</v>
      </c>
      <c r="T120" s="462">
        <v>14056</v>
      </c>
      <c r="U120" s="505">
        <v>1772.37</v>
      </c>
      <c r="V120" s="505">
        <f t="shared" si="61"/>
        <v>13240.560000000001</v>
      </c>
      <c r="W120" s="509">
        <v>1042.57</v>
      </c>
      <c r="X120" s="462">
        <v>54260</v>
      </c>
      <c r="Y120" s="505">
        <v>104.26</v>
      </c>
      <c r="Z120" s="461" t="s">
        <v>701</v>
      </c>
      <c r="AA120" s="461"/>
      <c r="AB120" s="461" t="s">
        <v>1091</v>
      </c>
      <c r="AC120" s="461"/>
      <c r="AD120" s="461" t="s">
        <v>705</v>
      </c>
      <c r="AE120" s="461" t="s">
        <v>703</v>
      </c>
      <c r="AF120" s="462" t="s">
        <v>351</v>
      </c>
      <c r="AG120" s="461"/>
      <c r="AH120" s="462" t="s">
        <v>707</v>
      </c>
      <c r="AI120" s="461">
        <v>0</v>
      </c>
      <c r="AJ120" s="461">
        <v>0</v>
      </c>
      <c r="AK120" s="364"/>
      <c r="AL120" s="364" t="s">
        <v>297</v>
      </c>
      <c r="AM120" s="490">
        <f t="shared" si="51"/>
        <v>5</v>
      </c>
      <c r="AN120" s="490">
        <f t="shared" si="52"/>
        <v>2021</v>
      </c>
      <c r="AO120" s="490">
        <f t="shared" si="62"/>
        <v>2033</v>
      </c>
      <c r="AP120" s="510">
        <f t="shared" si="53"/>
        <v>2033.4166666666667</v>
      </c>
      <c r="AQ120" s="351">
        <f t="shared" si="54"/>
        <v>104.25645833333334</v>
      </c>
      <c r="AR120" s="351">
        <f t="shared" si="55"/>
        <v>1251.0775000000001</v>
      </c>
      <c r="AS120" s="351">
        <f t="shared" si="63"/>
        <v>1251.0775000000001</v>
      </c>
      <c r="AT120" s="351">
        <f t="shared" si="64"/>
        <v>1251.0775000000001</v>
      </c>
      <c r="AU120" s="351">
        <f t="shared" si="56"/>
        <v>2502.1550000000002</v>
      </c>
      <c r="AV120" s="351">
        <f t="shared" si="65"/>
        <v>12510.775</v>
      </c>
      <c r="AW120" s="491" t="s">
        <v>339</v>
      </c>
      <c r="AX120" s="364"/>
      <c r="AY120" s="364"/>
      <c r="AZ120" s="364"/>
      <c r="BA120" s="364"/>
      <c r="BB120" s="364"/>
      <c r="BC120" s="364"/>
      <c r="BD120" s="364"/>
      <c r="BE120" s="364"/>
      <c r="BF120" s="364"/>
      <c r="BG120" s="364"/>
      <c r="BH120" s="364"/>
      <c r="BI120" s="364"/>
      <c r="BJ120" s="364"/>
      <c r="BK120" s="364"/>
      <c r="BL120" s="364"/>
      <c r="BM120" s="364"/>
      <c r="BN120" s="364"/>
      <c r="BO120" s="364"/>
      <c r="BP120" s="364"/>
      <c r="BQ120" s="364"/>
      <c r="BR120" s="364"/>
      <c r="BS120" s="364"/>
      <c r="BT120" s="364"/>
      <c r="BU120" s="364"/>
      <c r="BV120" s="364"/>
      <c r="BW120" s="364"/>
      <c r="BX120" s="364"/>
      <c r="BY120" s="364"/>
      <c r="BZ120" s="364"/>
      <c r="CA120" s="364"/>
      <c r="CB120" s="364"/>
      <c r="CC120" s="364"/>
      <c r="CD120" s="364"/>
      <c r="CE120" s="364"/>
      <c r="CF120" s="364"/>
      <c r="CG120" s="364"/>
      <c r="CH120" s="364"/>
      <c r="CI120" s="364"/>
      <c r="CJ120" s="364"/>
      <c r="CK120" s="364"/>
      <c r="CL120" s="364"/>
      <c r="CM120" s="364"/>
      <c r="CN120" s="364"/>
      <c r="CO120" s="364"/>
      <c r="CP120" s="364"/>
      <c r="CQ120" s="364"/>
      <c r="CR120" s="364"/>
      <c r="CS120" s="364"/>
      <c r="CT120" s="364"/>
      <c r="CU120" s="364"/>
      <c r="CV120" s="364"/>
      <c r="CW120" s="364"/>
      <c r="CX120" s="364"/>
      <c r="CY120" s="364"/>
      <c r="CZ120" s="364"/>
      <c r="DA120" s="364"/>
      <c r="DB120" s="364"/>
      <c r="DC120" s="364"/>
      <c r="DD120" s="364"/>
      <c r="DE120" s="364"/>
      <c r="DF120" s="364"/>
      <c r="DG120" s="364"/>
      <c r="DH120" s="364"/>
      <c r="DI120" s="364"/>
      <c r="DJ120" s="364"/>
      <c r="DK120" s="364"/>
      <c r="DL120" s="364"/>
      <c r="DM120" s="364"/>
      <c r="DN120" s="364"/>
      <c r="DO120" s="364"/>
      <c r="DP120" s="364"/>
      <c r="DQ120" s="364"/>
      <c r="DR120" s="364"/>
      <c r="DS120" s="364"/>
      <c r="DT120" s="364"/>
      <c r="DU120" s="364"/>
      <c r="DV120" s="364"/>
      <c r="DW120" s="364"/>
      <c r="DX120" s="364"/>
      <c r="DY120" s="364"/>
    </row>
    <row r="121" spans="2:129" s="468" customFormat="1" x14ac:dyDescent="0.25">
      <c r="B121" s="469">
        <v>2032</v>
      </c>
      <c r="C121" s="466">
        <v>250644</v>
      </c>
      <c r="D121" s="462">
        <v>250641</v>
      </c>
      <c r="E121" s="461" t="s">
        <v>967</v>
      </c>
      <c r="F121" s="462"/>
      <c r="G121" s="461"/>
      <c r="H121" s="461"/>
      <c r="I121" s="461"/>
      <c r="J121" s="461">
        <v>0</v>
      </c>
      <c r="K121" s="461"/>
      <c r="L121" s="461"/>
      <c r="M121" s="461" t="s">
        <v>962</v>
      </c>
      <c r="N121" s="465">
        <v>42767</v>
      </c>
      <c r="O121" s="465">
        <v>42767</v>
      </c>
      <c r="P121" s="461" t="s">
        <v>1090</v>
      </c>
      <c r="Q121" s="462">
        <v>300</v>
      </c>
      <c r="R121" s="462">
        <v>14040</v>
      </c>
      <c r="S121" s="512">
        <v>19602</v>
      </c>
      <c r="T121" s="462">
        <v>14046</v>
      </c>
      <c r="U121" s="505">
        <v>19602</v>
      </c>
      <c r="V121" s="505">
        <f t="shared" si="61"/>
        <v>0</v>
      </c>
      <c r="W121" s="509">
        <v>0</v>
      </c>
      <c r="X121" s="462">
        <v>51260</v>
      </c>
      <c r="Y121" s="505">
        <v>0</v>
      </c>
      <c r="Z121" s="461" t="s">
        <v>701</v>
      </c>
      <c r="AA121" s="461"/>
      <c r="AB121" s="461" t="s">
        <v>1089</v>
      </c>
      <c r="AC121" s="461"/>
      <c r="AD121" s="461" t="s">
        <v>705</v>
      </c>
      <c r="AE121" s="461" t="s">
        <v>703</v>
      </c>
      <c r="AF121" s="462" t="s">
        <v>351</v>
      </c>
      <c r="AG121" s="467">
        <v>44286</v>
      </c>
      <c r="AH121" s="462" t="s">
        <v>707</v>
      </c>
      <c r="AI121" s="461">
        <v>0</v>
      </c>
      <c r="AJ121" s="461">
        <v>19602</v>
      </c>
      <c r="AK121" s="364"/>
      <c r="AL121" s="364" t="s">
        <v>742</v>
      </c>
      <c r="AM121" s="490">
        <f t="shared" si="51"/>
        <v>2</v>
      </c>
      <c r="AN121" s="490">
        <f t="shared" si="52"/>
        <v>2017</v>
      </c>
      <c r="AO121" s="490">
        <f t="shared" si="62"/>
        <v>2020</v>
      </c>
      <c r="AP121" s="510">
        <f t="shared" si="53"/>
        <v>2020.1666666666667</v>
      </c>
      <c r="AQ121" s="351">
        <f t="shared" si="54"/>
        <v>544.5</v>
      </c>
      <c r="AR121" s="351">
        <f t="shared" si="55"/>
        <v>6534</v>
      </c>
      <c r="AS121" s="351">
        <f t="shared" si="63"/>
        <v>0</v>
      </c>
      <c r="AT121" s="351">
        <f t="shared" si="64"/>
        <v>19602</v>
      </c>
      <c r="AU121" s="351">
        <f t="shared" si="56"/>
        <v>19602</v>
      </c>
      <c r="AV121" s="351">
        <f t="shared" si="65"/>
        <v>0</v>
      </c>
      <c r="AW121" s="491" t="s">
        <v>339</v>
      </c>
      <c r="AX121" s="364"/>
      <c r="AY121" s="364"/>
      <c r="AZ121" s="364"/>
      <c r="BA121" s="364"/>
      <c r="BB121" s="364"/>
      <c r="BC121" s="364"/>
      <c r="BD121" s="364"/>
      <c r="BE121" s="364"/>
      <c r="BF121" s="364"/>
      <c r="BG121" s="364"/>
      <c r="BH121" s="364"/>
      <c r="BI121" s="364"/>
      <c r="BJ121" s="364"/>
      <c r="BK121" s="364"/>
      <c r="BL121" s="364"/>
      <c r="BM121" s="364"/>
      <c r="BN121" s="364"/>
      <c r="BO121" s="364"/>
      <c r="BP121" s="364"/>
      <c r="BQ121" s="364"/>
      <c r="BR121" s="364"/>
      <c r="BS121" s="364"/>
      <c r="BT121" s="364"/>
      <c r="BU121" s="364"/>
      <c r="BV121" s="364"/>
      <c r="BW121" s="364"/>
      <c r="BX121" s="364"/>
      <c r="BY121" s="364"/>
      <c r="BZ121" s="364"/>
      <c r="CA121" s="364"/>
      <c r="CB121" s="364"/>
      <c r="CC121" s="364"/>
      <c r="CD121" s="364"/>
      <c r="CE121" s="364"/>
      <c r="CF121" s="364"/>
      <c r="CG121" s="364"/>
      <c r="CH121" s="364"/>
      <c r="CI121" s="364"/>
      <c r="CJ121" s="364"/>
      <c r="CK121" s="364"/>
      <c r="CL121" s="364"/>
      <c r="CM121" s="364"/>
      <c r="CN121" s="364"/>
      <c r="CO121" s="364"/>
      <c r="CP121" s="364"/>
      <c r="CQ121" s="364"/>
      <c r="CR121" s="364"/>
      <c r="CS121" s="364"/>
      <c r="CT121" s="364"/>
      <c r="CU121" s="364"/>
      <c r="CV121" s="364"/>
      <c r="CW121" s="364"/>
      <c r="CX121" s="364"/>
      <c r="CY121" s="364"/>
      <c r="CZ121" s="364"/>
      <c r="DA121" s="364"/>
      <c r="DB121" s="364"/>
      <c r="DC121" s="364"/>
      <c r="DD121" s="364"/>
      <c r="DE121" s="364"/>
      <c r="DF121" s="364"/>
      <c r="DG121" s="364"/>
      <c r="DH121" s="364"/>
      <c r="DI121" s="364"/>
      <c r="DJ121" s="364"/>
      <c r="DK121" s="364"/>
      <c r="DL121" s="364"/>
      <c r="DM121" s="364"/>
      <c r="DN121" s="364"/>
      <c r="DO121" s="364"/>
      <c r="DP121" s="364"/>
      <c r="DQ121" s="364"/>
      <c r="DR121" s="364"/>
      <c r="DS121" s="364"/>
      <c r="DT121" s="364"/>
      <c r="DU121" s="364"/>
      <c r="DV121" s="364"/>
      <c r="DW121" s="364"/>
      <c r="DX121" s="364"/>
      <c r="DY121" s="364"/>
    </row>
    <row r="122" spans="2:129" s="468" customFormat="1" x14ac:dyDescent="0.25">
      <c r="B122" s="469">
        <v>2032</v>
      </c>
      <c r="C122" s="466">
        <v>250642</v>
      </c>
      <c r="D122" s="462">
        <v>250641</v>
      </c>
      <c r="E122" s="461" t="s">
        <v>1088</v>
      </c>
      <c r="F122" s="462">
        <v>0</v>
      </c>
      <c r="G122" s="461"/>
      <c r="H122" s="461" t="s">
        <v>1087</v>
      </c>
      <c r="I122" s="461"/>
      <c r="J122" s="461">
        <v>2007</v>
      </c>
      <c r="K122" s="461"/>
      <c r="L122" s="461"/>
      <c r="M122" s="461" t="s">
        <v>772</v>
      </c>
      <c r="N122" s="465">
        <v>39610</v>
      </c>
      <c r="O122" s="465">
        <v>39610</v>
      </c>
      <c r="P122" s="461" t="s">
        <v>1083</v>
      </c>
      <c r="Q122" s="462">
        <v>1000</v>
      </c>
      <c r="R122" s="462">
        <v>14040</v>
      </c>
      <c r="S122" s="512">
        <v>5000</v>
      </c>
      <c r="T122" s="462">
        <v>14046</v>
      </c>
      <c r="U122" s="505">
        <v>5000</v>
      </c>
      <c r="V122" s="505">
        <f t="shared" si="61"/>
        <v>0</v>
      </c>
      <c r="W122" s="509">
        <v>0</v>
      </c>
      <c r="X122" s="462">
        <v>51260</v>
      </c>
      <c r="Y122" s="505">
        <v>0</v>
      </c>
      <c r="Z122" s="461" t="s">
        <v>701</v>
      </c>
      <c r="AA122" s="461"/>
      <c r="AB122" s="461">
        <v>34929</v>
      </c>
      <c r="AC122" s="461"/>
      <c r="AD122" s="461" t="s">
        <v>705</v>
      </c>
      <c r="AE122" s="461" t="s">
        <v>703</v>
      </c>
      <c r="AF122" s="462" t="s">
        <v>351</v>
      </c>
      <c r="AG122" s="467">
        <v>44286</v>
      </c>
      <c r="AH122" s="462" t="s">
        <v>707</v>
      </c>
      <c r="AI122" s="461">
        <v>0</v>
      </c>
      <c r="AJ122" s="461">
        <v>5000</v>
      </c>
      <c r="AK122" s="364"/>
      <c r="AL122" s="364" t="s">
        <v>742</v>
      </c>
      <c r="AM122" s="490">
        <f t="shared" si="51"/>
        <v>6</v>
      </c>
      <c r="AN122" s="490">
        <f t="shared" si="52"/>
        <v>2008</v>
      </c>
      <c r="AO122" s="490">
        <f t="shared" si="62"/>
        <v>2018</v>
      </c>
      <c r="AP122" s="510">
        <f t="shared" si="53"/>
        <v>2018.5</v>
      </c>
      <c r="AQ122" s="351">
        <f t="shared" si="54"/>
        <v>41.666666666666664</v>
      </c>
      <c r="AR122" s="351">
        <f t="shared" si="55"/>
        <v>500</v>
      </c>
      <c r="AS122" s="351">
        <f t="shared" si="63"/>
        <v>0</v>
      </c>
      <c r="AT122" s="351">
        <f t="shared" si="64"/>
        <v>5000</v>
      </c>
      <c r="AU122" s="351">
        <f t="shared" si="56"/>
        <v>5000</v>
      </c>
      <c r="AV122" s="351">
        <f t="shared" si="65"/>
        <v>0</v>
      </c>
      <c r="AW122" s="491" t="s">
        <v>339</v>
      </c>
      <c r="AX122" s="364"/>
      <c r="AY122" s="364"/>
      <c r="AZ122" s="364"/>
      <c r="BA122" s="364"/>
      <c r="BB122" s="364"/>
      <c r="BC122" s="364"/>
      <c r="BD122" s="364"/>
      <c r="BE122" s="364"/>
      <c r="BF122" s="364"/>
      <c r="BG122" s="364"/>
      <c r="BH122" s="364"/>
      <c r="BI122" s="364"/>
      <c r="BJ122" s="364"/>
      <c r="BK122" s="364"/>
      <c r="BL122" s="364"/>
      <c r="BM122" s="364"/>
      <c r="BN122" s="364"/>
      <c r="BO122" s="364"/>
      <c r="BP122" s="364"/>
      <c r="BQ122" s="364"/>
      <c r="BR122" s="364"/>
      <c r="BS122" s="364"/>
      <c r="BT122" s="364"/>
      <c r="BU122" s="364"/>
      <c r="BV122" s="364"/>
      <c r="BW122" s="364"/>
      <c r="BX122" s="364"/>
      <c r="BY122" s="364"/>
      <c r="BZ122" s="364"/>
      <c r="CA122" s="364"/>
      <c r="CB122" s="364"/>
      <c r="CC122" s="364"/>
      <c r="CD122" s="364"/>
      <c r="CE122" s="364"/>
      <c r="CF122" s="364"/>
      <c r="CG122" s="364"/>
      <c r="CH122" s="364"/>
      <c r="CI122" s="364"/>
      <c r="CJ122" s="364"/>
      <c r="CK122" s="364"/>
      <c r="CL122" s="364"/>
      <c r="CM122" s="364"/>
      <c r="CN122" s="364"/>
      <c r="CO122" s="364"/>
      <c r="CP122" s="364"/>
      <c r="CQ122" s="364"/>
      <c r="CR122" s="364"/>
      <c r="CS122" s="364"/>
      <c r="CT122" s="364"/>
      <c r="CU122" s="364"/>
      <c r="CV122" s="364"/>
      <c r="CW122" s="364"/>
      <c r="CX122" s="364"/>
      <c r="CY122" s="364"/>
      <c r="CZ122" s="364"/>
      <c r="DA122" s="364"/>
      <c r="DB122" s="364"/>
      <c r="DC122" s="364"/>
      <c r="DD122" s="364"/>
      <c r="DE122" s="364"/>
      <c r="DF122" s="364"/>
      <c r="DG122" s="364"/>
      <c r="DH122" s="364"/>
      <c r="DI122" s="364"/>
      <c r="DJ122" s="364"/>
      <c r="DK122" s="364"/>
      <c r="DL122" s="364"/>
      <c r="DM122" s="364"/>
      <c r="DN122" s="364"/>
      <c r="DO122" s="364"/>
      <c r="DP122" s="364"/>
      <c r="DQ122" s="364"/>
      <c r="DR122" s="364"/>
      <c r="DS122" s="364"/>
      <c r="DT122" s="364"/>
      <c r="DU122" s="364"/>
      <c r="DV122" s="364"/>
      <c r="DW122" s="364"/>
      <c r="DX122" s="364"/>
      <c r="DY122" s="364"/>
    </row>
    <row r="123" spans="2:129" s="468" customFormat="1" x14ac:dyDescent="0.25">
      <c r="B123" s="469">
        <v>2032</v>
      </c>
      <c r="C123" s="466">
        <v>250641</v>
      </c>
      <c r="D123" s="462" t="s">
        <v>701</v>
      </c>
      <c r="E123" s="461" t="s">
        <v>1437</v>
      </c>
      <c r="F123" s="462">
        <v>0</v>
      </c>
      <c r="G123" s="461"/>
      <c r="H123" s="461" t="s">
        <v>1086</v>
      </c>
      <c r="I123" s="461"/>
      <c r="J123" s="461">
        <v>2007</v>
      </c>
      <c r="K123" s="461" t="s">
        <v>1085</v>
      </c>
      <c r="L123" s="461" t="s">
        <v>1084</v>
      </c>
      <c r="M123" s="461" t="s">
        <v>772</v>
      </c>
      <c r="N123" s="465">
        <v>39610</v>
      </c>
      <c r="O123" s="465">
        <v>39610</v>
      </c>
      <c r="P123" s="461" t="s">
        <v>1083</v>
      </c>
      <c r="Q123" s="462">
        <v>1000</v>
      </c>
      <c r="R123" s="462">
        <v>14040</v>
      </c>
      <c r="S123" s="512">
        <v>193490.08</v>
      </c>
      <c r="T123" s="462">
        <v>14046</v>
      </c>
      <c r="U123" s="505">
        <v>193490.08</v>
      </c>
      <c r="V123" s="505">
        <f t="shared" si="61"/>
        <v>0</v>
      </c>
      <c r="W123" s="509">
        <v>0</v>
      </c>
      <c r="X123" s="462">
        <v>51260</v>
      </c>
      <c r="Y123" s="505">
        <v>0</v>
      </c>
      <c r="Z123" s="461" t="s">
        <v>701</v>
      </c>
      <c r="AA123" s="461"/>
      <c r="AB123" s="461">
        <v>3580</v>
      </c>
      <c r="AC123" s="461">
        <v>512</v>
      </c>
      <c r="AD123" s="461" t="s">
        <v>705</v>
      </c>
      <c r="AE123" s="461" t="s">
        <v>703</v>
      </c>
      <c r="AF123" s="462" t="s">
        <v>351</v>
      </c>
      <c r="AG123" s="467">
        <v>44286</v>
      </c>
      <c r="AH123" s="462" t="s">
        <v>707</v>
      </c>
      <c r="AI123" s="461">
        <v>0</v>
      </c>
      <c r="AJ123" s="461">
        <v>193490.08</v>
      </c>
      <c r="AK123" s="364"/>
      <c r="AL123" s="364" t="s">
        <v>742</v>
      </c>
      <c r="AM123" s="490">
        <f t="shared" si="51"/>
        <v>6</v>
      </c>
      <c r="AN123" s="490">
        <f t="shared" si="52"/>
        <v>2008</v>
      </c>
      <c r="AO123" s="490">
        <f t="shared" si="62"/>
        <v>2018</v>
      </c>
      <c r="AP123" s="510">
        <f t="shared" si="53"/>
        <v>2018.5</v>
      </c>
      <c r="AQ123" s="351">
        <f t="shared" si="54"/>
        <v>1612.4173333333331</v>
      </c>
      <c r="AR123" s="351">
        <f t="shared" si="55"/>
        <v>19349.007999999998</v>
      </c>
      <c r="AS123" s="351">
        <f t="shared" si="63"/>
        <v>0</v>
      </c>
      <c r="AT123" s="351">
        <f t="shared" si="64"/>
        <v>193490.08</v>
      </c>
      <c r="AU123" s="351">
        <f t="shared" si="56"/>
        <v>193490.08</v>
      </c>
      <c r="AV123" s="351">
        <f t="shared" si="65"/>
        <v>0</v>
      </c>
      <c r="AW123" s="491" t="s">
        <v>339</v>
      </c>
      <c r="AX123" s="364"/>
      <c r="AY123" s="364"/>
      <c r="AZ123" s="364"/>
      <c r="BA123" s="364"/>
      <c r="BB123" s="364"/>
      <c r="BC123" s="364"/>
      <c r="BD123" s="364"/>
      <c r="BE123" s="364"/>
      <c r="BF123" s="364"/>
      <c r="BG123" s="364"/>
      <c r="BH123" s="364"/>
      <c r="BI123" s="364"/>
      <c r="BJ123" s="364"/>
      <c r="BK123" s="364"/>
      <c r="BL123" s="364"/>
      <c r="BM123" s="364"/>
      <c r="BN123" s="364"/>
      <c r="BO123" s="364"/>
      <c r="BP123" s="364"/>
      <c r="BQ123" s="364"/>
      <c r="BR123" s="364"/>
      <c r="BS123" s="364"/>
      <c r="BT123" s="364"/>
      <c r="BU123" s="364"/>
      <c r="BV123" s="364"/>
      <c r="BW123" s="364"/>
      <c r="BX123" s="364"/>
      <c r="BY123" s="364"/>
      <c r="BZ123" s="364"/>
      <c r="CA123" s="364"/>
      <c r="CB123" s="364"/>
      <c r="CC123" s="364"/>
      <c r="CD123" s="364"/>
      <c r="CE123" s="364"/>
      <c r="CF123" s="364"/>
      <c r="CG123" s="364"/>
      <c r="CH123" s="364"/>
      <c r="CI123" s="364"/>
      <c r="CJ123" s="364"/>
      <c r="CK123" s="364"/>
      <c r="CL123" s="364"/>
      <c r="CM123" s="364"/>
      <c r="CN123" s="364"/>
      <c r="CO123" s="364"/>
      <c r="CP123" s="364"/>
      <c r="CQ123" s="364"/>
      <c r="CR123" s="364"/>
      <c r="CS123" s="364"/>
      <c r="CT123" s="364"/>
      <c r="CU123" s="364"/>
      <c r="CV123" s="364"/>
      <c r="CW123" s="364"/>
      <c r="CX123" s="364"/>
      <c r="CY123" s="364"/>
      <c r="CZ123" s="364"/>
      <c r="DA123" s="364"/>
      <c r="DB123" s="364"/>
      <c r="DC123" s="364"/>
      <c r="DD123" s="364"/>
      <c r="DE123" s="364"/>
      <c r="DF123" s="364"/>
      <c r="DG123" s="364"/>
      <c r="DH123" s="364"/>
      <c r="DI123" s="364"/>
      <c r="DJ123" s="364"/>
      <c r="DK123" s="364"/>
      <c r="DL123" s="364"/>
      <c r="DM123" s="364"/>
      <c r="DN123" s="364"/>
      <c r="DO123" s="364"/>
      <c r="DP123" s="364"/>
      <c r="DQ123" s="364"/>
      <c r="DR123" s="364"/>
      <c r="DS123" s="364"/>
      <c r="DT123" s="364"/>
      <c r="DU123" s="364"/>
      <c r="DV123" s="364"/>
      <c r="DW123" s="364"/>
      <c r="DX123" s="364"/>
      <c r="DY123" s="364"/>
    </row>
    <row r="124" spans="2:129" s="468" customFormat="1" x14ac:dyDescent="0.25">
      <c r="B124" s="469">
        <v>2032</v>
      </c>
      <c r="C124" s="466">
        <v>248115</v>
      </c>
      <c r="D124" s="462" t="s">
        <v>701</v>
      </c>
      <c r="E124" s="461" t="s">
        <v>1082</v>
      </c>
      <c r="F124" s="462">
        <v>200</v>
      </c>
      <c r="G124" s="461"/>
      <c r="H124" s="461"/>
      <c r="I124" s="461" t="s">
        <v>988</v>
      </c>
      <c r="J124" s="461">
        <v>0</v>
      </c>
      <c r="K124" s="461" t="s">
        <v>890</v>
      </c>
      <c r="L124" s="461"/>
      <c r="M124" s="461" t="s">
        <v>1072</v>
      </c>
      <c r="N124" s="465">
        <v>44273</v>
      </c>
      <c r="O124" s="465">
        <v>44273</v>
      </c>
      <c r="P124" s="461" t="s">
        <v>1081</v>
      </c>
      <c r="Q124" s="462">
        <v>700</v>
      </c>
      <c r="R124" s="462">
        <v>14050</v>
      </c>
      <c r="S124" s="512">
        <v>8334.51</v>
      </c>
      <c r="T124" s="462">
        <v>14056</v>
      </c>
      <c r="U124" s="505">
        <v>1885.19</v>
      </c>
      <c r="V124" s="505">
        <f t="shared" si="61"/>
        <v>6449.32</v>
      </c>
      <c r="W124" s="509">
        <v>992.21</v>
      </c>
      <c r="X124" s="462">
        <v>54260</v>
      </c>
      <c r="Y124" s="505">
        <v>99.22</v>
      </c>
      <c r="Z124" s="461" t="s">
        <v>701</v>
      </c>
      <c r="AA124" s="461"/>
      <c r="AB124" s="461">
        <v>50156786</v>
      </c>
      <c r="AC124" s="461"/>
      <c r="AD124" s="461" t="s">
        <v>705</v>
      </c>
      <c r="AE124" s="461" t="s">
        <v>703</v>
      </c>
      <c r="AF124" s="462" t="s">
        <v>351</v>
      </c>
      <c r="AG124" s="461"/>
      <c r="AH124" s="462" t="s">
        <v>707</v>
      </c>
      <c r="AI124" s="461">
        <v>0</v>
      </c>
      <c r="AJ124" s="461">
        <v>0</v>
      </c>
      <c r="AK124" s="364"/>
      <c r="AL124" s="364" t="s">
        <v>1305</v>
      </c>
      <c r="AM124" s="490">
        <f t="shared" si="51"/>
        <v>3</v>
      </c>
      <c r="AN124" s="490">
        <f t="shared" si="52"/>
        <v>2021</v>
      </c>
      <c r="AO124" s="490">
        <f t="shared" si="62"/>
        <v>2028</v>
      </c>
      <c r="AP124" s="510">
        <f t="shared" si="53"/>
        <v>2028.25</v>
      </c>
      <c r="AQ124" s="351">
        <f t="shared" si="54"/>
        <v>99.220357142857154</v>
      </c>
      <c r="AR124" s="351">
        <f t="shared" si="55"/>
        <v>1190.6442857142858</v>
      </c>
      <c r="AS124" s="351">
        <f t="shared" si="63"/>
        <v>1190.6442857142858</v>
      </c>
      <c r="AT124" s="351">
        <f t="shared" si="64"/>
        <v>1190.6442857142858</v>
      </c>
      <c r="AU124" s="351">
        <f t="shared" si="56"/>
        <v>2381.2885714285717</v>
      </c>
      <c r="AV124" s="351">
        <f t="shared" si="65"/>
        <v>5953.221428571429</v>
      </c>
      <c r="AW124" s="491" t="s">
        <v>339</v>
      </c>
      <c r="AX124" s="364"/>
      <c r="AY124" s="364"/>
      <c r="AZ124" s="364"/>
      <c r="BA124" s="364"/>
      <c r="BB124" s="364"/>
      <c r="BC124" s="364"/>
      <c r="BD124" s="364"/>
      <c r="BE124" s="364"/>
      <c r="BF124" s="364"/>
      <c r="BG124" s="364"/>
      <c r="BH124" s="364"/>
      <c r="BI124" s="364"/>
      <c r="BJ124" s="364"/>
      <c r="BK124" s="364"/>
      <c r="BL124" s="364"/>
      <c r="BM124" s="364"/>
      <c r="BN124" s="364"/>
      <c r="BO124" s="364"/>
      <c r="BP124" s="364"/>
      <c r="BQ124" s="364"/>
      <c r="BR124" s="364"/>
      <c r="BS124" s="364"/>
      <c r="BT124" s="364"/>
      <c r="BU124" s="364"/>
      <c r="BV124" s="364"/>
      <c r="BW124" s="364"/>
      <c r="BX124" s="364"/>
      <c r="BY124" s="364"/>
      <c r="BZ124" s="364"/>
      <c r="CA124" s="364"/>
      <c r="CB124" s="364"/>
      <c r="CC124" s="364"/>
      <c r="CD124" s="364"/>
      <c r="CE124" s="364"/>
      <c r="CF124" s="364"/>
      <c r="CG124" s="364"/>
      <c r="CH124" s="364"/>
      <c r="CI124" s="364"/>
      <c r="CJ124" s="364"/>
      <c r="CK124" s="364"/>
      <c r="CL124" s="364"/>
      <c r="CM124" s="364"/>
      <c r="CN124" s="364"/>
      <c r="CO124" s="364"/>
      <c r="CP124" s="364"/>
      <c r="CQ124" s="364"/>
      <c r="CR124" s="364"/>
      <c r="CS124" s="364"/>
      <c r="CT124" s="364"/>
      <c r="CU124" s="364"/>
      <c r="CV124" s="364"/>
      <c r="CW124" s="364"/>
      <c r="CX124" s="364"/>
      <c r="CY124" s="364"/>
      <c r="CZ124" s="364"/>
      <c r="DA124" s="364"/>
      <c r="DB124" s="364"/>
      <c r="DC124" s="364"/>
      <c r="DD124" s="364"/>
      <c r="DE124" s="364"/>
      <c r="DF124" s="364"/>
      <c r="DG124" s="364"/>
      <c r="DH124" s="364"/>
      <c r="DI124" s="364"/>
      <c r="DJ124" s="364"/>
      <c r="DK124" s="364"/>
      <c r="DL124" s="364"/>
      <c r="DM124" s="364"/>
      <c r="DN124" s="364"/>
      <c r="DO124" s="364"/>
      <c r="DP124" s="364"/>
      <c r="DQ124" s="364"/>
      <c r="DR124" s="364"/>
      <c r="DS124" s="364"/>
      <c r="DT124" s="364"/>
      <c r="DU124" s="364"/>
      <c r="DV124" s="364"/>
      <c r="DW124" s="364"/>
      <c r="DX124" s="364"/>
      <c r="DY124" s="364"/>
    </row>
    <row r="125" spans="2:129" s="468" customFormat="1" x14ac:dyDescent="0.25">
      <c r="B125" s="469">
        <v>2032</v>
      </c>
      <c r="C125" s="466">
        <v>248114</v>
      </c>
      <c r="D125" s="462" t="s">
        <v>701</v>
      </c>
      <c r="E125" s="461" t="s">
        <v>1080</v>
      </c>
      <c r="F125" s="462">
        <v>355</v>
      </c>
      <c r="G125" s="461"/>
      <c r="H125" s="461"/>
      <c r="I125" s="461" t="s">
        <v>988</v>
      </c>
      <c r="J125" s="461">
        <v>0</v>
      </c>
      <c r="K125" s="461" t="s">
        <v>890</v>
      </c>
      <c r="L125" s="461"/>
      <c r="M125" s="461" t="s">
        <v>1072</v>
      </c>
      <c r="N125" s="465">
        <v>44273</v>
      </c>
      <c r="O125" s="465">
        <v>44273</v>
      </c>
      <c r="P125" s="461" t="s">
        <v>1079</v>
      </c>
      <c r="Q125" s="462">
        <v>700</v>
      </c>
      <c r="R125" s="462">
        <v>14050</v>
      </c>
      <c r="S125" s="512">
        <v>13751.94</v>
      </c>
      <c r="T125" s="462">
        <v>14056</v>
      </c>
      <c r="U125" s="505">
        <v>3110.55</v>
      </c>
      <c r="V125" s="505">
        <f t="shared" si="61"/>
        <v>10641.39</v>
      </c>
      <c r="W125" s="509">
        <v>1637.13</v>
      </c>
      <c r="X125" s="462">
        <v>54260</v>
      </c>
      <c r="Y125" s="505">
        <v>163.71</v>
      </c>
      <c r="Z125" s="461" t="s">
        <v>701</v>
      </c>
      <c r="AA125" s="461"/>
      <c r="AB125" s="461">
        <v>50156786</v>
      </c>
      <c r="AC125" s="461"/>
      <c r="AD125" s="461" t="s">
        <v>705</v>
      </c>
      <c r="AE125" s="461" t="s">
        <v>703</v>
      </c>
      <c r="AF125" s="462" t="s">
        <v>351</v>
      </c>
      <c r="AG125" s="461"/>
      <c r="AH125" s="462" t="s">
        <v>707</v>
      </c>
      <c r="AI125" s="461">
        <v>0</v>
      </c>
      <c r="AJ125" s="461">
        <v>0</v>
      </c>
      <c r="AK125" s="364"/>
      <c r="AL125" s="364" t="s">
        <v>1304</v>
      </c>
      <c r="AM125" s="490">
        <f t="shared" si="51"/>
        <v>3</v>
      </c>
      <c r="AN125" s="490">
        <f t="shared" si="52"/>
        <v>2021</v>
      </c>
      <c r="AO125" s="490">
        <f t="shared" si="62"/>
        <v>2028</v>
      </c>
      <c r="AP125" s="510">
        <f t="shared" si="53"/>
        <v>2028.25</v>
      </c>
      <c r="AQ125" s="351">
        <f t="shared" si="54"/>
        <v>163.71357142857144</v>
      </c>
      <c r="AR125" s="351">
        <f t="shared" si="55"/>
        <v>1964.5628571428574</v>
      </c>
      <c r="AS125" s="351">
        <f t="shared" si="63"/>
        <v>1964.5628571428574</v>
      </c>
      <c r="AT125" s="351">
        <f t="shared" si="64"/>
        <v>1964.5628571428574</v>
      </c>
      <c r="AU125" s="351">
        <f t="shared" si="56"/>
        <v>3929.1257142857148</v>
      </c>
      <c r="AV125" s="351">
        <f t="shared" si="65"/>
        <v>9822.8142857142848</v>
      </c>
      <c r="AW125" s="491" t="s">
        <v>339</v>
      </c>
      <c r="AX125" s="364"/>
      <c r="AY125" s="364"/>
      <c r="AZ125" s="364"/>
      <c r="BA125" s="364"/>
      <c r="BB125" s="364"/>
      <c r="BC125" s="364"/>
      <c r="BD125" s="364"/>
      <c r="BE125" s="364"/>
      <c r="BF125" s="364"/>
      <c r="BG125" s="364"/>
      <c r="BH125" s="364"/>
      <c r="BI125" s="364"/>
      <c r="BJ125" s="364"/>
      <c r="BK125" s="364"/>
      <c r="BL125" s="364"/>
      <c r="BM125" s="364"/>
      <c r="BN125" s="364"/>
      <c r="BO125" s="364"/>
      <c r="BP125" s="364"/>
      <c r="BQ125" s="364"/>
      <c r="BR125" s="364"/>
      <c r="BS125" s="364"/>
      <c r="BT125" s="364"/>
      <c r="BU125" s="364"/>
      <c r="BV125" s="364"/>
      <c r="BW125" s="364"/>
      <c r="BX125" s="364"/>
      <c r="BY125" s="364"/>
      <c r="BZ125" s="364"/>
      <c r="CA125" s="364"/>
      <c r="CB125" s="364"/>
      <c r="CC125" s="364"/>
      <c r="CD125" s="364"/>
      <c r="CE125" s="364"/>
      <c r="CF125" s="364"/>
      <c r="CG125" s="364"/>
      <c r="CH125" s="364"/>
      <c r="CI125" s="364"/>
      <c r="CJ125" s="364"/>
      <c r="CK125" s="364"/>
      <c r="CL125" s="364"/>
      <c r="CM125" s="364"/>
      <c r="CN125" s="364"/>
      <c r="CO125" s="364"/>
      <c r="CP125" s="364"/>
      <c r="CQ125" s="364"/>
      <c r="CR125" s="364"/>
      <c r="CS125" s="364"/>
      <c r="CT125" s="364"/>
      <c r="CU125" s="364"/>
      <c r="CV125" s="364"/>
      <c r="CW125" s="364"/>
      <c r="CX125" s="364"/>
      <c r="CY125" s="364"/>
      <c r="CZ125" s="364"/>
      <c r="DA125" s="364"/>
      <c r="DB125" s="364"/>
      <c r="DC125" s="364"/>
      <c r="DD125" s="364"/>
      <c r="DE125" s="364"/>
      <c r="DF125" s="364"/>
      <c r="DG125" s="364"/>
      <c r="DH125" s="364"/>
      <c r="DI125" s="364"/>
      <c r="DJ125" s="364"/>
      <c r="DK125" s="364"/>
      <c r="DL125" s="364"/>
      <c r="DM125" s="364"/>
      <c r="DN125" s="364"/>
      <c r="DO125" s="364"/>
      <c r="DP125" s="364"/>
      <c r="DQ125" s="364"/>
      <c r="DR125" s="364"/>
      <c r="DS125" s="364"/>
      <c r="DT125" s="364"/>
      <c r="DU125" s="364"/>
      <c r="DV125" s="364"/>
      <c r="DW125" s="364"/>
      <c r="DX125" s="364"/>
      <c r="DY125" s="364"/>
    </row>
    <row r="126" spans="2:129" s="468" customFormat="1" x14ac:dyDescent="0.25">
      <c r="B126" s="469">
        <v>2032</v>
      </c>
      <c r="C126" s="466">
        <v>248113</v>
      </c>
      <c r="D126" s="462" t="s">
        <v>701</v>
      </c>
      <c r="E126" s="461" t="s">
        <v>1078</v>
      </c>
      <c r="F126" s="462">
        <v>223</v>
      </c>
      <c r="G126" s="461"/>
      <c r="H126" s="461"/>
      <c r="I126" s="461" t="s">
        <v>988</v>
      </c>
      <c r="J126" s="461">
        <v>0</v>
      </c>
      <c r="K126" s="461" t="s">
        <v>890</v>
      </c>
      <c r="L126" s="461"/>
      <c r="M126" s="461" t="s">
        <v>1072</v>
      </c>
      <c r="N126" s="465">
        <v>44273</v>
      </c>
      <c r="O126" s="465">
        <v>44273</v>
      </c>
      <c r="P126" s="461" t="s">
        <v>1076</v>
      </c>
      <c r="Q126" s="462">
        <v>700</v>
      </c>
      <c r="R126" s="462">
        <v>14050</v>
      </c>
      <c r="S126" s="512">
        <v>4613.6000000000004</v>
      </c>
      <c r="T126" s="462">
        <v>14056</v>
      </c>
      <c r="U126" s="505">
        <v>1043.55</v>
      </c>
      <c r="V126" s="505">
        <f t="shared" si="61"/>
        <v>3570.05</v>
      </c>
      <c r="W126" s="509">
        <v>549.24</v>
      </c>
      <c r="X126" s="462">
        <v>54260</v>
      </c>
      <c r="Y126" s="505">
        <v>54.92</v>
      </c>
      <c r="Z126" s="461" t="s">
        <v>701</v>
      </c>
      <c r="AA126" s="461"/>
      <c r="AB126" s="461">
        <v>50156786</v>
      </c>
      <c r="AC126" s="461"/>
      <c r="AD126" s="461" t="s">
        <v>705</v>
      </c>
      <c r="AE126" s="461" t="s">
        <v>703</v>
      </c>
      <c r="AF126" s="462" t="s">
        <v>351</v>
      </c>
      <c r="AG126" s="461"/>
      <c r="AH126" s="462" t="s">
        <v>707</v>
      </c>
      <c r="AI126" s="461">
        <v>0</v>
      </c>
      <c r="AJ126" s="461">
        <v>0</v>
      </c>
      <c r="AK126" s="364"/>
      <c r="AL126" s="364" t="s">
        <v>1304</v>
      </c>
      <c r="AM126" s="490">
        <f t="shared" si="51"/>
        <v>3</v>
      </c>
      <c r="AN126" s="490">
        <f t="shared" si="52"/>
        <v>2021</v>
      </c>
      <c r="AO126" s="490">
        <f t="shared" si="62"/>
        <v>2028</v>
      </c>
      <c r="AP126" s="510">
        <f t="shared" si="53"/>
        <v>2028.25</v>
      </c>
      <c r="AQ126" s="351">
        <f t="shared" si="54"/>
        <v>54.923809523809524</v>
      </c>
      <c r="AR126" s="351">
        <f t="shared" si="55"/>
        <v>659.08571428571429</v>
      </c>
      <c r="AS126" s="351">
        <f t="shared" si="63"/>
        <v>659.08571428571429</v>
      </c>
      <c r="AT126" s="351">
        <f t="shared" si="64"/>
        <v>659.08571428571429</v>
      </c>
      <c r="AU126" s="351">
        <f t="shared" si="56"/>
        <v>1318.1714285714286</v>
      </c>
      <c r="AV126" s="351">
        <f t="shared" si="65"/>
        <v>3295.4285714285716</v>
      </c>
      <c r="AW126" s="491" t="s">
        <v>339</v>
      </c>
      <c r="AX126" s="364"/>
      <c r="AY126" s="364"/>
      <c r="AZ126" s="364"/>
      <c r="BA126" s="364"/>
      <c r="BB126" s="364"/>
      <c r="BC126" s="364"/>
      <c r="BD126" s="364"/>
      <c r="BE126" s="364"/>
      <c r="BF126" s="364"/>
      <c r="BG126" s="364"/>
      <c r="BH126" s="364"/>
      <c r="BI126" s="364"/>
      <c r="BJ126" s="364"/>
      <c r="BK126" s="364"/>
      <c r="BL126" s="364"/>
      <c r="BM126" s="364"/>
      <c r="BN126" s="364"/>
      <c r="BO126" s="364"/>
      <c r="BP126" s="364"/>
      <c r="BQ126" s="364"/>
      <c r="BR126" s="364"/>
      <c r="BS126" s="364"/>
      <c r="BT126" s="364"/>
      <c r="BU126" s="364"/>
      <c r="BV126" s="364"/>
      <c r="BW126" s="364"/>
      <c r="BX126" s="364"/>
      <c r="BY126" s="364"/>
      <c r="BZ126" s="364"/>
      <c r="CA126" s="364"/>
      <c r="CB126" s="364"/>
      <c r="CC126" s="364"/>
      <c r="CD126" s="364"/>
      <c r="CE126" s="364"/>
      <c r="CF126" s="364"/>
      <c r="CG126" s="364"/>
      <c r="CH126" s="364"/>
      <c r="CI126" s="364"/>
      <c r="CJ126" s="364"/>
      <c r="CK126" s="364"/>
      <c r="CL126" s="364"/>
      <c r="CM126" s="364"/>
      <c r="CN126" s="364"/>
      <c r="CO126" s="364"/>
      <c r="CP126" s="364"/>
      <c r="CQ126" s="364"/>
      <c r="CR126" s="364"/>
      <c r="CS126" s="364"/>
      <c r="CT126" s="364"/>
      <c r="CU126" s="364"/>
      <c r="CV126" s="364"/>
      <c r="CW126" s="364"/>
      <c r="CX126" s="364"/>
      <c r="CY126" s="364"/>
      <c r="CZ126" s="364"/>
      <c r="DA126" s="364"/>
      <c r="DB126" s="364"/>
      <c r="DC126" s="364"/>
      <c r="DD126" s="364"/>
      <c r="DE126" s="364"/>
      <c r="DF126" s="364"/>
      <c r="DG126" s="364"/>
      <c r="DH126" s="364"/>
      <c r="DI126" s="364"/>
      <c r="DJ126" s="364"/>
      <c r="DK126" s="364"/>
      <c r="DL126" s="364"/>
      <c r="DM126" s="364"/>
      <c r="DN126" s="364"/>
      <c r="DO126" s="364"/>
      <c r="DP126" s="364"/>
      <c r="DQ126" s="364"/>
      <c r="DR126" s="364"/>
      <c r="DS126" s="364"/>
      <c r="DT126" s="364"/>
      <c r="DU126" s="364"/>
      <c r="DV126" s="364"/>
      <c r="DW126" s="364"/>
      <c r="DX126" s="364"/>
      <c r="DY126" s="364"/>
    </row>
    <row r="127" spans="2:129" s="468" customFormat="1" x14ac:dyDescent="0.25">
      <c r="B127" s="469">
        <v>2032</v>
      </c>
      <c r="C127" s="466">
        <v>248112</v>
      </c>
      <c r="D127" s="462" t="s">
        <v>701</v>
      </c>
      <c r="E127" s="461" t="s">
        <v>1077</v>
      </c>
      <c r="F127" s="462">
        <v>802</v>
      </c>
      <c r="G127" s="461"/>
      <c r="H127" s="461"/>
      <c r="I127" s="461" t="s">
        <v>988</v>
      </c>
      <c r="J127" s="461">
        <v>0</v>
      </c>
      <c r="K127" s="461" t="s">
        <v>890</v>
      </c>
      <c r="L127" s="461"/>
      <c r="M127" s="461" t="s">
        <v>1072</v>
      </c>
      <c r="N127" s="465">
        <v>44273</v>
      </c>
      <c r="O127" s="465">
        <v>44273</v>
      </c>
      <c r="P127" s="461" t="s">
        <v>1076</v>
      </c>
      <c r="Q127" s="462">
        <v>700</v>
      </c>
      <c r="R127" s="462">
        <v>14050</v>
      </c>
      <c r="S127" s="512">
        <v>37756.19</v>
      </c>
      <c r="T127" s="462">
        <v>14056</v>
      </c>
      <c r="U127" s="505">
        <v>8540.09</v>
      </c>
      <c r="V127" s="505">
        <f t="shared" si="61"/>
        <v>29216.100000000002</v>
      </c>
      <c r="W127" s="509">
        <v>4494.78</v>
      </c>
      <c r="X127" s="462">
        <v>54260</v>
      </c>
      <c r="Y127" s="505">
        <v>449.47</v>
      </c>
      <c r="Z127" s="461" t="s">
        <v>701</v>
      </c>
      <c r="AA127" s="461"/>
      <c r="AB127" s="461">
        <v>50156420</v>
      </c>
      <c r="AC127" s="461"/>
      <c r="AD127" s="461" t="s">
        <v>705</v>
      </c>
      <c r="AE127" s="461" t="s">
        <v>703</v>
      </c>
      <c r="AF127" s="462" t="s">
        <v>351</v>
      </c>
      <c r="AG127" s="461"/>
      <c r="AH127" s="462" t="s">
        <v>707</v>
      </c>
      <c r="AI127" s="461">
        <v>0</v>
      </c>
      <c r="AJ127" s="461">
        <v>0</v>
      </c>
      <c r="AK127" s="364"/>
      <c r="AL127" s="364" t="s">
        <v>1304</v>
      </c>
      <c r="AM127" s="490">
        <f t="shared" ref="AM127:AM140" si="66">MONTH($N127)</f>
        <v>3</v>
      </c>
      <c r="AN127" s="490">
        <f t="shared" ref="AN127:AN140" si="67">YEAR($N127)</f>
        <v>2021</v>
      </c>
      <c r="AO127" s="490">
        <f t="shared" si="62"/>
        <v>2028</v>
      </c>
      <c r="AP127" s="510">
        <f t="shared" ref="AP127:AP140" si="68">$AO127+($AM127/12)</f>
        <v>2028.25</v>
      </c>
      <c r="AQ127" s="351">
        <f t="shared" ref="AQ127:AQ140" si="69">IFERROR($S127/($Q127/100)/12,0)</f>
        <v>449.47845238095238</v>
      </c>
      <c r="AR127" s="351">
        <f t="shared" ref="AR127:AR140" si="70">$AQ127*12</f>
        <v>5393.7414285714285</v>
      </c>
      <c r="AS127" s="351">
        <f t="shared" si="63"/>
        <v>5393.7414285714285</v>
      </c>
      <c r="AT127" s="351">
        <f t="shared" si="64"/>
        <v>5393.7414285714285</v>
      </c>
      <c r="AU127" s="351">
        <f t="shared" ref="AU127:AU140" si="71">IF($AT127=0,$AS127,($AT127+$AS127))</f>
        <v>10787.482857142857</v>
      </c>
      <c r="AV127" s="351">
        <f t="shared" si="65"/>
        <v>26968.707142857143</v>
      </c>
      <c r="AW127" s="491" t="s">
        <v>339</v>
      </c>
      <c r="AX127" s="364"/>
      <c r="AY127" s="364"/>
      <c r="AZ127" s="364"/>
      <c r="BA127" s="364"/>
      <c r="BB127" s="364"/>
      <c r="BC127" s="364"/>
      <c r="BD127" s="364"/>
      <c r="BE127" s="364"/>
      <c r="BF127" s="364"/>
      <c r="BG127" s="364"/>
      <c r="BH127" s="364"/>
      <c r="BI127" s="364"/>
      <c r="BJ127" s="364"/>
      <c r="BK127" s="364"/>
      <c r="BL127" s="364"/>
      <c r="BM127" s="364"/>
      <c r="BN127" s="364"/>
      <c r="BO127" s="364"/>
      <c r="BP127" s="364"/>
      <c r="BQ127" s="364"/>
      <c r="BR127" s="364"/>
      <c r="BS127" s="364"/>
      <c r="BT127" s="364"/>
      <c r="BU127" s="364"/>
      <c r="BV127" s="364"/>
      <c r="BW127" s="364"/>
      <c r="BX127" s="364"/>
      <c r="BY127" s="364"/>
      <c r="BZ127" s="364"/>
      <c r="CA127" s="364"/>
      <c r="CB127" s="364"/>
      <c r="CC127" s="364"/>
      <c r="CD127" s="364"/>
      <c r="CE127" s="364"/>
      <c r="CF127" s="364"/>
      <c r="CG127" s="364"/>
      <c r="CH127" s="364"/>
      <c r="CI127" s="364"/>
      <c r="CJ127" s="364"/>
      <c r="CK127" s="364"/>
      <c r="CL127" s="364"/>
      <c r="CM127" s="364"/>
      <c r="CN127" s="364"/>
      <c r="CO127" s="364"/>
      <c r="CP127" s="364"/>
      <c r="CQ127" s="364"/>
      <c r="CR127" s="364"/>
      <c r="CS127" s="364"/>
      <c r="CT127" s="364"/>
      <c r="CU127" s="364"/>
      <c r="CV127" s="364"/>
      <c r="CW127" s="364"/>
      <c r="CX127" s="364"/>
      <c r="CY127" s="364"/>
      <c r="CZ127" s="364"/>
      <c r="DA127" s="364"/>
      <c r="DB127" s="364"/>
      <c r="DC127" s="364"/>
      <c r="DD127" s="364"/>
      <c r="DE127" s="364"/>
      <c r="DF127" s="364"/>
      <c r="DG127" s="364"/>
      <c r="DH127" s="364"/>
      <c r="DI127" s="364"/>
      <c r="DJ127" s="364"/>
      <c r="DK127" s="364"/>
      <c r="DL127" s="364"/>
      <c r="DM127" s="364"/>
      <c r="DN127" s="364"/>
      <c r="DO127" s="364"/>
      <c r="DP127" s="364"/>
      <c r="DQ127" s="364"/>
      <c r="DR127" s="364"/>
      <c r="DS127" s="364"/>
      <c r="DT127" s="364"/>
      <c r="DU127" s="364"/>
      <c r="DV127" s="364"/>
      <c r="DW127" s="364"/>
      <c r="DX127" s="364"/>
      <c r="DY127" s="364"/>
    </row>
    <row r="128" spans="2:129" s="468" customFormat="1" x14ac:dyDescent="0.25">
      <c r="B128" s="469">
        <v>2032</v>
      </c>
      <c r="C128" s="466">
        <v>248111</v>
      </c>
      <c r="D128" s="462" t="s">
        <v>701</v>
      </c>
      <c r="E128" s="461" t="s">
        <v>1075</v>
      </c>
      <c r="F128" s="462">
        <v>600</v>
      </c>
      <c r="G128" s="461"/>
      <c r="H128" s="461"/>
      <c r="I128" s="461" t="s">
        <v>988</v>
      </c>
      <c r="J128" s="461">
        <v>0</v>
      </c>
      <c r="K128" s="461" t="s">
        <v>890</v>
      </c>
      <c r="L128" s="461"/>
      <c r="M128" s="461" t="s">
        <v>1072</v>
      </c>
      <c r="N128" s="465">
        <v>44273</v>
      </c>
      <c r="O128" s="465">
        <v>44273</v>
      </c>
      <c r="P128" s="461" t="s">
        <v>1074</v>
      </c>
      <c r="Q128" s="462">
        <v>700</v>
      </c>
      <c r="R128" s="462">
        <v>14050</v>
      </c>
      <c r="S128" s="512">
        <v>28246.53</v>
      </c>
      <c r="T128" s="462">
        <v>14056</v>
      </c>
      <c r="U128" s="505">
        <v>6389.09</v>
      </c>
      <c r="V128" s="505">
        <f t="shared" si="61"/>
        <v>21857.439999999999</v>
      </c>
      <c r="W128" s="509">
        <v>3362.68</v>
      </c>
      <c r="X128" s="462">
        <v>54260</v>
      </c>
      <c r="Y128" s="505">
        <v>336.26</v>
      </c>
      <c r="Z128" s="461" t="s">
        <v>701</v>
      </c>
      <c r="AA128" s="461"/>
      <c r="AB128" s="461">
        <v>50156420</v>
      </c>
      <c r="AC128" s="461"/>
      <c r="AD128" s="461" t="s">
        <v>705</v>
      </c>
      <c r="AE128" s="461" t="s">
        <v>703</v>
      </c>
      <c r="AF128" s="462" t="s">
        <v>351</v>
      </c>
      <c r="AG128" s="461"/>
      <c r="AH128" s="462" t="s">
        <v>707</v>
      </c>
      <c r="AI128" s="461">
        <v>0</v>
      </c>
      <c r="AJ128" s="461">
        <v>0</v>
      </c>
      <c r="AK128" s="364"/>
      <c r="AL128" s="364" t="s">
        <v>1304</v>
      </c>
      <c r="AM128" s="490">
        <f t="shared" si="66"/>
        <v>3</v>
      </c>
      <c r="AN128" s="490">
        <f t="shared" si="67"/>
        <v>2021</v>
      </c>
      <c r="AO128" s="490">
        <f t="shared" si="62"/>
        <v>2028</v>
      </c>
      <c r="AP128" s="510">
        <f t="shared" si="68"/>
        <v>2028.25</v>
      </c>
      <c r="AQ128" s="351">
        <f t="shared" si="69"/>
        <v>336.26821428571424</v>
      </c>
      <c r="AR128" s="351">
        <f t="shared" si="70"/>
        <v>4035.2185714285706</v>
      </c>
      <c r="AS128" s="351">
        <f t="shared" si="63"/>
        <v>4035.2185714285706</v>
      </c>
      <c r="AT128" s="351">
        <f t="shared" si="64"/>
        <v>4035.2185714285706</v>
      </c>
      <c r="AU128" s="351">
        <f t="shared" si="71"/>
        <v>8070.4371428571412</v>
      </c>
      <c r="AV128" s="351">
        <f t="shared" si="65"/>
        <v>20176.092857142859</v>
      </c>
      <c r="AW128" s="491" t="s">
        <v>339</v>
      </c>
      <c r="AX128" s="364"/>
      <c r="AY128" s="364"/>
      <c r="AZ128" s="364"/>
      <c r="BA128" s="364"/>
      <c r="BB128" s="364"/>
      <c r="BC128" s="364"/>
      <c r="BD128" s="364"/>
      <c r="BE128" s="364"/>
      <c r="BF128" s="364"/>
      <c r="BG128" s="364"/>
      <c r="BH128" s="364"/>
      <c r="BI128" s="364"/>
      <c r="BJ128" s="364"/>
      <c r="BK128" s="364"/>
      <c r="BL128" s="364"/>
      <c r="BM128" s="364"/>
      <c r="BN128" s="364"/>
      <c r="BO128" s="364"/>
      <c r="BP128" s="364"/>
      <c r="BQ128" s="364"/>
      <c r="BR128" s="364"/>
      <c r="BS128" s="364"/>
      <c r="BT128" s="364"/>
      <c r="BU128" s="364"/>
      <c r="BV128" s="364"/>
      <c r="BW128" s="364"/>
      <c r="BX128" s="364"/>
      <c r="BY128" s="364"/>
      <c r="BZ128" s="364"/>
      <c r="CA128" s="364"/>
      <c r="CB128" s="364"/>
      <c r="CC128" s="364"/>
      <c r="CD128" s="364"/>
      <c r="CE128" s="364"/>
      <c r="CF128" s="364"/>
      <c r="CG128" s="364"/>
      <c r="CH128" s="364"/>
      <c r="CI128" s="364"/>
      <c r="CJ128" s="364"/>
      <c r="CK128" s="364"/>
      <c r="CL128" s="364"/>
      <c r="CM128" s="364"/>
      <c r="CN128" s="364"/>
      <c r="CO128" s="364"/>
      <c r="CP128" s="364"/>
      <c r="CQ128" s="364"/>
      <c r="CR128" s="364"/>
      <c r="CS128" s="364"/>
      <c r="CT128" s="364"/>
      <c r="CU128" s="364"/>
      <c r="CV128" s="364"/>
      <c r="CW128" s="364"/>
      <c r="CX128" s="364"/>
      <c r="CY128" s="364"/>
      <c r="CZ128" s="364"/>
      <c r="DA128" s="364"/>
      <c r="DB128" s="364"/>
      <c r="DC128" s="364"/>
      <c r="DD128" s="364"/>
      <c r="DE128" s="364"/>
      <c r="DF128" s="364"/>
      <c r="DG128" s="364"/>
      <c r="DH128" s="364"/>
      <c r="DI128" s="364"/>
      <c r="DJ128" s="364"/>
      <c r="DK128" s="364"/>
      <c r="DL128" s="364"/>
      <c r="DM128" s="364"/>
      <c r="DN128" s="364"/>
      <c r="DO128" s="364"/>
      <c r="DP128" s="364"/>
      <c r="DQ128" s="364"/>
      <c r="DR128" s="364"/>
      <c r="DS128" s="364"/>
      <c r="DT128" s="364"/>
      <c r="DU128" s="364"/>
      <c r="DV128" s="364"/>
      <c r="DW128" s="364"/>
      <c r="DX128" s="364"/>
      <c r="DY128" s="364"/>
    </row>
    <row r="129" spans="2:129" s="468" customFormat="1" x14ac:dyDescent="0.25">
      <c r="B129" s="469">
        <v>2032</v>
      </c>
      <c r="C129" s="466">
        <v>248110</v>
      </c>
      <c r="D129" s="462" t="s">
        <v>701</v>
      </c>
      <c r="E129" s="461" t="s">
        <v>1073</v>
      </c>
      <c r="F129" s="462">
        <v>300</v>
      </c>
      <c r="G129" s="461"/>
      <c r="H129" s="461"/>
      <c r="I129" s="461" t="s">
        <v>988</v>
      </c>
      <c r="J129" s="461">
        <v>0</v>
      </c>
      <c r="K129" s="461" t="s">
        <v>890</v>
      </c>
      <c r="L129" s="461"/>
      <c r="M129" s="461" t="s">
        <v>1072</v>
      </c>
      <c r="N129" s="465">
        <v>44273</v>
      </c>
      <c r="O129" s="465">
        <v>44273</v>
      </c>
      <c r="P129" s="461" t="s">
        <v>1071</v>
      </c>
      <c r="Q129" s="462">
        <v>700</v>
      </c>
      <c r="R129" s="462">
        <v>14050</v>
      </c>
      <c r="S129" s="512">
        <v>14123.26</v>
      </c>
      <c r="T129" s="462">
        <v>14056</v>
      </c>
      <c r="U129" s="505">
        <v>3194.55</v>
      </c>
      <c r="V129" s="505">
        <f t="shared" si="61"/>
        <v>10928.71</v>
      </c>
      <c r="W129" s="509">
        <v>1681.34</v>
      </c>
      <c r="X129" s="462">
        <v>54260</v>
      </c>
      <c r="Y129" s="505">
        <v>168.13</v>
      </c>
      <c r="Z129" s="461" t="s">
        <v>701</v>
      </c>
      <c r="AA129" s="461"/>
      <c r="AB129" s="461">
        <v>50156608</v>
      </c>
      <c r="AC129" s="461"/>
      <c r="AD129" s="461" t="s">
        <v>705</v>
      </c>
      <c r="AE129" s="461" t="s">
        <v>703</v>
      </c>
      <c r="AF129" s="462" t="s">
        <v>351</v>
      </c>
      <c r="AG129" s="461"/>
      <c r="AH129" s="462" t="s">
        <v>707</v>
      </c>
      <c r="AI129" s="461">
        <v>0</v>
      </c>
      <c r="AJ129" s="461">
        <v>0</v>
      </c>
      <c r="AK129" s="364"/>
      <c r="AL129" s="364" t="s">
        <v>1305</v>
      </c>
      <c r="AM129" s="490">
        <f t="shared" si="66"/>
        <v>3</v>
      </c>
      <c r="AN129" s="490">
        <f t="shared" si="67"/>
        <v>2021</v>
      </c>
      <c r="AO129" s="490">
        <f t="shared" si="62"/>
        <v>2028</v>
      </c>
      <c r="AP129" s="510">
        <f t="shared" si="68"/>
        <v>2028.25</v>
      </c>
      <c r="AQ129" s="351">
        <f t="shared" si="69"/>
        <v>168.13404761904761</v>
      </c>
      <c r="AR129" s="351">
        <f t="shared" si="70"/>
        <v>2017.6085714285714</v>
      </c>
      <c r="AS129" s="351">
        <f t="shared" si="63"/>
        <v>2017.6085714285714</v>
      </c>
      <c r="AT129" s="351">
        <f t="shared" si="64"/>
        <v>2017.6085714285714</v>
      </c>
      <c r="AU129" s="351">
        <f t="shared" si="71"/>
        <v>4035.2171428571428</v>
      </c>
      <c r="AV129" s="351">
        <f t="shared" si="65"/>
        <v>10088.042857142857</v>
      </c>
      <c r="AW129" s="491" t="s">
        <v>339</v>
      </c>
      <c r="AX129" s="364"/>
      <c r="AY129" s="364"/>
      <c r="AZ129" s="364"/>
      <c r="BA129" s="364"/>
      <c r="BB129" s="364"/>
      <c r="BC129" s="364"/>
      <c r="BD129" s="364"/>
      <c r="BE129" s="364"/>
      <c r="BF129" s="364"/>
      <c r="BG129" s="364"/>
      <c r="BH129" s="364"/>
      <c r="BI129" s="364"/>
      <c r="BJ129" s="364"/>
      <c r="BK129" s="364"/>
      <c r="BL129" s="364"/>
      <c r="BM129" s="364"/>
      <c r="BN129" s="364"/>
      <c r="BO129" s="364"/>
      <c r="BP129" s="364"/>
      <c r="BQ129" s="364"/>
      <c r="BR129" s="364"/>
      <c r="BS129" s="364"/>
      <c r="BT129" s="364"/>
      <c r="BU129" s="364"/>
      <c r="BV129" s="364"/>
      <c r="BW129" s="364"/>
      <c r="BX129" s="364"/>
      <c r="BY129" s="364"/>
      <c r="BZ129" s="364"/>
      <c r="CA129" s="364"/>
      <c r="CB129" s="364"/>
      <c r="CC129" s="364"/>
      <c r="CD129" s="364"/>
      <c r="CE129" s="364"/>
      <c r="CF129" s="364"/>
      <c r="CG129" s="364"/>
      <c r="CH129" s="364"/>
      <c r="CI129" s="364"/>
      <c r="CJ129" s="364"/>
      <c r="CK129" s="364"/>
      <c r="CL129" s="364"/>
      <c r="CM129" s="364"/>
      <c r="CN129" s="364"/>
      <c r="CO129" s="364"/>
      <c r="CP129" s="364"/>
      <c r="CQ129" s="364"/>
      <c r="CR129" s="364"/>
      <c r="CS129" s="364"/>
      <c r="CT129" s="364"/>
      <c r="CU129" s="364"/>
      <c r="CV129" s="364"/>
      <c r="CW129" s="364"/>
      <c r="CX129" s="364"/>
      <c r="CY129" s="364"/>
      <c r="CZ129" s="364"/>
      <c r="DA129" s="364"/>
      <c r="DB129" s="364"/>
      <c r="DC129" s="364"/>
      <c r="DD129" s="364"/>
      <c r="DE129" s="364"/>
      <c r="DF129" s="364"/>
      <c r="DG129" s="364"/>
      <c r="DH129" s="364"/>
      <c r="DI129" s="364"/>
      <c r="DJ129" s="364"/>
      <c r="DK129" s="364"/>
      <c r="DL129" s="364"/>
      <c r="DM129" s="364"/>
      <c r="DN129" s="364"/>
      <c r="DO129" s="364"/>
      <c r="DP129" s="364"/>
      <c r="DQ129" s="364"/>
      <c r="DR129" s="364"/>
      <c r="DS129" s="364"/>
      <c r="DT129" s="364"/>
      <c r="DU129" s="364"/>
      <c r="DV129" s="364"/>
      <c r="DW129" s="364"/>
      <c r="DX129" s="364"/>
      <c r="DY129" s="364"/>
    </row>
    <row r="130" spans="2:129" s="468" customFormat="1" x14ac:dyDescent="0.25">
      <c r="B130" s="469">
        <v>2032</v>
      </c>
      <c r="C130" s="466">
        <v>248100</v>
      </c>
      <c r="D130" s="462" t="s">
        <v>701</v>
      </c>
      <c r="E130" s="461" t="s">
        <v>1070</v>
      </c>
      <c r="F130" s="462">
        <v>100</v>
      </c>
      <c r="G130" s="461"/>
      <c r="H130" s="461" t="s">
        <v>1069</v>
      </c>
      <c r="I130" s="461"/>
      <c r="J130" s="461">
        <v>0</v>
      </c>
      <c r="K130" s="461" t="s">
        <v>1018</v>
      </c>
      <c r="L130" s="461"/>
      <c r="M130" s="461"/>
      <c r="N130" s="465">
        <v>37103</v>
      </c>
      <c r="O130" s="465">
        <v>37103</v>
      </c>
      <c r="P130" s="461" t="s">
        <v>1026</v>
      </c>
      <c r="Q130" s="462">
        <v>700</v>
      </c>
      <c r="R130" s="462">
        <v>14050</v>
      </c>
      <c r="S130" s="512">
        <v>2800</v>
      </c>
      <c r="T130" s="462">
        <v>14056</v>
      </c>
      <c r="U130" s="505">
        <v>2800</v>
      </c>
      <c r="V130" s="505">
        <f t="shared" si="61"/>
        <v>0</v>
      </c>
      <c r="W130" s="509">
        <v>0</v>
      </c>
      <c r="X130" s="462">
        <v>54260</v>
      </c>
      <c r="Y130" s="505">
        <v>0</v>
      </c>
      <c r="Z130" s="461" t="s">
        <v>701</v>
      </c>
      <c r="AA130" s="461"/>
      <c r="AB130" s="461" t="s">
        <v>1068</v>
      </c>
      <c r="AC130" s="461"/>
      <c r="AD130" s="461" t="s">
        <v>705</v>
      </c>
      <c r="AE130" s="461" t="s">
        <v>703</v>
      </c>
      <c r="AF130" s="462" t="s">
        <v>351</v>
      </c>
      <c r="AG130" s="467">
        <v>44255</v>
      </c>
      <c r="AH130" s="462" t="s">
        <v>707</v>
      </c>
      <c r="AI130" s="461">
        <v>0</v>
      </c>
      <c r="AJ130" s="461">
        <v>2800</v>
      </c>
      <c r="AK130" s="364"/>
      <c r="AL130" s="364" t="s">
        <v>1304</v>
      </c>
      <c r="AM130" s="490">
        <f t="shared" si="66"/>
        <v>7</v>
      </c>
      <c r="AN130" s="490">
        <f t="shared" si="67"/>
        <v>2001</v>
      </c>
      <c r="AO130" s="490">
        <f t="shared" si="62"/>
        <v>2008</v>
      </c>
      <c r="AP130" s="510">
        <f t="shared" si="68"/>
        <v>2008.5833333333333</v>
      </c>
      <c r="AQ130" s="351">
        <f t="shared" si="69"/>
        <v>33.333333333333336</v>
      </c>
      <c r="AR130" s="351">
        <f t="shared" si="70"/>
        <v>400</v>
      </c>
      <c r="AS130" s="351">
        <f t="shared" si="63"/>
        <v>0</v>
      </c>
      <c r="AT130" s="351">
        <f t="shared" si="64"/>
        <v>2800</v>
      </c>
      <c r="AU130" s="351">
        <f t="shared" si="71"/>
        <v>2800</v>
      </c>
      <c r="AV130" s="351">
        <f t="shared" si="65"/>
        <v>0</v>
      </c>
      <c r="AW130" s="491" t="s">
        <v>339</v>
      </c>
      <c r="AX130" s="364"/>
      <c r="AY130" s="364"/>
      <c r="AZ130" s="364"/>
      <c r="BA130" s="364"/>
      <c r="BB130" s="364"/>
      <c r="BC130" s="364"/>
      <c r="BD130" s="364"/>
      <c r="BE130" s="364"/>
      <c r="BF130" s="364"/>
      <c r="BG130" s="364"/>
      <c r="BH130" s="364"/>
      <c r="BI130" s="364"/>
      <c r="BJ130" s="364"/>
      <c r="BK130" s="364"/>
      <c r="BL130" s="364"/>
      <c r="BM130" s="364"/>
      <c r="BN130" s="364"/>
      <c r="BO130" s="364"/>
      <c r="BP130" s="364"/>
      <c r="BQ130" s="364"/>
      <c r="BR130" s="364"/>
      <c r="BS130" s="364"/>
      <c r="BT130" s="364"/>
      <c r="BU130" s="364"/>
      <c r="BV130" s="364"/>
      <c r="BW130" s="364"/>
      <c r="BX130" s="364"/>
      <c r="BY130" s="364"/>
      <c r="BZ130" s="364"/>
      <c r="CA130" s="364"/>
      <c r="CB130" s="364"/>
      <c r="CC130" s="364"/>
      <c r="CD130" s="364"/>
      <c r="CE130" s="364"/>
      <c r="CF130" s="364"/>
      <c r="CG130" s="364"/>
      <c r="CH130" s="364"/>
      <c r="CI130" s="364"/>
      <c r="CJ130" s="364"/>
      <c r="CK130" s="364"/>
      <c r="CL130" s="364"/>
      <c r="CM130" s="364"/>
      <c r="CN130" s="364"/>
      <c r="CO130" s="364"/>
      <c r="CP130" s="364"/>
      <c r="CQ130" s="364"/>
      <c r="CR130" s="364"/>
      <c r="CS130" s="364"/>
      <c r="CT130" s="364"/>
      <c r="CU130" s="364"/>
      <c r="CV130" s="364"/>
      <c r="CW130" s="364"/>
      <c r="CX130" s="364"/>
      <c r="CY130" s="364"/>
      <c r="CZ130" s="364"/>
      <c r="DA130" s="364"/>
      <c r="DB130" s="364"/>
      <c r="DC130" s="364"/>
      <c r="DD130" s="364"/>
      <c r="DE130" s="364"/>
      <c r="DF130" s="364"/>
      <c r="DG130" s="364"/>
      <c r="DH130" s="364"/>
      <c r="DI130" s="364"/>
      <c r="DJ130" s="364"/>
      <c r="DK130" s="364"/>
      <c r="DL130" s="364"/>
      <c r="DM130" s="364"/>
      <c r="DN130" s="364"/>
      <c r="DO130" s="364"/>
      <c r="DP130" s="364"/>
      <c r="DQ130" s="364"/>
      <c r="DR130" s="364"/>
      <c r="DS130" s="364"/>
      <c r="DT130" s="364"/>
      <c r="DU130" s="364"/>
      <c r="DV130" s="364"/>
      <c r="DW130" s="364"/>
      <c r="DX130" s="364"/>
      <c r="DY130" s="364"/>
    </row>
    <row r="131" spans="2:129" s="468" customFormat="1" x14ac:dyDescent="0.25">
      <c r="B131" s="469">
        <v>2032</v>
      </c>
      <c r="C131" s="466">
        <v>247415</v>
      </c>
      <c r="D131" s="462" t="s">
        <v>701</v>
      </c>
      <c r="E131" s="461" t="s">
        <v>1067</v>
      </c>
      <c r="F131" s="462">
        <v>18</v>
      </c>
      <c r="G131" s="461"/>
      <c r="H131" s="461"/>
      <c r="I131" s="461"/>
      <c r="J131" s="461">
        <v>0</v>
      </c>
      <c r="K131" s="461" t="s">
        <v>1066</v>
      </c>
      <c r="L131" s="461"/>
      <c r="M131" s="461"/>
      <c r="N131" s="465">
        <v>39752</v>
      </c>
      <c r="O131" s="465"/>
      <c r="P131" s="461" t="s">
        <v>1065</v>
      </c>
      <c r="Q131" s="462">
        <v>700</v>
      </c>
      <c r="R131" s="462">
        <v>14050</v>
      </c>
      <c r="S131" s="512">
        <v>871.06</v>
      </c>
      <c r="T131" s="462">
        <v>14056</v>
      </c>
      <c r="U131" s="505">
        <v>871.06</v>
      </c>
      <c r="V131" s="505">
        <f t="shared" si="61"/>
        <v>0</v>
      </c>
      <c r="W131" s="509">
        <v>0</v>
      </c>
      <c r="X131" s="462">
        <v>54260</v>
      </c>
      <c r="Y131" s="505">
        <v>0</v>
      </c>
      <c r="Z131" s="461" t="s">
        <v>701</v>
      </c>
      <c r="AA131" s="461"/>
      <c r="AB131" s="461" t="s">
        <v>1064</v>
      </c>
      <c r="AC131" s="461"/>
      <c r="AD131" s="461" t="s">
        <v>705</v>
      </c>
      <c r="AE131" s="461" t="s">
        <v>703</v>
      </c>
      <c r="AF131" s="462" t="s">
        <v>351</v>
      </c>
      <c r="AG131" s="467">
        <v>44227</v>
      </c>
      <c r="AH131" s="462" t="s">
        <v>707</v>
      </c>
      <c r="AI131" s="461">
        <v>0</v>
      </c>
      <c r="AJ131" s="461">
        <v>871.06</v>
      </c>
      <c r="AK131" s="364"/>
      <c r="AL131" s="364" t="s">
        <v>1304</v>
      </c>
      <c r="AM131" s="490">
        <f t="shared" si="66"/>
        <v>10</v>
      </c>
      <c r="AN131" s="490">
        <f t="shared" si="67"/>
        <v>2008</v>
      </c>
      <c r="AO131" s="490">
        <f t="shared" si="62"/>
        <v>2015</v>
      </c>
      <c r="AP131" s="510">
        <f t="shared" si="68"/>
        <v>2015.8333333333333</v>
      </c>
      <c r="AQ131" s="351">
        <f t="shared" si="69"/>
        <v>10.369761904761903</v>
      </c>
      <c r="AR131" s="351">
        <f t="shared" si="70"/>
        <v>124.43714285714285</v>
      </c>
      <c r="AS131" s="351">
        <f t="shared" si="63"/>
        <v>0</v>
      </c>
      <c r="AT131" s="351">
        <f t="shared" si="64"/>
        <v>871.06</v>
      </c>
      <c r="AU131" s="351">
        <f t="shared" si="71"/>
        <v>871.06</v>
      </c>
      <c r="AV131" s="351">
        <f t="shared" si="65"/>
        <v>0</v>
      </c>
      <c r="AW131" s="491" t="s">
        <v>339</v>
      </c>
      <c r="AX131" s="364"/>
      <c r="AY131" s="364"/>
      <c r="AZ131" s="364"/>
      <c r="BA131" s="364"/>
      <c r="BB131" s="364"/>
      <c r="BC131" s="364"/>
      <c r="BD131" s="364"/>
      <c r="BE131" s="364"/>
      <c r="BF131" s="364"/>
      <c r="BG131" s="364"/>
      <c r="BH131" s="364"/>
      <c r="BI131" s="364"/>
      <c r="BJ131" s="364"/>
      <c r="BK131" s="364"/>
      <c r="BL131" s="364"/>
      <c r="BM131" s="364"/>
      <c r="BN131" s="364"/>
      <c r="BO131" s="364"/>
      <c r="BP131" s="364"/>
      <c r="BQ131" s="364"/>
      <c r="BR131" s="364"/>
      <c r="BS131" s="364"/>
      <c r="BT131" s="364"/>
      <c r="BU131" s="364"/>
      <c r="BV131" s="364"/>
      <c r="BW131" s="364"/>
      <c r="BX131" s="364"/>
      <c r="BY131" s="364"/>
      <c r="BZ131" s="364"/>
      <c r="CA131" s="364"/>
      <c r="CB131" s="364"/>
      <c r="CC131" s="364"/>
      <c r="CD131" s="364"/>
      <c r="CE131" s="364"/>
      <c r="CF131" s="364"/>
      <c r="CG131" s="364"/>
      <c r="CH131" s="364"/>
      <c r="CI131" s="364"/>
      <c r="CJ131" s="364"/>
      <c r="CK131" s="364"/>
      <c r="CL131" s="364"/>
      <c r="CM131" s="364"/>
      <c r="CN131" s="364"/>
      <c r="CO131" s="364"/>
      <c r="CP131" s="364"/>
      <c r="CQ131" s="364"/>
      <c r="CR131" s="364"/>
      <c r="CS131" s="364"/>
      <c r="CT131" s="364"/>
      <c r="CU131" s="364"/>
      <c r="CV131" s="364"/>
      <c r="CW131" s="364"/>
      <c r="CX131" s="364"/>
      <c r="CY131" s="364"/>
      <c r="CZ131" s="364"/>
      <c r="DA131" s="364"/>
      <c r="DB131" s="364"/>
      <c r="DC131" s="364"/>
      <c r="DD131" s="364"/>
      <c r="DE131" s="364"/>
      <c r="DF131" s="364"/>
      <c r="DG131" s="364"/>
      <c r="DH131" s="364"/>
      <c r="DI131" s="364"/>
      <c r="DJ131" s="364"/>
      <c r="DK131" s="364"/>
      <c r="DL131" s="364"/>
      <c r="DM131" s="364"/>
      <c r="DN131" s="364"/>
      <c r="DO131" s="364"/>
      <c r="DP131" s="364"/>
      <c r="DQ131" s="364"/>
      <c r="DR131" s="364"/>
      <c r="DS131" s="364"/>
      <c r="DT131" s="364"/>
      <c r="DU131" s="364"/>
      <c r="DV131" s="364"/>
      <c r="DW131" s="364"/>
      <c r="DX131" s="364"/>
      <c r="DY131" s="364"/>
    </row>
    <row r="132" spans="2:129" s="468" customFormat="1" x14ac:dyDescent="0.25">
      <c r="B132" s="469">
        <v>2032</v>
      </c>
      <c r="C132" s="466">
        <v>247414</v>
      </c>
      <c r="D132" s="462" t="s">
        <v>701</v>
      </c>
      <c r="E132" s="461" t="s">
        <v>1063</v>
      </c>
      <c r="F132" s="462">
        <v>63</v>
      </c>
      <c r="G132" s="461"/>
      <c r="H132" s="461"/>
      <c r="I132" s="461"/>
      <c r="J132" s="461">
        <v>0</v>
      </c>
      <c r="K132" s="461" t="s">
        <v>1018</v>
      </c>
      <c r="L132" s="461"/>
      <c r="M132" s="461"/>
      <c r="N132" s="465">
        <v>37316</v>
      </c>
      <c r="O132" s="465"/>
      <c r="P132" s="461" t="s">
        <v>1017</v>
      </c>
      <c r="Q132" s="462">
        <v>700</v>
      </c>
      <c r="R132" s="462">
        <v>14050</v>
      </c>
      <c r="S132" s="512">
        <v>2236.5</v>
      </c>
      <c r="T132" s="462">
        <v>14056</v>
      </c>
      <c r="U132" s="505">
        <v>2236.5</v>
      </c>
      <c r="V132" s="505">
        <f t="shared" si="61"/>
        <v>0</v>
      </c>
      <c r="W132" s="509">
        <v>0</v>
      </c>
      <c r="X132" s="462">
        <v>54260</v>
      </c>
      <c r="Y132" s="505">
        <v>0</v>
      </c>
      <c r="Z132" s="461" t="s">
        <v>701</v>
      </c>
      <c r="AA132" s="461"/>
      <c r="AB132" s="461" t="s">
        <v>1062</v>
      </c>
      <c r="AC132" s="461"/>
      <c r="AD132" s="461" t="s">
        <v>705</v>
      </c>
      <c r="AE132" s="461" t="s">
        <v>703</v>
      </c>
      <c r="AF132" s="462" t="s">
        <v>351</v>
      </c>
      <c r="AG132" s="467">
        <v>44227</v>
      </c>
      <c r="AH132" s="462" t="s">
        <v>707</v>
      </c>
      <c r="AI132" s="461">
        <v>0</v>
      </c>
      <c r="AJ132" s="461">
        <v>2236.5</v>
      </c>
      <c r="AK132" s="364"/>
      <c r="AL132" s="364" t="s">
        <v>1304</v>
      </c>
      <c r="AM132" s="490">
        <f t="shared" si="66"/>
        <v>3</v>
      </c>
      <c r="AN132" s="490">
        <f t="shared" si="67"/>
        <v>2002</v>
      </c>
      <c r="AO132" s="490">
        <f t="shared" si="62"/>
        <v>2009</v>
      </c>
      <c r="AP132" s="510">
        <f t="shared" si="68"/>
        <v>2009.25</v>
      </c>
      <c r="AQ132" s="351">
        <f t="shared" si="69"/>
        <v>26.625</v>
      </c>
      <c r="AR132" s="351">
        <f t="shared" si="70"/>
        <v>319.5</v>
      </c>
      <c r="AS132" s="351">
        <f t="shared" si="63"/>
        <v>0</v>
      </c>
      <c r="AT132" s="351">
        <f t="shared" si="64"/>
        <v>2236.5</v>
      </c>
      <c r="AU132" s="351">
        <f t="shared" si="71"/>
        <v>2236.5</v>
      </c>
      <c r="AV132" s="351">
        <f t="shared" si="65"/>
        <v>0</v>
      </c>
      <c r="AW132" s="491" t="s">
        <v>339</v>
      </c>
      <c r="AX132" s="364"/>
      <c r="AY132" s="364"/>
      <c r="AZ132" s="364"/>
      <c r="BA132" s="364"/>
      <c r="BB132" s="364"/>
      <c r="BC132" s="364"/>
      <c r="BD132" s="364"/>
      <c r="BE132" s="364"/>
      <c r="BF132" s="364"/>
      <c r="BG132" s="364"/>
      <c r="BH132" s="364"/>
      <c r="BI132" s="364"/>
      <c r="BJ132" s="364"/>
      <c r="BK132" s="364"/>
      <c r="BL132" s="364"/>
      <c r="BM132" s="364"/>
      <c r="BN132" s="364"/>
      <c r="BO132" s="364"/>
      <c r="BP132" s="364"/>
      <c r="BQ132" s="364"/>
      <c r="BR132" s="364"/>
      <c r="BS132" s="364"/>
      <c r="BT132" s="364"/>
      <c r="BU132" s="364"/>
      <c r="BV132" s="364"/>
      <c r="BW132" s="364"/>
      <c r="BX132" s="364"/>
      <c r="BY132" s="364"/>
      <c r="BZ132" s="364"/>
      <c r="CA132" s="364"/>
      <c r="CB132" s="364"/>
      <c r="CC132" s="364"/>
      <c r="CD132" s="364"/>
      <c r="CE132" s="364"/>
      <c r="CF132" s="364"/>
      <c r="CG132" s="364"/>
      <c r="CH132" s="364"/>
      <c r="CI132" s="364"/>
      <c r="CJ132" s="364"/>
      <c r="CK132" s="364"/>
      <c r="CL132" s="364"/>
      <c r="CM132" s="364"/>
      <c r="CN132" s="364"/>
      <c r="CO132" s="364"/>
      <c r="CP132" s="364"/>
      <c r="CQ132" s="364"/>
      <c r="CR132" s="364"/>
      <c r="CS132" s="364"/>
      <c r="CT132" s="364"/>
      <c r="CU132" s="364"/>
      <c r="CV132" s="364"/>
      <c r="CW132" s="364"/>
      <c r="CX132" s="364"/>
      <c r="CY132" s="364"/>
      <c r="CZ132" s="364"/>
      <c r="DA132" s="364"/>
      <c r="DB132" s="364"/>
      <c r="DC132" s="364"/>
      <c r="DD132" s="364"/>
      <c r="DE132" s="364"/>
      <c r="DF132" s="364"/>
      <c r="DG132" s="364"/>
      <c r="DH132" s="364"/>
      <c r="DI132" s="364"/>
      <c r="DJ132" s="364"/>
      <c r="DK132" s="364"/>
      <c r="DL132" s="364"/>
      <c r="DM132" s="364"/>
      <c r="DN132" s="364"/>
      <c r="DO132" s="364"/>
      <c r="DP132" s="364"/>
      <c r="DQ132" s="364"/>
      <c r="DR132" s="364"/>
      <c r="DS132" s="364"/>
      <c r="DT132" s="364"/>
      <c r="DU132" s="364"/>
      <c r="DV132" s="364"/>
      <c r="DW132" s="364"/>
      <c r="DX132" s="364"/>
      <c r="DY132" s="364"/>
    </row>
    <row r="133" spans="2:129" s="468" customFormat="1" x14ac:dyDescent="0.25">
      <c r="B133" s="469">
        <v>2032</v>
      </c>
      <c r="C133" s="466">
        <v>247413</v>
      </c>
      <c r="D133" s="462" t="s">
        <v>701</v>
      </c>
      <c r="E133" s="461" t="s">
        <v>1061</v>
      </c>
      <c r="F133" s="462">
        <v>10</v>
      </c>
      <c r="G133" s="461"/>
      <c r="H133" s="461" t="s">
        <v>1060</v>
      </c>
      <c r="I133" s="461"/>
      <c r="J133" s="461">
        <v>0</v>
      </c>
      <c r="K133" s="461" t="s">
        <v>1059</v>
      </c>
      <c r="L133" s="461"/>
      <c r="M133" s="461"/>
      <c r="N133" s="465">
        <v>37495</v>
      </c>
      <c r="O133" s="465"/>
      <c r="P133" s="461" t="s">
        <v>1058</v>
      </c>
      <c r="Q133" s="462">
        <v>700</v>
      </c>
      <c r="R133" s="462">
        <v>14050</v>
      </c>
      <c r="S133" s="512">
        <v>432.58</v>
      </c>
      <c r="T133" s="462">
        <v>14056</v>
      </c>
      <c r="U133" s="505">
        <v>432.58</v>
      </c>
      <c r="V133" s="505">
        <f t="shared" si="61"/>
        <v>0</v>
      </c>
      <c r="W133" s="509">
        <v>0</v>
      </c>
      <c r="X133" s="462">
        <v>54260</v>
      </c>
      <c r="Y133" s="505">
        <v>0</v>
      </c>
      <c r="Z133" s="461" t="s">
        <v>701</v>
      </c>
      <c r="AA133" s="461"/>
      <c r="AB133" s="461">
        <v>104620</v>
      </c>
      <c r="AC133" s="461"/>
      <c r="AD133" s="461" t="s">
        <v>705</v>
      </c>
      <c r="AE133" s="461" t="s">
        <v>703</v>
      </c>
      <c r="AF133" s="462" t="s">
        <v>351</v>
      </c>
      <c r="AG133" s="467">
        <v>44227</v>
      </c>
      <c r="AH133" s="462" t="s">
        <v>707</v>
      </c>
      <c r="AI133" s="461">
        <v>0</v>
      </c>
      <c r="AJ133" s="461">
        <v>432.58</v>
      </c>
      <c r="AK133" s="364"/>
      <c r="AL133" s="364" t="s">
        <v>1304</v>
      </c>
      <c r="AM133" s="490">
        <f t="shared" si="66"/>
        <v>8</v>
      </c>
      <c r="AN133" s="490">
        <f t="shared" si="67"/>
        <v>2002</v>
      </c>
      <c r="AO133" s="490">
        <f t="shared" si="62"/>
        <v>2009</v>
      </c>
      <c r="AP133" s="510">
        <f t="shared" si="68"/>
        <v>2009.6666666666667</v>
      </c>
      <c r="AQ133" s="351">
        <f t="shared" si="69"/>
        <v>5.1497619047619043</v>
      </c>
      <c r="AR133" s="351">
        <f t="shared" si="70"/>
        <v>61.797142857142852</v>
      </c>
      <c r="AS133" s="351">
        <f t="shared" si="63"/>
        <v>0</v>
      </c>
      <c r="AT133" s="351">
        <f t="shared" si="64"/>
        <v>432.58</v>
      </c>
      <c r="AU133" s="351">
        <f t="shared" si="71"/>
        <v>432.58</v>
      </c>
      <c r="AV133" s="351">
        <f t="shared" si="65"/>
        <v>0</v>
      </c>
      <c r="AW133" s="491" t="s">
        <v>339</v>
      </c>
      <c r="AX133" s="364"/>
      <c r="AY133" s="364"/>
      <c r="AZ133" s="364"/>
      <c r="BA133" s="364"/>
      <c r="BB133" s="364"/>
      <c r="BC133" s="364"/>
      <c r="BD133" s="364"/>
      <c r="BE133" s="364"/>
      <c r="BF133" s="364"/>
      <c r="BG133" s="364"/>
      <c r="BH133" s="364"/>
      <c r="BI133" s="364"/>
      <c r="BJ133" s="364"/>
      <c r="BK133" s="364"/>
      <c r="BL133" s="364"/>
      <c r="BM133" s="364"/>
      <c r="BN133" s="364"/>
      <c r="BO133" s="364"/>
      <c r="BP133" s="364"/>
      <c r="BQ133" s="364"/>
      <c r="BR133" s="364"/>
      <c r="BS133" s="364"/>
      <c r="BT133" s="364"/>
      <c r="BU133" s="364"/>
      <c r="BV133" s="364"/>
      <c r="BW133" s="364"/>
      <c r="BX133" s="364"/>
      <c r="BY133" s="364"/>
      <c r="BZ133" s="364"/>
      <c r="CA133" s="364"/>
      <c r="CB133" s="364"/>
      <c r="CC133" s="364"/>
      <c r="CD133" s="364"/>
      <c r="CE133" s="364"/>
      <c r="CF133" s="364"/>
      <c r="CG133" s="364"/>
      <c r="CH133" s="364"/>
      <c r="CI133" s="364"/>
      <c r="CJ133" s="364"/>
      <c r="CK133" s="364"/>
      <c r="CL133" s="364"/>
      <c r="CM133" s="364"/>
      <c r="CN133" s="364"/>
      <c r="CO133" s="364"/>
      <c r="CP133" s="364"/>
      <c r="CQ133" s="364"/>
      <c r="CR133" s="364"/>
      <c r="CS133" s="364"/>
      <c r="CT133" s="364"/>
      <c r="CU133" s="364"/>
      <c r="CV133" s="364"/>
      <c r="CW133" s="364"/>
      <c r="CX133" s="364"/>
      <c r="CY133" s="364"/>
      <c r="CZ133" s="364"/>
      <c r="DA133" s="364"/>
      <c r="DB133" s="364"/>
      <c r="DC133" s="364"/>
      <c r="DD133" s="364"/>
      <c r="DE133" s="364"/>
      <c r="DF133" s="364"/>
      <c r="DG133" s="364"/>
      <c r="DH133" s="364"/>
      <c r="DI133" s="364"/>
      <c r="DJ133" s="364"/>
      <c r="DK133" s="364"/>
      <c r="DL133" s="364"/>
      <c r="DM133" s="364"/>
      <c r="DN133" s="364"/>
      <c r="DO133" s="364"/>
      <c r="DP133" s="364"/>
      <c r="DQ133" s="364"/>
      <c r="DR133" s="364"/>
      <c r="DS133" s="364"/>
      <c r="DT133" s="364"/>
      <c r="DU133" s="364"/>
      <c r="DV133" s="364"/>
      <c r="DW133" s="364"/>
      <c r="DX133" s="364"/>
      <c r="DY133" s="364"/>
    </row>
    <row r="134" spans="2:129" s="468" customFormat="1" x14ac:dyDescent="0.25">
      <c r="B134" s="469">
        <v>2032</v>
      </c>
      <c r="C134" s="466">
        <v>246247</v>
      </c>
      <c r="D134" s="462">
        <v>246244</v>
      </c>
      <c r="E134" s="461" t="s">
        <v>1057</v>
      </c>
      <c r="F134" s="462">
        <v>0</v>
      </c>
      <c r="G134" s="461"/>
      <c r="H134" s="461" t="s">
        <v>1056</v>
      </c>
      <c r="I134" s="461"/>
      <c r="J134" s="461">
        <v>0</v>
      </c>
      <c r="K134" s="461"/>
      <c r="L134" s="461"/>
      <c r="M134" s="461"/>
      <c r="N134" s="465">
        <v>40165</v>
      </c>
      <c r="O134" s="465">
        <v>40165</v>
      </c>
      <c r="P134" s="461" t="s">
        <v>1055</v>
      </c>
      <c r="Q134" s="462">
        <v>300</v>
      </c>
      <c r="R134" s="462">
        <v>14040</v>
      </c>
      <c r="S134" s="512">
        <v>11649.11</v>
      </c>
      <c r="T134" s="462">
        <v>14046</v>
      </c>
      <c r="U134" s="505">
        <v>11649.11</v>
      </c>
      <c r="V134" s="505">
        <f t="shared" si="61"/>
        <v>0</v>
      </c>
      <c r="W134" s="509">
        <v>0</v>
      </c>
      <c r="X134" s="462">
        <v>51260</v>
      </c>
      <c r="Y134" s="505">
        <v>0</v>
      </c>
      <c r="Z134" s="461" t="s">
        <v>701</v>
      </c>
      <c r="AA134" s="461"/>
      <c r="AB134" s="461">
        <v>1221998</v>
      </c>
      <c r="AC134" s="461"/>
      <c r="AD134" s="461" t="s">
        <v>705</v>
      </c>
      <c r="AE134" s="461" t="s">
        <v>703</v>
      </c>
      <c r="AF134" s="462" t="s">
        <v>351</v>
      </c>
      <c r="AG134" s="467">
        <v>44196</v>
      </c>
      <c r="AH134" s="462" t="s">
        <v>707</v>
      </c>
      <c r="AI134" s="461">
        <v>0</v>
      </c>
      <c r="AJ134" s="461">
        <v>11649.11</v>
      </c>
      <c r="AK134" s="364"/>
      <c r="AL134" s="364" t="s">
        <v>751</v>
      </c>
      <c r="AM134" s="490">
        <f t="shared" si="66"/>
        <v>12</v>
      </c>
      <c r="AN134" s="490">
        <f t="shared" si="67"/>
        <v>2009</v>
      </c>
      <c r="AO134" s="490">
        <f t="shared" si="62"/>
        <v>2012</v>
      </c>
      <c r="AP134" s="510">
        <f t="shared" si="68"/>
        <v>2013</v>
      </c>
      <c r="AQ134" s="351">
        <f t="shared" si="69"/>
        <v>323.58638888888891</v>
      </c>
      <c r="AR134" s="351">
        <f t="shared" si="70"/>
        <v>3883.0366666666669</v>
      </c>
      <c r="AS134" s="351">
        <f t="shared" si="63"/>
        <v>0</v>
      </c>
      <c r="AT134" s="351">
        <f t="shared" si="64"/>
        <v>11649.11</v>
      </c>
      <c r="AU134" s="351">
        <f t="shared" si="71"/>
        <v>11649.11</v>
      </c>
      <c r="AV134" s="351">
        <f t="shared" si="65"/>
        <v>0</v>
      </c>
      <c r="AW134" s="491" t="s">
        <v>339</v>
      </c>
      <c r="AX134" s="364"/>
      <c r="AY134" s="364"/>
      <c r="AZ134" s="364"/>
      <c r="BA134" s="364"/>
      <c r="BB134" s="364"/>
      <c r="BC134" s="364"/>
      <c r="BD134" s="364"/>
      <c r="BE134" s="364"/>
      <c r="BF134" s="364"/>
      <c r="BG134" s="364"/>
      <c r="BH134" s="364"/>
      <c r="BI134" s="364"/>
      <c r="BJ134" s="364"/>
      <c r="BK134" s="364"/>
      <c r="BL134" s="364"/>
      <c r="BM134" s="364"/>
      <c r="BN134" s="364"/>
      <c r="BO134" s="364"/>
      <c r="BP134" s="364"/>
      <c r="BQ134" s="364"/>
      <c r="BR134" s="364"/>
      <c r="BS134" s="364"/>
      <c r="BT134" s="364"/>
      <c r="BU134" s="364"/>
      <c r="BV134" s="364"/>
      <c r="BW134" s="364"/>
      <c r="BX134" s="364"/>
      <c r="BY134" s="364"/>
      <c r="BZ134" s="364"/>
      <c r="CA134" s="364"/>
      <c r="CB134" s="364"/>
      <c r="CC134" s="364"/>
      <c r="CD134" s="364"/>
      <c r="CE134" s="364"/>
      <c r="CF134" s="364"/>
      <c r="CG134" s="364"/>
      <c r="CH134" s="364"/>
      <c r="CI134" s="364"/>
      <c r="CJ134" s="364"/>
      <c r="CK134" s="364"/>
      <c r="CL134" s="364"/>
      <c r="CM134" s="364"/>
      <c r="CN134" s="364"/>
      <c r="CO134" s="364"/>
      <c r="CP134" s="364"/>
      <c r="CQ134" s="364"/>
      <c r="CR134" s="364"/>
      <c r="CS134" s="364"/>
      <c r="CT134" s="364"/>
      <c r="CU134" s="364"/>
      <c r="CV134" s="364"/>
      <c r="CW134" s="364"/>
      <c r="CX134" s="364"/>
      <c r="CY134" s="364"/>
      <c r="CZ134" s="364"/>
      <c r="DA134" s="364"/>
      <c r="DB134" s="364"/>
      <c r="DC134" s="364"/>
      <c r="DD134" s="364"/>
      <c r="DE134" s="364"/>
      <c r="DF134" s="364"/>
      <c r="DG134" s="364"/>
      <c r="DH134" s="364"/>
      <c r="DI134" s="364"/>
      <c r="DJ134" s="364"/>
      <c r="DK134" s="364"/>
      <c r="DL134" s="364"/>
      <c r="DM134" s="364"/>
      <c r="DN134" s="364"/>
      <c r="DO134" s="364"/>
      <c r="DP134" s="364"/>
      <c r="DQ134" s="364"/>
      <c r="DR134" s="364"/>
      <c r="DS134" s="364"/>
      <c r="DT134" s="364"/>
      <c r="DU134" s="364"/>
      <c r="DV134" s="364"/>
      <c r="DW134" s="364"/>
      <c r="DX134" s="364"/>
      <c r="DY134" s="364"/>
    </row>
    <row r="135" spans="2:129" s="468" customFormat="1" x14ac:dyDescent="0.25">
      <c r="B135" s="469">
        <v>2032</v>
      </c>
      <c r="C135" s="466">
        <v>246246</v>
      </c>
      <c r="D135" s="462">
        <v>246244</v>
      </c>
      <c r="E135" s="461" t="s">
        <v>1054</v>
      </c>
      <c r="F135" s="462">
        <v>0</v>
      </c>
      <c r="G135" s="461"/>
      <c r="H135" s="461" t="s">
        <v>1044</v>
      </c>
      <c r="I135" s="461"/>
      <c r="J135" s="461">
        <v>2006</v>
      </c>
      <c r="K135" s="461"/>
      <c r="L135" s="461"/>
      <c r="M135" s="461" t="s">
        <v>962</v>
      </c>
      <c r="N135" s="465">
        <v>39326</v>
      </c>
      <c r="O135" s="465">
        <v>39326</v>
      </c>
      <c r="P135" s="461" t="s">
        <v>1043</v>
      </c>
      <c r="Q135" s="462">
        <v>1000</v>
      </c>
      <c r="R135" s="462">
        <v>14040</v>
      </c>
      <c r="S135" s="512">
        <v>6051</v>
      </c>
      <c r="T135" s="462">
        <v>14046</v>
      </c>
      <c r="U135" s="505">
        <v>6051</v>
      </c>
      <c r="V135" s="505">
        <f t="shared" si="61"/>
        <v>0</v>
      </c>
      <c r="W135" s="509">
        <v>0</v>
      </c>
      <c r="X135" s="462">
        <v>51260</v>
      </c>
      <c r="Y135" s="505">
        <v>0</v>
      </c>
      <c r="Z135" s="461" t="s">
        <v>701</v>
      </c>
      <c r="AA135" s="461">
        <v>0</v>
      </c>
      <c r="AB135" s="461" t="s">
        <v>1053</v>
      </c>
      <c r="AC135" s="461"/>
      <c r="AD135" s="461" t="s">
        <v>705</v>
      </c>
      <c r="AE135" s="461" t="s">
        <v>703</v>
      </c>
      <c r="AF135" s="462" t="s">
        <v>351</v>
      </c>
      <c r="AG135" s="467">
        <v>44196</v>
      </c>
      <c r="AH135" s="462" t="s">
        <v>707</v>
      </c>
      <c r="AI135" s="461">
        <v>0</v>
      </c>
      <c r="AJ135" s="461">
        <v>6051</v>
      </c>
      <c r="AK135" s="364"/>
      <c r="AL135" s="364" t="s">
        <v>751</v>
      </c>
      <c r="AM135" s="490">
        <f t="shared" si="66"/>
        <v>9</v>
      </c>
      <c r="AN135" s="490">
        <f t="shared" si="67"/>
        <v>2007</v>
      </c>
      <c r="AO135" s="490">
        <f t="shared" si="62"/>
        <v>2017</v>
      </c>
      <c r="AP135" s="510">
        <f t="shared" si="68"/>
        <v>2017.75</v>
      </c>
      <c r="AQ135" s="351">
        <f t="shared" si="69"/>
        <v>50.425000000000004</v>
      </c>
      <c r="AR135" s="351">
        <f t="shared" si="70"/>
        <v>605.1</v>
      </c>
      <c r="AS135" s="351">
        <f t="shared" si="63"/>
        <v>0</v>
      </c>
      <c r="AT135" s="351">
        <f t="shared" si="64"/>
        <v>6051</v>
      </c>
      <c r="AU135" s="351">
        <f t="shared" si="71"/>
        <v>6051</v>
      </c>
      <c r="AV135" s="351">
        <f t="shared" si="65"/>
        <v>0</v>
      </c>
      <c r="AW135" s="491" t="s">
        <v>339</v>
      </c>
      <c r="AX135" s="364"/>
      <c r="AY135" s="364"/>
      <c r="AZ135" s="364"/>
      <c r="BA135" s="364"/>
      <c r="BB135" s="364"/>
      <c r="BC135" s="364"/>
      <c r="BD135" s="364"/>
      <c r="BE135" s="364"/>
      <c r="BF135" s="364"/>
      <c r="BG135" s="364"/>
      <c r="BH135" s="364"/>
      <c r="BI135" s="364"/>
      <c r="BJ135" s="364"/>
      <c r="BK135" s="364"/>
      <c r="BL135" s="364"/>
      <c r="BM135" s="364"/>
      <c r="BN135" s="364"/>
      <c r="BO135" s="364"/>
      <c r="BP135" s="364"/>
      <c r="BQ135" s="364"/>
      <c r="BR135" s="364"/>
      <c r="BS135" s="364"/>
      <c r="BT135" s="364"/>
      <c r="BU135" s="364"/>
      <c r="BV135" s="364"/>
      <c r="BW135" s="364"/>
      <c r="BX135" s="364"/>
      <c r="BY135" s="364"/>
      <c r="BZ135" s="364"/>
      <c r="CA135" s="364"/>
      <c r="CB135" s="364"/>
      <c r="CC135" s="364"/>
      <c r="CD135" s="364"/>
      <c r="CE135" s="364"/>
      <c r="CF135" s="364"/>
      <c r="CG135" s="364"/>
      <c r="CH135" s="364"/>
      <c r="CI135" s="364"/>
      <c r="CJ135" s="364"/>
      <c r="CK135" s="364"/>
      <c r="CL135" s="364"/>
      <c r="CM135" s="364"/>
      <c r="CN135" s="364"/>
      <c r="CO135" s="364"/>
      <c r="CP135" s="364"/>
      <c r="CQ135" s="364"/>
      <c r="CR135" s="364"/>
      <c r="CS135" s="364"/>
      <c r="CT135" s="364"/>
      <c r="CU135" s="364"/>
      <c r="CV135" s="364"/>
      <c r="CW135" s="364"/>
      <c r="CX135" s="364"/>
      <c r="CY135" s="364"/>
      <c r="CZ135" s="364"/>
      <c r="DA135" s="364"/>
      <c r="DB135" s="364"/>
      <c r="DC135" s="364"/>
      <c r="DD135" s="364"/>
      <c r="DE135" s="364"/>
      <c r="DF135" s="364"/>
      <c r="DG135" s="364"/>
      <c r="DH135" s="364"/>
      <c r="DI135" s="364"/>
      <c r="DJ135" s="364"/>
      <c r="DK135" s="364"/>
      <c r="DL135" s="364"/>
      <c r="DM135" s="364"/>
      <c r="DN135" s="364"/>
      <c r="DO135" s="364"/>
      <c r="DP135" s="364"/>
      <c r="DQ135" s="364"/>
      <c r="DR135" s="364"/>
      <c r="DS135" s="364"/>
      <c r="DT135" s="364"/>
      <c r="DU135" s="364"/>
      <c r="DV135" s="364"/>
      <c r="DW135" s="364"/>
      <c r="DX135" s="364"/>
      <c r="DY135" s="364"/>
    </row>
    <row r="136" spans="2:129" s="468" customFormat="1" x14ac:dyDescent="0.25">
      <c r="B136" s="469">
        <v>2032</v>
      </c>
      <c r="C136" s="466">
        <v>246245</v>
      </c>
      <c r="D136" s="462">
        <v>246244</v>
      </c>
      <c r="E136" s="461" t="s">
        <v>1052</v>
      </c>
      <c r="F136" s="462">
        <v>0</v>
      </c>
      <c r="G136" s="461"/>
      <c r="H136" s="461" t="s">
        <v>1044</v>
      </c>
      <c r="I136" s="461"/>
      <c r="J136" s="461">
        <v>2006</v>
      </c>
      <c r="K136" s="461"/>
      <c r="L136" s="461"/>
      <c r="M136" s="461" t="s">
        <v>962</v>
      </c>
      <c r="N136" s="465">
        <v>39143</v>
      </c>
      <c r="O136" s="465">
        <v>39143</v>
      </c>
      <c r="P136" s="461" t="s">
        <v>1043</v>
      </c>
      <c r="Q136" s="462">
        <v>1000</v>
      </c>
      <c r="R136" s="462">
        <v>14040</v>
      </c>
      <c r="S136" s="512">
        <v>2800.59</v>
      </c>
      <c r="T136" s="462">
        <v>14046</v>
      </c>
      <c r="U136" s="505">
        <v>2800.59</v>
      </c>
      <c r="V136" s="505">
        <f t="shared" si="61"/>
        <v>0</v>
      </c>
      <c r="W136" s="509">
        <v>0</v>
      </c>
      <c r="X136" s="462">
        <v>51260</v>
      </c>
      <c r="Y136" s="505">
        <v>0</v>
      </c>
      <c r="Z136" s="461" t="s">
        <v>701</v>
      </c>
      <c r="AA136" s="461"/>
      <c r="AB136" s="461">
        <v>18965</v>
      </c>
      <c r="AC136" s="461"/>
      <c r="AD136" s="461" t="s">
        <v>705</v>
      </c>
      <c r="AE136" s="461" t="s">
        <v>703</v>
      </c>
      <c r="AF136" s="462" t="s">
        <v>351</v>
      </c>
      <c r="AG136" s="467">
        <v>44196</v>
      </c>
      <c r="AH136" s="462" t="s">
        <v>707</v>
      </c>
      <c r="AI136" s="461">
        <v>0</v>
      </c>
      <c r="AJ136" s="461">
        <v>2800.59</v>
      </c>
      <c r="AK136" s="364"/>
      <c r="AL136" s="364" t="s">
        <v>751</v>
      </c>
      <c r="AM136" s="490">
        <f t="shared" si="66"/>
        <v>3</v>
      </c>
      <c r="AN136" s="490">
        <f t="shared" si="67"/>
        <v>2007</v>
      </c>
      <c r="AO136" s="490">
        <f t="shared" si="62"/>
        <v>2017</v>
      </c>
      <c r="AP136" s="510">
        <f t="shared" si="68"/>
        <v>2017.25</v>
      </c>
      <c r="AQ136" s="351">
        <f t="shared" si="69"/>
        <v>23.338250000000002</v>
      </c>
      <c r="AR136" s="351">
        <f t="shared" si="70"/>
        <v>280.05900000000003</v>
      </c>
      <c r="AS136" s="351">
        <f t="shared" si="63"/>
        <v>0</v>
      </c>
      <c r="AT136" s="351">
        <f t="shared" si="64"/>
        <v>2800.59</v>
      </c>
      <c r="AU136" s="351">
        <f t="shared" si="71"/>
        <v>2800.59</v>
      </c>
      <c r="AV136" s="351">
        <f t="shared" si="65"/>
        <v>0</v>
      </c>
      <c r="AW136" s="491" t="s">
        <v>339</v>
      </c>
      <c r="AX136" s="364"/>
      <c r="AY136" s="364"/>
      <c r="AZ136" s="364"/>
      <c r="BA136" s="364"/>
      <c r="BB136" s="364"/>
      <c r="BC136" s="364"/>
      <c r="BD136" s="364"/>
      <c r="BE136" s="364"/>
      <c r="BF136" s="364"/>
      <c r="BG136" s="364"/>
      <c r="BH136" s="364"/>
      <c r="BI136" s="364"/>
      <c r="BJ136" s="364"/>
      <c r="BK136" s="364"/>
      <c r="BL136" s="364"/>
      <c r="BM136" s="364"/>
      <c r="BN136" s="364"/>
      <c r="BO136" s="364"/>
      <c r="BP136" s="364"/>
      <c r="BQ136" s="364"/>
      <c r="BR136" s="364"/>
      <c r="BS136" s="364"/>
      <c r="BT136" s="364"/>
      <c r="BU136" s="364"/>
      <c r="BV136" s="364"/>
      <c r="BW136" s="364"/>
      <c r="BX136" s="364"/>
      <c r="BY136" s="364"/>
      <c r="BZ136" s="364"/>
      <c r="CA136" s="364"/>
      <c r="CB136" s="364"/>
      <c r="CC136" s="364"/>
      <c r="CD136" s="364"/>
      <c r="CE136" s="364"/>
      <c r="CF136" s="364"/>
      <c r="CG136" s="364"/>
      <c r="CH136" s="364"/>
      <c r="CI136" s="364"/>
      <c r="CJ136" s="364"/>
      <c r="CK136" s="364"/>
      <c r="CL136" s="364"/>
      <c r="CM136" s="364"/>
      <c r="CN136" s="364"/>
      <c r="CO136" s="364"/>
      <c r="CP136" s="364"/>
      <c r="CQ136" s="364"/>
      <c r="CR136" s="364"/>
      <c r="CS136" s="364"/>
      <c r="CT136" s="364"/>
      <c r="CU136" s="364"/>
      <c r="CV136" s="364"/>
      <c r="CW136" s="364"/>
      <c r="CX136" s="364"/>
      <c r="CY136" s="364"/>
      <c r="CZ136" s="364"/>
      <c r="DA136" s="364"/>
      <c r="DB136" s="364"/>
      <c r="DC136" s="364"/>
      <c r="DD136" s="364"/>
      <c r="DE136" s="364"/>
      <c r="DF136" s="364"/>
      <c r="DG136" s="364"/>
      <c r="DH136" s="364"/>
      <c r="DI136" s="364"/>
      <c r="DJ136" s="364"/>
      <c r="DK136" s="364"/>
      <c r="DL136" s="364"/>
      <c r="DM136" s="364"/>
      <c r="DN136" s="364"/>
      <c r="DO136" s="364"/>
      <c r="DP136" s="364"/>
      <c r="DQ136" s="364"/>
      <c r="DR136" s="364"/>
      <c r="DS136" s="364"/>
      <c r="DT136" s="364"/>
      <c r="DU136" s="364"/>
      <c r="DV136" s="364"/>
      <c r="DW136" s="364"/>
      <c r="DX136" s="364"/>
      <c r="DY136" s="364"/>
    </row>
    <row r="137" spans="2:129" s="468" customFormat="1" x14ac:dyDescent="0.25">
      <c r="B137" s="469">
        <v>2032</v>
      </c>
      <c r="C137" s="466">
        <v>246244</v>
      </c>
      <c r="D137" s="462" t="s">
        <v>701</v>
      </c>
      <c r="E137" s="461" t="s">
        <v>1051</v>
      </c>
      <c r="F137" s="462">
        <v>0</v>
      </c>
      <c r="G137" s="461"/>
      <c r="H137" s="461" t="s">
        <v>1044</v>
      </c>
      <c r="I137" s="461"/>
      <c r="J137" s="461">
        <v>2006</v>
      </c>
      <c r="K137" s="461" t="s">
        <v>1050</v>
      </c>
      <c r="L137" s="461" t="s">
        <v>1049</v>
      </c>
      <c r="M137" s="461" t="s">
        <v>955</v>
      </c>
      <c r="N137" s="465">
        <v>38789</v>
      </c>
      <c r="O137" s="465">
        <v>38789</v>
      </c>
      <c r="P137" s="461" t="s">
        <v>1048</v>
      </c>
      <c r="Q137" s="462">
        <v>1000</v>
      </c>
      <c r="R137" s="462">
        <v>14040</v>
      </c>
      <c r="S137" s="512">
        <v>56975</v>
      </c>
      <c r="T137" s="462">
        <v>14046</v>
      </c>
      <c r="U137" s="505">
        <v>56975</v>
      </c>
      <c r="V137" s="505">
        <f t="shared" si="61"/>
        <v>0</v>
      </c>
      <c r="W137" s="509">
        <v>0</v>
      </c>
      <c r="X137" s="462">
        <v>51260</v>
      </c>
      <c r="Y137" s="505">
        <v>0</v>
      </c>
      <c r="Z137" s="461" t="s">
        <v>701</v>
      </c>
      <c r="AA137" s="461"/>
      <c r="AB137" s="461" t="s">
        <v>1047</v>
      </c>
      <c r="AC137" s="461">
        <v>73</v>
      </c>
      <c r="AD137" s="461" t="s">
        <v>705</v>
      </c>
      <c r="AE137" s="461" t="s">
        <v>703</v>
      </c>
      <c r="AF137" s="462" t="s">
        <v>351</v>
      </c>
      <c r="AG137" s="467">
        <v>44196</v>
      </c>
      <c r="AH137" s="462" t="s">
        <v>707</v>
      </c>
      <c r="AI137" s="461">
        <v>0</v>
      </c>
      <c r="AJ137" s="461">
        <v>56975</v>
      </c>
      <c r="AK137" s="364"/>
      <c r="AL137" s="364" t="s">
        <v>751</v>
      </c>
      <c r="AM137" s="490">
        <f t="shared" si="66"/>
        <v>3</v>
      </c>
      <c r="AN137" s="490">
        <f t="shared" si="67"/>
        <v>2006</v>
      </c>
      <c r="AO137" s="490">
        <f t="shared" si="62"/>
        <v>2016</v>
      </c>
      <c r="AP137" s="510">
        <f t="shared" si="68"/>
        <v>2016.25</v>
      </c>
      <c r="AQ137" s="351">
        <f t="shared" si="69"/>
        <v>474.79166666666669</v>
      </c>
      <c r="AR137" s="351">
        <f t="shared" si="70"/>
        <v>5697.5</v>
      </c>
      <c r="AS137" s="351">
        <f t="shared" si="63"/>
        <v>0</v>
      </c>
      <c r="AT137" s="351">
        <f t="shared" si="64"/>
        <v>56975</v>
      </c>
      <c r="AU137" s="351">
        <f t="shared" si="71"/>
        <v>56975</v>
      </c>
      <c r="AV137" s="351">
        <f t="shared" si="65"/>
        <v>0</v>
      </c>
      <c r="AW137" s="491" t="s">
        <v>339</v>
      </c>
      <c r="AX137" s="364"/>
      <c r="AY137" s="364"/>
      <c r="AZ137" s="364"/>
      <c r="BA137" s="364"/>
      <c r="BB137" s="364"/>
      <c r="BC137" s="364"/>
      <c r="BD137" s="364"/>
      <c r="BE137" s="364"/>
      <c r="BF137" s="364"/>
      <c r="BG137" s="364"/>
      <c r="BH137" s="364"/>
      <c r="BI137" s="364"/>
      <c r="BJ137" s="364"/>
      <c r="BK137" s="364"/>
      <c r="BL137" s="364"/>
      <c r="BM137" s="364"/>
      <c r="BN137" s="364"/>
      <c r="BO137" s="364"/>
      <c r="BP137" s="364"/>
      <c r="BQ137" s="364"/>
      <c r="BR137" s="364"/>
      <c r="BS137" s="364"/>
      <c r="BT137" s="364"/>
      <c r="BU137" s="364"/>
      <c r="BV137" s="364"/>
      <c r="BW137" s="364"/>
      <c r="BX137" s="364"/>
      <c r="BY137" s="364"/>
      <c r="BZ137" s="364"/>
      <c r="CA137" s="364"/>
      <c r="CB137" s="364"/>
      <c r="CC137" s="364"/>
      <c r="CD137" s="364"/>
      <c r="CE137" s="364"/>
      <c r="CF137" s="364"/>
      <c r="CG137" s="364"/>
      <c r="CH137" s="364"/>
      <c r="CI137" s="364"/>
      <c r="CJ137" s="364"/>
      <c r="CK137" s="364"/>
      <c r="CL137" s="364"/>
      <c r="CM137" s="364"/>
      <c r="CN137" s="364"/>
      <c r="CO137" s="364"/>
      <c r="CP137" s="364"/>
      <c r="CQ137" s="364"/>
      <c r="CR137" s="364"/>
      <c r="CS137" s="364"/>
      <c r="CT137" s="364"/>
      <c r="CU137" s="364"/>
      <c r="CV137" s="364"/>
      <c r="CW137" s="364"/>
      <c r="CX137" s="364"/>
      <c r="CY137" s="364"/>
      <c r="CZ137" s="364"/>
      <c r="DA137" s="364"/>
      <c r="DB137" s="364"/>
      <c r="DC137" s="364"/>
      <c r="DD137" s="364"/>
      <c r="DE137" s="364"/>
      <c r="DF137" s="364"/>
      <c r="DG137" s="364"/>
      <c r="DH137" s="364"/>
      <c r="DI137" s="364"/>
      <c r="DJ137" s="364"/>
      <c r="DK137" s="364"/>
      <c r="DL137" s="364"/>
      <c r="DM137" s="364"/>
      <c r="DN137" s="364"/>
      <c r="DO137" s="364"/>
      <c r="DP137" s="364"/>
      <c r="DQ137" s="364"/>
      <c r="DR137" s="364"/>
      <c r="DS137" s="364"/>
      <c r="DT137" s="364"/>
      <c r="DU137" s="364"/>
      <c r="DV137" s="364"/>
      <c r="DW137" s="364"/>
      <c r="DX137" s="364"/>
      <c r="DY137" s="364"/>
    </row>
    <row r="138" spans="2:129" s="468" customFormat="1" x14ac:dyDescent="0.25">
      <c r="B138" s="469">
        <v>2032</v>
      </c>
      <c r="C138" s="466">
        <v>246243</v>
      </c>
      <c r="D138" s="462">
        <v>246244</v>
      </c>
      <c r="E138" s="461" t="s">
        <v>1046</v>
      </c>
      <c r="F138" s="462">
        <v>0</v>
      </c>
      <c r="G138" s="461"/>
      <c r="H138" s="461">
        <v>82978</v>
      </c>
      <c r="I138" s="461"/>
      <c r="J138" s="461">
        <v>2006</v>
      </c>
      <c r="K138" s="461"/>
      <c r="L138" s="461"/>
      <c r="M138" s="461" t="s">
        <v>962</v>
      </c>
      <c r="N138" s="465">
        <v>39114</v>
      </c>
      <c r="O138" s="465">
        <v>39114</v>
      </c>
      <c r="P138" s="461" t="s">
        <v>1043</v>
      </c>
      <c r="Q138" s="462">
        <v>1000</v>
      </c>
      <c r="R138" s="462">
        <v>14040</v>
      </c>
      <c r="S138" s="512">
        <v>900</v>
      </c>
      <c r="T138" s="462">
        <v>14046</v>
      </c>
      <c r="U138" s="505">
        <v>900</v>
      </c>
      <c r="V138" s="505">
        <f t="shared" si="61"/>
        <v>0</v>
      </c>
      <c r="W138" s="509">
        <v>0</v>
      </c>
      <c r="X138" s="462">
        <v>51260</v>
      </c>
      <c r="Y138" s="505">
        <v>0</v>
      </c>
      <c r="Z138" s="461" t="s">
        <v>701</v>
      </c>
      <c r="AA138" s="461"/>
      <c r="AB138" s="461">
        <v>5062</v>
      </c>
      <c r="AC138" s="461">
        <v>65</v>
      </c>
      <c r="AD138" s="461" t="s">
        <v>705</v>
      </c>
      <c r="AE138" s="461" t="s">
        <v>703</v>
      </c>
      <c r="AF138" s="462" t="s">
        <v>351</v>
      </c>
      <c r="AG138" s="467">
        <v>44196</v>
      </c>
      <c r="AH138" s="462" t="s">
        <v>707</v>
      </c>
      <c r="AI138" s="461">
        <v>0</v>
      </c>
      <c r="AJ138" s="461">
        <v>900</v>
      </c>
      <c r="AK138" s="364"/>
      <c r="AL138" s="364" t="s">
        <v>751</v>
      </c>
      <c r="AM138" s="490">
        <f t="shared" si="66"/>
        <v>2</v>
      </c>
      <c r="AN138" s="490">
        <f t="shared" si="67"/>
        <v>2007</v>
      </c>
      <c r="AO138" s="490">
        <f t="shared" si="62"/>
        <v>2017</v>
      </c>
      <c r="AP138" s="510">
        <f t="shared" si="68"/>
        <v>2017.1666666666667</v>
      </c>
      <c r="AQ138" s="351">
        <f t="shared" si="69"/>
        <v>7.5</v>
      </c>
      <c r="AR138" s="351">
        <f t="shared" si="70"/>
        <v>90</v>
      </c>
      <c r="AS138" s="351">
        <f t="shared" si="63"/>
        <v>0</v>
      </c>
      <c r="AT138" s="351">
        <f t="shared" si="64"/>
        <v>900</v>
      </c>
      <c r="AU138" s="351">
        <f t="shared" si="71"/>
        <v>900</v>
      </c>
      <c r="AV138" s="351">
        <f t="shared" si="65"/>
        <v>0</v>
      </c>
      <c r="AW138" s="491" t="s">
        <v>339</v>
      </c>
      <c r="AX138" s="364"/>
      <c r="AY138" s="364"/>
      <c r="AZ138" s="364"/>
      <c r="BA138" s="364"/>
      <c r="BB138" s="364"/>
      <c r="BC138" s="364"/>
      <c r="BD138" s="364"/>
      <c r="BE138" s="364"/>
      <c r="BF138" s="364"/>
      <c r="BG138" s="364"/>
      <c r="BH138" s="364"/>
      <c r="BI138" s="364"/>
      <c r="BJ138" s="364"/>
      <c r="BK138" s="364"/>
      <c r="BL138" s="364"/>
      <c r="BM138" s="364"/>
      <c r="BN138" s="364"/>
      <c r="BO138" s="364"/>
      <c r="BP138" s="364"/>
      <c r="BQ138" s="364"/>
      <c r="BR138" s="364"/>
      <c r="BS138" s="364"/>
      <c r="BT138" s="364"/>
      <c r="BU138" s="364"/>
      <c r="BV138" s="364"/>
      <c r="BW138" s="364"/>
      <c r="BX138" s="364"/>
      <c r="BY138" s="364"/>
      <c r="BZ138" s="364"/>
      <c r="CA138" s="364"/>
      <c r="CB138" s="364"/>
      <c r="CC138" s="364"/>
      <c r="CD138" s="364"/>
      <c r="CE138" s="364"/>
      <c r="CF138" s="364"/>
      <c r="CG138" s="364"/>
      <c r="CH138" s="364"/>
      <c r="CI138" s="364"/>
      <c r="CJ138" s="364"/>
      <c r="CK138" s="364"/>
      <c r="CL138" s="364"/>
      <c r="CM138" s="364"/>
      <c r="CN138" s="364"/>
      <c r="CO138" s="364"/>
      <c r="CP138" s="364"/>
      <c r="CQ138" s="364"/>
      <c r="CR138" s="364"/>
      <c r="CS138" s="364"/>
      <c r="CT138" s="364"/>
      <c r="CU138" s="364"/>
      <c r="CV138" s="364"/>
      <c r="CW138" s="364"/>
      <c r="CX138" s="364"/>
      <c r="CY138" s="364"/>
      <c r="CZ138" s="364"/>
      <c r="DA138" s="364"/>
      <c r="DB138" s="364"/>
      <c r="DC138" s="364"/>
      <c r="DD138" s="364"/>
      <c r="DE138" s="364"/>
      <c r="DF138" s="364"/>
      <c r="DG138" s="364"/>
      <c r="DH138" s="364"/>
      <c r="DI138" s="364"/>
      <c r="DJ138" s="364"/>
      <c r="DK138" s="364"/>
      <c r="DL138" s="364"/>
      <c r="DM138" s="364"/>
      <c r="DN138" s="364"/>
      <c r="DO138" s="364"/>
      <c r="DP138" s="364"/>
      <c r="DQ138" s="364"/>
      <c r="DR138" s="364"/>
      <c r="DS138" s="364"/>
      <c r="DT138" s="364"/>
      <c r="DU138" s="364"/>
      <c r="DV138" s="364"/>
      <c r="DW138" s="364"/>
      <c r="DX138" s="364"/>
      <c r="DY138" s="364"/>
    </row>
    <row r="139" spans="2:129" s="468" customFormat="1" x14ac:dyDescent="0.25">
      <c r="B139" s="469">
        <v>2032</v>
      </c>
      <c r="C139" s="466">
        <v>246242</v>
      </c>
      <c r="D139" s="462">
        <v>246244</v>
      </c>
      <c r="E139" s="461" t="s">
        <v>1045</v>
      </c>
      <c r="F139" s="462">
        <v>0</v>
      </c>
      <c r="G139" s="461"/>
      <c r="H139" s="461" t="s">
        <v>1044</v>
      </c>
      <c r="I139" s="461"/>
      <c r="J139" s="461">
        <v>2006</v>
      </c>
      <c r="K139" s="461"/>
      <c r="L139" s="461"/>
      <c r="M139" s="461" t="s">
        <v>955</v>
      </c>
      <c r="N139" s="465">
        <v>39083</v>
      </c>
      <c r="O139" s="465">
        <v>39083</v>
      </c>
      <c r="P139" s="461" t="s">
        <v>1043</v>
      </c>
      <c r="Q139" s="462">
        <v>911</v>
      </c>
      <c r="R139" s="462">
        <v>14040</v>
      </c>
      <c r="S139" s="512">
        <v>16367</v>
      </c>
      <c r="T139" s="462">
        <v>14046</v>
      </c>
      <c r="U139" s="505">
        <v>16367</v>
      </c>
      <c r="V139" s="505">
        <f t="shared" si="61"/>
        <v>0</v>
      </c>
      <c r="W139" s="509">
        <v>0</v>
      </c>
      <c r="X139" s="462">
        <v>51260</v>
      </c>
      <c r="Y139" s="505">
        <v>0</v>
      </c>
      <c r="Z139" s="461" t="s">
        <v>701</v>
      </c>
      <c r="AA139" s="461"/>
      <c r="AB139" s="461">
        <v>2187965</v>
      </c>
      <c r="AC139" s="461">
        <v>65</v>
      </c>
      <c r="AD139" s="461" t="s">
        <v>705</v>
      </c>
      <c r="AE139" s="461" t="s">
        <v>703</v>
      </c>
      <c r="AF139" s="462" t="s">
        <v>351</v>
      </c>
      <c r="AG139" s="467">
        <v>44196</v>
      </c>
      <c r="AH139" s="462" t="s">
        <v>707</v>
      </c>
      <c r="AI139" s="461">
        <v>0</v>
      </c>
      <c r="AJ139" s="461">
        <v>16367</v>
      </c>
      <c r="AK139" s="364"/>
      <c r="AL139" s="364" t="s">
        <v>751</v>
      </c>
      <c r="AM139" s="490">
        <f t="shared" si="66"/>
        <v>1</v>
      </c>
      <c r="AN139" s="490">
        <f t="shared" si="67"/>
        <v>2007</v>
      </c>
      <c r="AO139" s="490">
        <f t="shared" si="62"/>
        <v>2016.11</v>
      </c>
      <c r="AP139" s="510">
        <f t="shared" si="68"/>
        <v>2016.1933333333332</v>
      </c>
      <c r="AQ139" s="351">
        <f t="shared" si="69"/>
        <v>149.71642883278449</v>
      </c>
      <c r="AR139" s="351">
        <f t="shared" si="70"/>
        <v>1796.597145993414</v>
      </c>
      <c r="AS139" s="351">
        <f t="shared" si="63"/>
        <v>0</v>
      </c>
      <c r="AT139" s="351">
        <f t="shared" si="64"/>
        <v>16367</v>
      </c>
      <c r="AU139" s="351">
        <f t="shared" si="71"/>
        <v>16367</v>
      </c>
      <c r="AV139" s="351">
        <f t="shared" si="65"/>
        <v>0</v>
      </c>
      <c r="AW139" s="491" t="s">
        <v>339</v>
      </c>
      <c r="AX139" s="364"/>
      <c r="AY139" s="364"/>
      <c r="AZ139" s="364"/>
      <c r="BA139" s="364"/>
      <c r="BB139" s="364"/>
      <c r="BC139" s="364"/>
      <c r="BD139" s="364"/>
      <c r="BE139" s="364"/>
      <c r="BF139" s="364"/>
      <c r="BG139" s="364"/>
      <c r="BH139" s="364"/>
      <c r="BI139" s="364"/>
      <c r="BJ139" s="364"/>
      <c r="BK139" s="364"/>
      <c r="BL139" s="364"/>
      <c r="BM139" s="364"/>
      <c r="BN139" s="364"/>
      <c r="BO139" s="364"/>
      <c r="BP139" s="364"/>
      <c r="BQ139" s="364"/>
      <c r="BR139" s="364"/>
      <c r="BS139" s="364"/>
      <c r="BT139" s="364"/>
      <c r="BU139" s="364"/>
      <c r="BV139" s="364"/>
      <c r="BW139" s="364"/>
      <c r="BX139" s="364"/>
      <c r="BY139" s="364"/>
      <c r="BZ139" s="364"/>
      <c r="CA139" s="364"/>
      <c r="CB139" s="364"/>
      <c r="CC139" s="364"/>
      <c r="CD139" s="364"/>
      <c r="CE139" s="364"/>
      <c r="CF139" s="364"/>
      <c r="CG139" s="364"/>
      <c r="CH139" s="364"/>
      <c r="CI139" s="364"/>
      <c r="CJ139" s="364"/>
      <c r="CK139" s="364"/>
      <c r="CL139" s="364"/>
      <c r="CM139" s="364"/>
      <c r="CN139" s="364"/>
      <c r="CO139" s="364"/>
      <c r="CP139" s="364"/>
      <c r="CQ139" s="364"/>
      <c r="CR139" s="364"/>
      <c r="CS139" s="364"/>
      <c r="CT139" s="364"/>
      <c r="CU139" s="364"/>
      <c r="CV139" s="364"/>
      <c r="CW139" s="364"/>
      <c r="CX139" s="364"/>
      <c r="CY139" s="364"/>
      <c r="CZ139" s="364"/>
      <c r="DA139" s="364"/>
      <c r="DB139" s="364"/>
      <c r="DC139" s="364"/>
      <c r="DD139" s="364"/>
      <c r="DE139" s="364"/>
      <c r="DF139" s="364"/>
      <c r="DG139" s="364"/>
      <c r="DH139" s="364"/>
      <c r="DI139" s="364"/>
      <c r="DJ139" s="364"/>
      <c r="DK139" s="364"/>
      <c r="DL139" s="364"/>
      <c r="DM139" s="364"/>
      <c r="DN139" s="364"/>
      <c r="DO139" s="364"/>
      <c r="DP139" s="364"/>
      <c r="DQ139" s="364"/>
      <c r="DR139" s="364"/>
      <c r="DS139" s="364"/>
      <c r="DT139" s="364"/>
      <c r="DU139" s="364"/>
      <c r="DV139" s="364"/>
      <c r="DW139" s="364"/>
      <c r="DX139" s="364"/>
      <c r="DY139" s="364"/>
    </row>
    <row r="140" spans="2:129" s="468" customFormat="1" x14ac:dyDescent="0.25">
      <c r="B140" s="469">
        <v>2032</v>
      </c>
      <c r="C140" s="466">
        <v>245863</v>
      </c>
      <c r="D140" s="462" t="s">
        <v>701</v>
      </c>
      <c r="E140" s="461" t="s">
        <v>1042</v>
      </c>
      <c r="F140" s="462"/>
      <c r="G140" s="461"/>
      <c r="H140" s="461"/>
      <c r="I140" s="461"/>
      <c r="J140" s="461">
        <v>0</v>
      </c>
      <c r="K140" s="461" t="s">
        <v>1041</v>
      </c>
      <c r="L140" s="461"/>
      <c r="M140" s="461"/>
      <c r="N140" s="465">
        <v>44197</v>
      </c>
      <c r="O140" s="465">
        <v>44197</v>
      </c>
      <c r="P140" s="461" t="s">
        <v>899</v>
      </c>
      <c r="Q140" s="462">
        <v>300</v>
      </c>
      <c r="R140" s="462">
        <v>14110</v>
      </c>
      <c r="S140" s="512">
        <v>3502.44</v>
      </c>
      <c r="T140" s="462">
        <v>14116</v>
      </c>
      <c r="U140" s="505">
        <v>2140.38</v>
      </c>
      <c r="V140" s="505">
        <f t="shared" si="61"/>
        <v>1362.06</v>
      </c>
      <c r="W140" s="509">
        <v>972.9</v>
      </c>
      <c r="X140" s="462">
        <v>70260</v>
      </c>
      <c r="Y140" s="505">
        <v>97.29</v>
      </c>
      <c r="Z140" s="461" t="s">
        <v>701</v>
      </c>
      <c r="AA140" s="461"/>
      <c r="AB140" s="461">
        <v>4021</v>
      </c>
      <c r="AC140" s="461"/>
      <c r="AD140" s="461" t="s">
        <v>705</v>
      </c>
      <c r="AE140" s="461" t="s">
        <v>703</v>
      </c>
      <c r="AF140" s="462" t="s">
        <v>351</v>
      </c>
      <c r="AG140" s="461"/>
      <c r="AH140" s="462" t="s">
        <v>707</v>
      </c>
      <c r="AI140" s="461">
        <v>0</v>
      </c>
      <c r="AJ140" s="461">
        <v>0</v>
      </c>
      <c r="AK140" s="364"/>
      <c r="AL140" s="364" t="s">
        <v>303</v>
      </c>
      <c r="AM140" s="490">
        <f t="shared" si="66"/>
        <v>1</v>
      </c>
      <c r="AN140" s="490">
        <f t="shared" si="67"/>
        <v>2021</v>
      </c>
      <c r="AO140" s="490">
        <f t="shared" si="62"/>
        <v>2024</v>
      </c>
      <c r="AP140" s="510">
        <f t="shared" si="68"/>
        <v>2024.0833333333333</v>
      </c>
      <c r="AQ140" s="351">
        <f t="shared" si="69"/>
        <v>97.29</v>
      </c>
      <c r="AR140" s="351">
        <f t="shared" si="70"/>
        <v>1167.48</v>
      </c>
      <c r="AS140" s="351">
        <f t="shared" si="63"/>
        <v>1167.48</v>
      </c>
      <c r="AT140" s="351">
        <f t="shared" si="64"/>
        <v>1167.48</v>
      </c>
      <c r="AU140" s="351">
        <f t="shared" si="71"/>
        <v>2334.96</v>
      </c>
      <c r="AV140" s="351">
        <f t="shared" si="65"/>
        <v>1167.48</v>
      </c>
      <c r="AW140" s="491" t="s">
        <v>339</v>
      </c>
      <c r="AX140" s="364"/>
      <c r="AY140" s="364"/>
      <c r="AZ140" s="364"/>
      <c r="BA140" s="364"/>
      <c r="BB140" s="364"/>
      <c r="BC140" s="364"/>
      <c r="BD140" s="364"/>
      <c r="BE140" s="364"/>
      <c r="BF140" s="364"/>
      <c r="BG140" s="364"/>
      <c r="BH140" s="364"/>
      <c r="BI140" s="364"/>
      <c r="BJ140" s="364"/>
      <c r="BK140" s="364"/>
      <c r="BL140" s="364"/>
      <c r="BM140" s="364"/>
      <c r="BN140" s="364"/>
      <c r="BO140" s="364"/>
      <c r="BP140" s="364"/>
      <c r="BQ140" s="364"/>
      <c r="BR140" s="364"/>
      <c r="BS140" s="364"/>
      <c r="BT140" s="364"/>
      <c r="BU140" s="364"/>
      <c r="BV140" s="364"/>
      <c r="BW140" s="364"/>
      <c r="BX140" s="364"/>
      <c r="BY140" s="364"/>
      <c r="BZ140" s="364"/>
      <c r="CA140" s="364"/>
      <c r="CB140" s="364"/>
      <c r="CC140" s="364"/>
      <c r="CD140" s="364"/>
      <c r="CE140" s="364"/>
      <c r="CF140" s="364"/>
      <c r="CG140" s="364"/>
      <c r="CH140" s="364"/>
      <c r="CI140" s="364"/>
      <c r="CJ140" s="364"/>
      <c r="CK140" s="364"/>
      <c r="CL140" s="364"/>
      <c r="CM140" s="364"/>
      <c r="CN140" s="364"/>
      <c r="CO140" s="364"/>
      <c r="CP140" s="364"/>
      <c r="CQ140" s="364"/>
      <c r="CR140" s="364"/>
      <c r="CS140" s="364"/>
      <c r="CT140" s="364"/>
      <c r="CU140" s="364"/>
      <c r="CV140" s="364"/>
      <c r="CW140" s="364"/>
      <c r="CX140" s="364"/>
      <c r="CY140" s="364"/>
      <c r="CZ140" s="364"/>
      <c r="DA140" s="364"/>
      <c r="DB140" s="364"/>
      <c r="DC140" s="364"/>
      <c r="DD140" s="364"/>
      <c r="DE140" s="364"/>
      <c r="DF140" s="364"/>
      <c r="DG140" s="364"/>
      <c r="DH140" s="364"/>
      <c r="DI140" s="364"/>
      <c r="DJ140" s="364"/>
      <c r="DK140" s="364"/>
      <c r="DL140" s="364"/>
      <c r="DM140" s="364"/>
      <c r="DN140" s="364"/>
      <c r="DO140" s="364"/>
      <c r="DP140" s="364"/>
      <c r="DQ140" s="364"/>
      <c r="DR140" s="364"/>
      <c r="DS140" s="364"/>
      <c r="DT140" s="364"/>
      <c r="DU140" s="364"/>
      <c r="DV140" s="364"/>
      <c r="DW140" s="364"/>
      <c r="DX140" s="364"/>
      <c r="DY140" s="364"/>
    </row>
    <row r="141" spans="2:129" x14ac:dyDescent="0.25">
      <c r="B141" s="462">
        <v>2032</v>
      </c>
      <c r="C141" s="466">
        <v>244750</v>
      </c>
      <c r="D141" s="462" t="s">
        <v>701</v>
      </c>
      <c r="E141" s="461" t="s">
        <v>1040</v>
      </c>
      <c r="F141" s="462"/>
      <c r="G141" s="461"/>
      <c r="H141" s="461"/>
      <c r="I141" s="461"/>
      <c r="J141" s="461">
        <v>0</v>
      </c>
      <c r="K141" s="461" t="s">
        <v>1039</v>
      </c>
      <c r="L141" s="461"/>
      <c r="M141" s="461"/>
      <c r="N141" s="465">
        <v>44180</v>
      </c>
      <c r="O141" s="465">
        <v>44180</v>
      </c>
      <c r="P141" s="461" t="s">
        <v>1029</v>
      </c>
      <c r="Q141" s="462">
        <v>100</v>
      </c>
      <c r="R141" s="462">
        <v>14110</v>
      </c>
      <c r="S141" s="513">
        <v>6918.48</v>
      </c>
      <c r="T141" s="462">
        <v>14116</v>
      </c>
      <c r="U141" s="463">
        <v>6918.48</v>
      </c>
      <c r="V141" s="463">
        <f t="shared" si="61"/>
        <v>0</v>
      </c>
      <c r="W141" s="464">
        <v>0</v>
      </c>
      <c r="X141" s="462">
        <v>70260</v>
      </c>
      <c r="Y141" s="463">
        <v>0</v>
      </c>
      <c r="Z141" s="461" t="s">
        <v>701</v>
      </c>
      <c r="AA141" s="461"/>
      <c r="AB141" s="461" t="s">
        <v>1038</v>
      </c>
      <c r="AC141" s="461"/>
      <c r="AD141" s="461" t="s">
        <v>705</v>
      </c>
      <c r="AE141" s="461" t="s">
        <v>703</v>
      </c>
      <c r="AF141" s="462" t="s">
        <v>351</v>
      </c>
      <c r="AG141" s="461"/>
      <c r="AH141" s="462" t="s">
        <v>707</v>
      </c>
      <c r="AI141" s="461">
        <v>0</v>
      </c>
      <c r="AJ141" s="461">
        <v>0</v>
      </c>
      <c r="AL141" s="364">
        <v>0</v>
      </c>
      <c r="AM141" s="364">
        <v>0</v>
      </c>
      <c r="AN141" s="364">
        <v>0</v>
      </c>
      <c r="AO141" s="364">
        <v>0</v>
      </c>
      <c r="AP141" s="460">
        <v>0</v>
      </c>
      <c r="AQ141" s="511">
        <v>0</v>
      </c>
      <c r="AR141" s="511">
        <v>0</v>
      </c>
      <c r="AS141" s="511">
        <v>0</v>
      </c>
      <c r="AT141" s="511">
        <v>0</v>
      </c>
      <c r="AU141" s="511">
        <v>0</v>
      </c>
      <c r="AV141" s="511">
        <v>0</v>
      </c>
      <c r="AW141" s="364" t="s">
        <v>1309</v>
      </c>
    </row>
    <row r="142" spans="2:129" x14ac:dyDescent="0.25">
      <c r="B142" s="462">
        <v>2032</v>
      </c>
      <c r="C142" s="466">
        <v>244540</v>
      </c>
      <c r="D142" s="462" t="s">
        <v>701</v>
      </c>
      <c r="E142" s="461" t="s">
        <v>1037</v>
      </c>
      <c r="F142" s="462"/>
      <c r="G142" s="461"/>
      <c r="H142" s="461" t="s">
        <v>1036</v>
      </c>
      <c r="I142" s="461"/>
      <c r="J142" s="461">
        <v>2020</v>
      </c>
      <c r="K142" s="461" t="s">
        <v>1035</v>
      </c>
      <c r="L142" s="461" t="s">
        <v>1035</v>
      </c>
      <c r="M142" s="461" t="s">
        <v>1034</v>
      </c>
      <c r="N142" s="465">
        <v>44196</v>
      </c>
      <c r="O142" s="465">
        <v>44196</v>
      </c>
      <c r="P142" s="461" t="s">
        <v>1033</v>
      </c>
      <c r="Q142" s="462">
        <v>1000</v>
      </c>
      <c r="R142" s="462">
        <v>14030</v>
      </c>
      <c r="S142" s="513">
        <v>45402</v>
      </c>
      <c r="T142" s="462">
        <v>14036</v>
      </c>
      <c r="U142" s="463">
        <v>8323.7000000000007</v>
      </c>
      <c r="V142" s="463">
        <f t="shared" si="61"/>
        <v>37078.300000000003</v>
      </c>
      <c r="W142" s="464">
        <v>3783.5</v>
      </c>
      <c r="X142" s="462">
        <v>51260</v>
      </c>
      <c r="Y142" s="463">
        <v>378.35</v>
      </c>
      <c r="Z142" s="461" t="s">
        <v>701</v>
      </c>
      <c r="AA142" s="461"/>
      <c r="AB142" s="461" t="s">
        <v>1032</v>
      </c>
      <c r="AC142" s="461"/>
      <c r="AD142" s="461" t="s">
        <v>705</v>
      </c>
      <c r="AE142" s="461" t="s">
        <v>703</v>
      </c>
      <c r="AF142" s="462" t="s">
        <v>351</v>
      </c>
      <c r="AG142" s="461"/>
      <c r="AH142" s="462" t="s">
        <v>707</v>
      </c>
      <c r="AI142" s="461">
        <v>0</v>
      </c>
      <c r="AJ142" s="461">
        <v>0</v>
      </c>
      <c r="AL142" s="364">
        <v>0</v>
      </c>
      <c r="AM142" s="364">
        <v>0</v>
      </c>
      <c r="AN142" s="364">
        <v>0</v>
      </c>
      <c r="AO142" s="364">
        <v>0</v>
      </c>
      <c r="AP142" s="460">
        <v>0</v>
      </c>
      <c r="AQ142" s="511">
        <v>0</v>
      </c>
      <c r="AR142" s="511">
        <v>0</v>
      </c>
      <c r="AS142" s="511">
        <v>0</v>
      </c>
      <c r="AT142" s="511">
        <v>0</v>
      </c>
      <c r="AU142" s="511">
        <v>0</v>
      </c>
      <c r="AV142" s="511">
        <v>0</v>
      </c>
      <c r="AW142" s="364" t="s">
        <v>1309</v>
      </c>
    </row>
    <row r="143" spans="2:129" x14ac:dyDescent="0.25">
      <c r="B143" s="462">
        <v>2032</v>
      </c>
      <c r="C143" s="466">
        <v>243952</v>
      </c>
      <c r="D143" s="462" t="s">
        <v>701</v>
      </c>
      <c r="E143" s="461" t="s">
        <v>1031</v>
      </c>
      <c r="F143" s="462">
        <v>37</v>
      </c>
      <c r="G143" s="461"/>
      <c r="H143" s="461"/>
      <c r="I143" s="461"/>
      <c r="J143" s="461">
        <v>0</v>
      </c>
      <c r="K143" s="461" t="s">
        <v>1030</v>
      </c>
      <c r="L143" s="461"/>
      <c r="M143" s="461"/>
      <c r="N143" s="465">
        <v>44180</v>
      </c>
      <c r="O143" s="465">
        <v>44180</v>
      </c>
      <c r="P143" s="461" t="s">
        <v>1029</v>
      </c>
      <c r="Q143" s="462">
        <v>100</v>
      </c>
      <c r="R143" s="462">
        <v>14110</v>
      </c>
      <c r="S143" s="513">
        <v>25410</v>
      </c>
      <c r="T143" s="462">
        <v>14116</v>
      </c>
      <c r="U143" s="463">
        <v>25410</v>
      </c>
      <c r="V143" s="463">
        <f t="shared" si="61"/>
        <v>0</v>
      </c>
      <c r="W143" s="464">
        <v>0</v>
      </c>
      <c r="X143" s="462">
        <v>70260</v>
      </c>
      <c r="Y143" s="463">
        <v>0</v>
      </c>
      <c r="Z143" s="461" t="s">
        <v>701</v>
      </c>
      <c r="AA143" s="461"/>
      <c r="AB143" s="461">
        <v>13384</v>
      </c>
      <c r="AC143" s="461"/>
      <c r="AD143" s="461" t="s">
        <v>705</v>
      </c>
      <c r="AE143" s="461" t="s">
        <v>703</v>
      </c>
      <c r="AF143" s="462" t="s">
        <v>351</v>
      </c>
      <c r="AG143" s="461"/>
      <c r="AH143" s="462" t="s">
        <v>707</v>
      </c>
      <c r="AI143" s="461">
        <v>0</v>
      </c>
      <c r="AJ143" s="461">
        <v>0</v>
      </c>
      <c r="AL143" s="364">
        <v>0</v>
      </c>
      <c r="AM143" s="364">
        <v>0</v>
      </c>
      <c r="AN143" s="364">
        <v>0</v>
      </c>
      <c r="AO143" s="364">
        <v>0</v>
      </c>
      <c r="AP143" s="460">
        <v>0</v>
      </c>
      <c r="AQ143" s="511">
        <v>0</v>
      </c>
      <c r="AR143" s="511">
        <v>0</v>
      </c>
      <c r="AS143" s="511">
        <v>0</v>
      </c>
      <c r="AT143" s="511">
        <v>0</v>
      </c>
      <c r="AU143" s="511">
        <v>0</v>
      </c>
      <c r="AV143" s="511">
        <v>0</v>
      </c>
      <c r="AW143" s="364" t="s">
        <v>1309</v>
      </c>
    </row>
    <row r="144" spans="2:129" x14ac:dyDescent="0.25">
      <c r="B144" s="462">
        <v>2032</v>
      </c>
      <c r="C144" s="466">
        <v>242539</v>
      </c>
      <c r="D144" s="462" t="s">
        <v>701</v>
      </c>
      <c r="E144" s="461" t="s">
        <v>1028</v>
      </c>
      <c r="F144" s="462"/>
      <c r="G144" s="461"/>
      <c r="H144" s="461"/>
      <c r="I144" s="461"/>
      <c r="J144" s="461">
        <v>0</v>
      </c>
      <c r="K144" s="461"/>
      <c r="L144" s="461"/>
      <c r="M144" s="461"/>
      <c r="N144" s="465">
        <v>44136</v>
      </c>
      <c r="O144" s="465">
        <v>44136</v>
      </c>
      <c r="P144" s="461"/>
      <c r="Q144" s="462">
        <v>0</v>
      </c>
      <c r="R144" s="462">
        <v>15110</v>
      </c>
      <c r="S144" s="513">
        <v>-25315.16</v>
      </c>
      <c r="T144" s="462">
        <v>15120</v>
      </c>
      <c r="U144" s="463">
        <v>0</v>
      </c>
      <c r="V144" s="463">
        <f t="shared" si="61"/>
        <v>-25315.16</v>
      </c>
      <c r="W144" s="464">
        <v>0</v>
      </c>
      <c r="X144" s="462">
        <v>0</v>
      </c>
      <c r="Y144" s="463">
        <v>0</v>
      </c>
      <c r="Z144" s="461" t="s">
        <v>703</v>
      </c>
      <c r="AA144" s="461" t="s">
        <v>704</v>
      </c>
      <c r="AB144" s="461"/>
      <c r="AC144" s="461"/>
      <c r="AD144" s="461" t="s">
        <v>705</v>
      </c>
      <c r="AE144" s="461" t="s">
        <v>703</v>
      </c>
      <c r="AF144" s="462" t="s">
        <v>706</v>
      </c>
      <c r="AG144" s="461"/>
      <c r="AH144" s="462" t="s">
        <v>707</v>
      </c>
      <c r="AI144" s="461">
        <v>0</v>
      </c>
      <c r="AJ144" s="461">
        <v>0</v>
      </c>
      <c r="AL144" s="364">
        <v>0</v>
      </c>
      <c r="AM144" s="364">
        <v>0</v>
      </c>
      <c r="AN144" s="364">
        <v>0</v>
      </c>
      <c r="AO144" s="364">
        <v>0</v>
      </c>
      <c r="AP144" s="460">
        <v>0</v>
      </c>
      <c r="AQ144" s="511">
        <v>0</v>
      </c>
      <c r="AR144" s="511">
        <v>0</v>
      </c>
      <c r="AS144" s="511">
        <v>0</v>
      </c>
      <c r="AT144" s="511">
        <v>0</v>
      </c>
      <c r="AU144" s="511">
        <v>0</v>
      </c>
      <c r="AV144" s="511">
        <v>0</v>
      </c>
      <c r="AW144" s="364" t="s">
        <v>1309</v>
      </c>
    </row>
    <row r="145" spans="2:49" x14ac:dyDescent="0.25">
      <c r="B145" s="462">
        <v>2032</v>
      </c>
      <c r="C145" s="466">
        <v>242140</v>
      </c>
      <c r="D145" s="462" t="s">
        <v>701</v>
      </c>
      <c r="E145" s="461" t="s">
        <v>1027</v>
      </c>
      <c r="F145" s="462">
        <v>60</v>
      </c>
      <c r="G145" s="461"/>
      <c r="H145" s="461"/>
      <c r="I145" s="461"/>
      <c r="J145" s="461">
        <v>0</v>
      </c>
      <c r="K145" s="461" t="s">
        <v>1018</v>
      </c>
      <c r="L145" s="461"/>
      <c r="M145" s="461"/>
      <c r="N145" s="465">
        <v>37134</v>
      </c>
      <c r="O145" s="465"/>
      <c r="P145" s="461" t="s">
        <v>1026</v>
      </c>
      <c r="Q145" s="462">
        <v>700</v>
      </c>
      <c r="R145" s="462">
        <v>14050</v>
      </c>
      <c r="S145" s="513">
        <v>1530</v>
      </c>
      <c r="T145" s="462">
        <v>14056</v>
      </c>
      <c r="U145" s="463">
        <v>1530</v>
      </c>
      <c r="V145" s="463">
        <f t="shared" si="61"/>
        <v>0</v>
      </c>
      <c r="W145" s="464">
        <v>0</v>
      </c>
      <c r="X145" s="462">
        <v>54260</v>
      </c>
      <c r="Y145" s="463">
        <v>0</v>
      </c>
      <c r="Z145" s="461" t="s">
        <v>701</v>
      </c>
      <c r="AA145" s="461"/>
      <c r="AB145" s="461" t="s">
        <v>1025</v>
      </c>
      <c r="AC145" s="461"/>
      <c r="AD145" s="461" t="s">
        <v>705</v>
      </c>
      <c r="AE145" s="461" t="s">
        <v>703</v>
      </c>
      <c r="AF145" s="462" t="s">
        <v>351</v>
      </c>
      <c r="AG145" s="467">
        <v>44135</v>
      </c>
      <c r="AH145" s="462" t="s">
        <v>707</v>
      </c>
      <c r="AI145" s="461">
        <v>0</v>
      </c>
      <c r="AJ145" s="461">
        <v>1530</v>
      </c>
      <c r="AL145" s="364">
        <v>0</v>
      </c>
      <c r="AM145" s="364">
        <v>0</v>
      </c>
      <c r="AN145" s="364">
        <v>0</v>
      </c>
      <c r="AO145" s="364">
        <v>0</v>
      </c>
      <c r="AP145" s="460">
        <v>0</v>
      </c>
      <c r="AQ145" s="511">
        <v>0</v>
      </c>
      <c r="AR145" s="511">
        <v>0</v>
      </c>
      <c r="AS145" s="511">
        <v>0</v>
      </c>
      <c r="AT145" s="511">
        <v>0</v>
      </c>
      <c r="AU145" s="511">
        <v>0</v>
      </c>
      <c r="AV145" s="511">
        <v>0</v>
      </c>
      <c r="AW145" s="364" t="s">
        <v>1309</v>
      </c>
    </row>
    <row r="146" spans="2:49" x14ac:dyDescent="0.25">
      <c r="B146" s="462">
        <v>2032</v>
      </c>
      <c r="C146" s="466">
        <v>242139</v>
      </c>
      <c r="D146" s="462" t="s">
        <v>701</v>
      </c>
      <c r="E146" s="461" t="s">
        <v>1024</v>
      </c>
      <c r="F146" s="462">
        <v>12</v>
      </c>
      <c r="G146" s="461"/>
      <c r="H146" s="461" t="s">
        <v>1023</v>
      </c>
      <c r="I146" s="461"/>
      <c r="J146" s="461">
        <v>0</v>
      </c>
      <c r="K146" s="461" t="s">
        <v>1022</v>
      </c>
      <c r="L146" s="461"/>
      <c r="M146" s="461"/>
      <c r="N146" s="465">
        <v>36987</v>
      </c>
      <c r="O146" s="465"/>
      <c r="P146" s="461" t="s">
        <v>1021</v>
      </c>
      <c r="Q146" s="462">
        <v>1000</v>
      </c>
      <c r="R146" s="462">
        <v>14050</v>
      </c>
      <c r="S146" s="513">
        <v>444</v>
      </c>
      <c r="T146" s="462">
        <v>14056</v>
      </c>
      <c r="U146" s="463">
        <v>444</v>
      </c>
      <c r="V146" s="463">
        <f t="shared" si="61"/>
        <v>0</v>
      </c>
      <c r="W146" s="464">
        <v>0</v>
      </c>
      <c r="X146" s="462">
        <v>54260</v>
      </c>
      <c r="Y146" s="463">
        <v>0</v>
      </c>
      <c r="Z146" s="461" t="s">
        <v>701</v>
      </c>
      <c r="AA146" s="461"/>
      <c r="AB146" s="461">
        <v>45304</v>
      </c>
      <c r="AC146" s="461"/>
      <c r="AD146" s="461" t="s">
        <v>705</v>
      </c>
      <c r="AE146" s="461" t="s">
        <v>703</v>
      </c>
      <c r="AF146" s="462" t="s">
        <v>351</v>
      </c>
      <c r="AG146" s="467">
        <v>44135</v>
      </c>
      <c r="AH146" s="462" t="s">
        <v>707</v>
      </c>
      <c r="AI146" s="461">
        <v>0</v>
      </c>
      <c r="AJ146" s="461">
        <v>444</v>
      </c>
      <c r="AL146" s="364">
        <v>0</v>
      </c>
      <c r="AM146" s="364">
        <v>0</v>
      </c>
      <c r="AN146" s="364">
        <v>0</v>
      </c>
      <c r="AO146" s="364">
        <v>0</v>
      </c>
      <c r="AP146" s="460">
        <v>0</v>
      </c>
      <c r="AQ146" s="511">
        <v>0</v>
      </c>
      <c r="AR146" s="511">
        <v>0</v>
      </c>
      <c r="AS146" s="511">
        <v>0</v>
      </c>
      <c r="AT146" s="511">
        <v>0</v>
      </c>
      <c r="AU146" s="511">
        <v>0</v>
      </c>
      <c r="AV146" s="511">
        <v>0</v>
      </c>
      <c r="AW146" s="364" t="s">
        <v>1309</v>
      </c>
    </row>
    <row r="147" spans="2:49" x14ac:dyDescent="0.25">
      <c r="B147" s="462">
        <v>2032</v>
      </c>
      <c r="C147" s="466">
        <v>242138</v>
      </c>
      <c r="D147" s="462" t="s">
        <v>701</v>
      </c>
      <c r="E147" s="461" t="s">
        <v>1020</v>
      </c>
      <c r="F147" s="462">
        <v>25</v>
      </c>
      <c r="G147" s="461"/>
      <c r="H147" s="461" t="s">
        <v>1019</v>
      </c>
      <c r="I147" s="461"/>
      <c r="J147" s="461">
        <v>0</v>
      </c>
      <c r="K147" s="461" t="s">
        <v>1018</v>
      </c>
      <c r="L147" s="461"/>
      <c r="M147" s="461"/>
      <c r="N147" s="465">
        <v>37346</v>
      </c>
      <c r="O147" s="465"/>
      <c r="P147" s="461" t="s">
        <v>1017</v>
      </c>
      <c r="Q147" s="462">
        <v>700</v>
      </c>
      <c r="R147" s="462">
        <v>14050</v>
      </c>
      <c r="S147" s="513">
        <v>608.70000000000005</v>
      </c>
      <c r="T147" s="462">
        <v>14056</v>
      </c>
      <c r="U147" s="463">
        <v>608.70000000000005</v>
      </c>
      <c r="V147" s="463">
        <f t="shared" si="61"/>
        <v>0</v>
      </c>
      <c r="W147" s="464">
        <v>0</v>
      </c>
      <c r="X147" s="462">
        <v>54260</v>
      </c>
      <c r="Y147" s="463">
        <v>0</v>
      </c>
      <c r="Z147" s="461" t="s">
        <v>701</v>
      </c>
      <c r="AA147" s="461"/>
      <c r="AB147" s="461" t="s">
        <v>1016</v>
      </c>
      <c r="AC147" s="461"/>
      <c r="AD147" s="461" t="s">
        <v>705</v>
      </c>
      <c r="AE147" s="461" t="s">
        <v>703</v>
      </c>
      <c r="AF147" s="462" t="s">
        <v>351</v>
      </c>
      <c r="AG147" s="467">
        <v>44135</v>
      </c>
      <c r="AH147" s="462" t="s">
        <v>707</v>
      </c>
      <c r="AI147" s="461">
        <v>0</v>
      </c>
      <c r="AJ147" s="461">
        <v>608.70000000000005</v>
      </c>
      <c r="AL147" s="364">
        <v>0</v>
      </c>
      <c r="AM147" s="364">
        <v>0</v>
      </c>
      <c r="AN147" s="364">
        <v>0</v>
      </c>
      <c r="AO147" s="364">
        <v>0</v>
      </c>
      <c r="AP147" s="460">
        <v>0</v>
      </c>
      <c r="AQ147" s="511">
        <v>0</v>
      </c>
      <c r="AR147" s="511">
        <v>0</v>
      </c>
      <c r="AS147" s="511">
        <v>0</v>
      </c>
      <c r="AT147" s="511">
        <v>0</v>
      </c>
      <c r="AU147" s="511">
        <v>0</v>
      </c>
      <c r="AV147" s="511">
        <v>0</v>
      </c>
      <c r="AW147" s="364" t="s">
        <v>1309</v>
      </c>
    </row>
    <row r="148" spans="2:49" x14ac:dyDescent="0.25">
      <c r="B148" s="462">
        <v>2032</v>
      </c>
      <c r="C148" s="466">
        <v>240776</v>
      </c>
      <c r="D148" s="462" t="s">
        <v>701</v>
      </c>
      <c r="E148" s="461" t="s">
        <v>1015</v>
      </c>
      <c r="F148" s="462">
        <v>15</v>
      </c>
      <c r="G148" s="461"/>
      <c r="H148" s="461"/>
      <c r="I148" s="461"/>
      <c r="J148" s="461">
        <v>0</v>
      </c>
      <c r="K148" s="461" t="s">
        <v>909</v>
      </c>
      <c r="L148" s="461"/>
      <c r="M148" s="461" t="s">
        <v>844</v>
      </c>
      <c r="N148" s="465">
        <v>44116</v>
      </c>
      <c r="O148" s="465">
        <v>44116</v>
      </c>
      <c r="P148" s="461" t="s">
        <v>1014</v>
      </c>
      <c r="Q148" s="462">
        <v>1200</v>
      </c>
      <c r="R148" s="462">
        <v>14050</v>
      </c>
      <c r="S148" s="513">
        <v>15031.31</v>
      </c>
      <c r="T148" s="462">
        <v>14056</v>
      </c>
      <c r="U148" s="463">
        <v>2609.6</v>
      </c>
      <c r="V148" s="463">
        <f t="shared" ref="V148:V211" si="72">S148-U148</f>
        <v>12421.71</v>
      </c>
      <c r="W148" s="464">
        <v>1043.8399999999999</v>
      </c>
      <c r="X148" s="462">
        <v>54260</v>
      </c>
      <c r="Y148" s="463">
        <v>104.38</v>
      </c>
      <c r="Z148" s="461" t="s">
        <v>701</v>
      </c>
      <c r="AA148" s="461"/>
      <c r="AB148" s="461" t="s">
        <v>1013</v>
      </c>
      <c r="AC148" s="461"/>
      <c r="AD148" s="461" t="s">
        <v>705</v>
      </c>
      <c r="AE148" s="461" t="s">
        <v>703</v>
      </c>
      <c r="AF148" s="462" t="s">
        <v>351</v>
      </c>
      <c r="AG148" s="461"/>
      <c r="AH148" s="462" t="s">
        <v>707</v>
      </c>
      <c r="AI148" s="461">
        <v>0</v>
      </c>
      <c r="AJ148" s="461">
        <v>0</v>
      </c>
      <c r="AL148" s="364">
        <v>0</v>
      </c>
      <c r="AM148" s="364">
        <v>0</v>
      </c>
      <c r="AN148" s="364">
        <v>0</v>
      </c>
      <c r="AO148" s="364">
        <v>0</v>
      </c>
      <c r="AP148" s="460">
        <v>0</v>
      </c>
      <c r="AQ148" s="511">
        <v>0</v>
      </c>
      <c r="AR148" s="511">
        <v>0</v>
      </c>
      <c r="AS148" s="511">
        <v>0</v>
      </c>
      <c r="AT148" s="511">
        <v>0</v>
      </c>
      <c r="AU148" s="511">
        <v>0</v>
      </c>
      <c r="AV148" s="511">
        <v>0</v>
      </c>
      <c r="AW148" s="364" t="s">
        <v>1309</v>
      </c>
    </row>
    <row r="149" spans="2:49" x14ac:dyDescent="0.25">
      <c r="B149" s="462">
        <v>2032</v>
      </c>
      <c r="C149" s="466">
        <v>240775</v>
      </c>
      <c r="D149" s="462" t="s">
        <v>701</v>
      </c>
      <c r="E149" s="461" t="s">
        <v>1012</v>
      </c>
      <c r="F149" s="462">
        <v>2</v>
      </c>
      <c r="G149" s="461"/>
      <c r="H149" s="461"/>
      <c r="I149" s="461"/>
      <c r="J149" s="461">
        <v>0</v>
      </c>
      <c r="K149" s="461" t="s">
        <v>909</v>
      </c>
      <c r="L149" s="461"/>
      <c r="M149" s="461" t="s">
        <v>854</v>
      </c>
      <c r="N149" s="465">
        <v>44121</v>
      </c>
      <c r="O149" s="465">
        <v>44121</v>
      </c>
      <c r="P149" s="461" t="s">
        <v>1007</v>
      </c>
      <c r="Q149" s="462">
        <v>1200</v>
      </c>
      <c r="R149" s="462">
        <v>14050</v>
      </c>
      <c r="S149" s="513">
        <v>13566.55</v>
      </c>
      <c r="T149" s="462">
        <v>14056</v>
      </c>
      <c r="U149" s="463">
        <v>2261.11</v>
      </c>
      <c r="V149" s="463">
        <f t="shared" si="72"/>
        <v>11305.439999999999</v>
      </c>
      <c r="W149" s="464">
        <v>942.13</v>
      </c>
      <c r="X149" s="462">
        <v>54260</v>
      </c>
      <c r="Y149" s="463">
        <v>94.22</v>
      </c>
      <c r="Z149" s="461" t="s">
        <v>701</v>
      </c>
      <c r="AA149" s="461"/>
      <c r="AB149" s="461" t="s">
        <v>1011</v>
      </c>
      <c r="AC149" s="461"/>
      <c r="AD149" s="461" t="s">
        <v>705</v>
      </c>
      <c r="AE149" s="461" t="s">
        <v>703</v>
      </c>
      <c r="AF149" s="462" t="s">
        <v>351</v>
      </c>
      <c r="AG149" s="461"/>
      <c r="AH149" s="462" t="s">
        <v>707</v>
      </c>
      <c r="AI149" s="461">
        <v>0</v>
      </c>
      <c r="AJ149" s="461">
        <v>0</v>
      </c>
      <c r="AL149" s="364">
        <v>0</v>
      </c>
      <c r="AM149" s="364">
        <v>0</v>
      </c>
      <c r="AN149" s="364">
        <v>0</v>
      </c>
      <c r="AO149" s="364">
        <v>0</v>
      </c>
      <c r="AP149" s="460">
        <v>0</v>
      </c>
      <c r="AQ149" s="511">
        <v>0</v>
      </c>
      <c r="AR149" s="511">
        <v>0</v>
      </c>
      <c r="AS149" s="511">
        <v>0</v>
      </c>
      <c r="AT149" s="511">
        <v>0</v>
      </c>
      <c r="AU149" s="511">
        <v>0</v>
      </c>
      <c r="AV149" s="511">
        <v>0</v>
      </c>
      <c r="AW149" s="364" t="s">
        <v>1309</v>
      </c>
    </row>
    <row r="150" spans="2:49" x14ac:dyDescent="0.25">
      <c r="B150" s="462">
        <v>2032</v>
      </c>
      <c r="C150" s="466">
        <v>240774</v>
      </c>
      <c r="D150" s="462" t="s">
        <v>701</v>
      </c>
      <c r="E150" s="461" t="s">
        <v>1010</v>
      </c>
      <c r="F150" s="462">
        <v>2</v>
      </c>
      <c r="G150" s="461"/>
      <c r="H150" s="461"/>
      <c r="I150" s="461"/>
      <c r="J150" s="461">
        <v>0</v>
      </c>
      <c r="K150" s="461" t="s">
        <v>909</v>
      </c>
      <c r="L150" s="461"/>
      <c r="M150" s="461" t="s">
        <v>856</v>
      </c>
      <c r="N150" s="465">
        <v>44121</v>
      </c>
      <c r="O150" s="465">
        <v>44121</v>
      </c>
      <c r="P150" s="461" t="s">
        <v>1007</v>
      </c>
      <c r="Q150" s="462">
        <v>1200</v>
      </c>
      <c r="R150" s="462">
        <v>14050</v>
      </c>
      <c r="S150" s="513">
        <v>15019.41</v>
      </c>
      <c r="T150" s="462">
        <v>14056</v>
      </c>
      <c r="U150" s="463">
        <v>2503.2399999999998</v>
      </c>
      <c r="V150" s="463">
        <f t="shared" si="72"/>
        <v>12516.17</v>
      </c>
      <c r="W150" s="464">
        <v>1043.02</v>
      </c>
      <c r="X150" s="462">
        <v>54260</v>
      </c>
      <c r="Y150" s="463">
        <v>104.3</v>
      </c>
      <c r="Z150" s="461" t="s">
        <v>701</v>
      </c>
      <c r="AA150" s="461"/>
      <c r="AB150" s="461" t="s">
        <v>1009</v>
      </c>
      <c r="AC150" s="461"/>
      <c r="AD150" s="461" t="s">
        <v>705</v>
      </c>
      <c r="AE150" s="461" t="s">
        <v>703</v>
      </c>
      <c r="AF150" s="462" t="s">
        <v>351</v>
      </c>
      <c r="AG150" s="461"/>
      <c r="AH150" s="462" t="s">
        <v>707</v>
      </c>
      <c r="AI150" s="461">
        <v>0</v>
      </c>
      <c r="AJ150" s="461">
        <v>0</v>
      </c>
      <c r="AL150" s="364">
        <v>0</v>
      </c>
      <c r="AM150" s="364">
        <v>0</v>
      </c>
      <c r="AN150" s="364">
        <v>0</v>
      </c>
      <c r="AO150" s="364">
        <v>0</v>
      </c>
      <c r="AP150" s="460">
        <v>0</v>
      </c>
      <c r="AQ150" s="511">
        <v>0</v>
      </c>
      <c r="AR150" s="511">
        <v>0</v>
      </c>
      <c r="AS150" s="511">
        <v>0</v>
      </c>
      <c r="AT150" s="511">
        <v>0</v>
      </c>
      <c r="AU150" s="511">
        <v>0</v>
      </c>
      <c r="AV150" s="511">
        <v>0</v>
      </c>
      <c r="AW150" s="364" t="s">
        <v>1309</v>
      </c>
    </row>
    <row r="151" spans="2:49" x14ac:dyDescent="0.25">
      <c r="B151" s="462">
        <v>2032</v>
      </c>
      <c r="C151" s="466">
        <v>240773</v>
      </c>
      <c r="D151" s="462" t="s">
        <v>701</v>
      </c>
      <c r="E151" s="461" t="s">
        <v>1008</v>
      </c>
      <c r="F151" s="462">
        <v>2</v>
      </c>
      <c r="G151" s="461"/>
      <c r="H151" s="461"/>
      <c r="I151" s="461"/>
      <c r="J151" s="461">
        <v>0</v>
      </c>
      <c r="K151" s="461" t="s">
        <v>909</v>
      </c>
      <c r="L151" s="461"/>
      <c r="M151" s="461" t="s">
        <v>850</v>
      </c>
      <c r="N151" s="465">
        <v>44111</v>
      </c>
      <c r="O151" s="465">
        <v>44111</v>
      </c>
      <c r="P151" s="461" t="s">
        <v>1007</v>
      </c>
      <c r="Q151" s="462">
        <v>1200</v>
      </c>
      <c r="R151" s="462">
        <v>14050</v>
      </c>
      <c r="S151" s="513">
        <v>16033.39</v>
      </c>
      <c r="T151" s="462">
        <v>14056</v>
      </c>
      <c r="U151" s="463">
        <v>2783.58</v>
      </c>
      <c r="V151" s="463">
        <f t="shared" si="72"/>
        <v>13249.81</v>
      </c>
      <c r="W151" s="464">
        <v>1113.43</v>
      </c>
      <c r="X151" s="462">
        <v>54260</v>
      </c>
      <c r="Y151" s="463">
        <v>111.34</v>
      </c>
      <c r="Z151" s="461" t="s">
        <v>701</v>
      </c>
      <c r="AA151" s="461"/>
      <c r="AB151" s="461" t="s">
        <v>1006</v>
      </c>
      <c r="AC151" s="461"/>
      <c r="AD151" s="461" t="s">
        <v>705</v>
      </c>
      <c r="AE151" s="461" t="s">
        <v>703</v>
      </c>
      <c r="AF151" s="462" t="s">
        <v>351</v>
      </c>
      <c r="AG151" s="461"/>
      <c r="AH151" s="462" t="s">
        <v>707</v>
      </c>
      <c r="AI151" s="461">
        <v>0</v>
      </c>
      <c r="AJ151" s="461">
        <v>0</v>
      </c>
      <c r="AL151" s="364">
        <v>0</v>
      </c>
      <c r="AM151" s="364">
        <v>0</v>
      </c>
      <c r="AN151" s="364">
        <v>0</v>
      </c>
      <c r="AO151" s="364">
        <v>0</v>
      </c>
      <c r="AP151" s="460">
        <v>0</v>
      </c>
      <c r="AQ151" s="511">
        <v>0</v>
      </c>
      <c r="AR151" s="511">
        <v>0</v>
      </c>
      <c r="AS151" s="511">
        <v>0</v>
      </c>
      <c r="AT151" s="511">
        <v>0</v>
      </c>
      <c r="AU151" s="511">
        <v>0</v>
      </c>
      <c r="AV151" s="511">
        <v>0</v>
      </c>
      <c r="AW151" s="364" t="s">
        <v>1309</v>
      </c>
    </row>
    <row r="152" spans="2:49" x14ac:dyDescent="0.25">
      <c r="B152" s="462">
        <v>2032</v>
      </c>
      <c r="C152" s="466">
        <v>240718</v>
      </c>
      <c r="D152" s="462" t="s">
        <v>701</v>
      </c>
      <c r="E152" s="461" t="s">
        <v>1005</v>
      </c>
      <c r="F152" s="462"/>
      <c r="G152" s="461"/>
      <c r="H152" s="461"/>
      <c r="I152" s="461"/>
      <c r="J152" s="461">
        <v>0</v>
      </c>
      <c r="K152" s="461" t="s">
        <v>900</v>
      </c>
      <c r="L152" s="461"/>
      <c r="M152" s="461"/>
      <c r="N152" s="465">
        <v>44102</v>
      </c>
      <c r="O152" s="465">
        <v>44102</v>
      </c>
      <c r="P152" s="461" t="s">
        <v>899</v>
      </c>
      <c r="Q152" s="462">
        <v>300</v>
      </c>
      <c r="R152" s="462">
        <v>14110</v>
      </c>
      <c r="S152" s="513">
        <v>1597.09</v>
      </c>
      <c r="T152" s="462">
        <v>14116</v>
      </c>
      <c r="U152" s="463">
        <v>1109.08</v>
      </c>
      <c r="V152" s="463">
        <f t="shared" si="72"/>
        <v>488.01</v>
      </c>
      <c r="W152" s="464">
        <v>443.63</v>
      </c>
      <c r="X152" s="462">
        <v>70260</v>
      </c>
      <c r="Y152" s="463">
        <v>44.36</v>
      </c>
      <c r="Z152" s="461" t="s">
        <v>701</v>
      </c>
      <c r="AA152" s="461"/>
      <c r="AB152" s="461">
        <v>2022390</v>
      </c>
      <c r="AC152" s="461"/>
      <c r="AD152" s="461" t="s">
        <v>705</v>
      </c>
      <c r="AE152" s="461" t="s">
        <v>703</v>
      </c>
      <c r="AF152" s="462" t="s">
        <v>351</v>
      </c>
      <c r="AG152" s="461"/>
      <c r="AH152" s="462" t="s">
        <v>707</v>
      </c>
      <c r="AI152" s="461">
        <v>0</v>
      </c>
      <c r="AJ152" s="461">
        <v>0</v>
      </c>
      <c r="AL152" s="364">
        <v>0</v>
      </c>
      <c r="AM152" s="364">
        <v>0</v>
      </c>
      <c r="AN152" s="364">
        <v>0</v>
      </c>
      <c r="AO152" s="364">
        <v>0</v>
      </c>
      <c r="AP152" s="460">
        <v>0</v>
      </c>
      <c r="AQ152" s="511">
        <v>0</v>
      </c>
      <c r="AR152" s="511">
        <v>0</v>
      </c>
      <c r="AS152" s="511">
        <v>0</v>
      </c>
      <c r="AT152" s="511">
        <v>0</v>
      </c>
      <c r="AU152" s="511">
        <v>0</v>
      </c>
      <c r="AV152" s="511">
        <v>0</v>
      </c>
      <c r="AW152" s="364" t="s">
        <v>1309</v>
      </c>
    </row>
    <row r="153" spans="2:49" x14ac:dyDescent="0.25">
      <c r="B153" s="462">
        <v>2032</v>
      </c>
      <c r="C153" s="466">
        <v>239902</v>
      </c>
      <c r="D153" s="462" t="s">
        <v>701</v>
      </c>
      <c r="E153" s="461" t="s">
        <v>1004</v>
      </c>
      <c r="F153" s="462">
        <v>100</v>
      </c>
      <c r="G153" s="461"/>
      <c r="H153" s="461"/>
      <c r="I153" s="461"/>
      <c r="J153" s="461">
        <v>0</v>
      </c>
      <c r="K153" s="461" t="s">
        <v>970</v>
      </c>
      <c r="L153" s="461"/>
      <c r="M153" s="461" t="s">
        <v>858</v>
      </c>
      <c r="N153" s="465">
        <v>44135</v>
      </c>
      <c r="O153" s="465">
        <v>44135</v>
      </c>
      <c r="P153" s="461" t="s">
        <v>969</v>
      </c>
      <c r="Q153" s="462">
        <v>700</v>
      </c>
      <c r="R153" s="462">
        <v>14050</v>
      </c>
      <c r="S153" s="513">
        <v>23572.66</v>
      </c>
      <c r="T153" s="462">
        <v>14056</v>
      </c>
      <c r="U153" s="463">
        <v>6735.04</v>
      </c>
      <c r="V153" s="463">
        <f t="shared" si="72"/>
        <v>16837.62</v>
      </c>
      <c r="W153" s="464">
        <v>2806.27</v>
      </c>
      <c r="X153" s="462">
        <v>54260</v>
      </c>
      <c r="Y153" s="463">
        <v>280.63</v>
      </c>
      <c r="Z153" s="461" t="s">
        <v>701</v>
      </c>
      <c r="AA153" s="461"/>
      <c r="AB153" s="461" t="s">
        <v>1003</v>
      </c>
      <c r="AC153" s="461"/>
      <c r="AD153" s="461" t="s">
        <v>705</v>
      </c>
      <c r="AE153" s="461" t="s">
        <v>703</v>
      </c>
      <c r="AF153" s="462" t="s">
        <v>351</v>
      </c>
      <c r="AG153" s="461"/>
      <c r="AH153" s="462" t="s">
        <v>707</v>
      </c>
      <c r="AI153" s="461">
        <v>0</v>
      </c>
      <c r="AJ153" s="461">
        <v>0</v>
      </c>
      <c r="AL153" s="364">
        <v>0</v>
      </c>
      <c r="AM153" s="364">
        <v>0</v>
      </c>
      <c r="AN153" s="364">
        <v>0</v>
      </c>
      <c r="AO153" s="364">
        <v>0</v>
      </c>
      <c r="AP153" s="460">
        <v>0</v>
      </c>
      <c r="AQ153" s="511">
        <v>0</v>
      </c>
      <c r="AR153" s="511">
        <v>0</v>
      </c>
      <c r="AS153" s="511">
        <v>0</v>
      </c>
      <c r="AT153" s="511">
        <v>0</v>
      </c>
      <c r="AU153" s="511">
        <v>0</v>
      </c>
      <c r="AV153" s="511">
        <v>0</v>
      </c>
      <c r="AW153" s="364" t="s">
        <v>1309</v>
      </c>
    </row>
    <row r="154" spans="2:49" x14ac:dyDescent="0.25">
      <c r="B154" s="462">
        <v>2032</v>
      </c>
      <c r="C154" s="466">
        <v>239756</v>
      </c>
      <c r="D154" s="462" t="s">
        <v>888</v>
      </c>
      <c r="E154" s="461" t="s">
        <v>1002</v>
      </c>
      <c r="F154" s="462"/>
      <c r="G154" s="461"/>
      <c r="H154" s="461"/>
      <c r="I154" s="461"/>
      <c r="J154" s="461">
        <v>0</v>
      </c>
      <c r="K154" s="461"/>
      <c r="L154" s="461"/>
      <c r="M154" s="461"/>
      <c r="N154" s="465">
        <v>44104</v>
      </c>
      <c r="O154" s="465">
        <v>44104</v>
      </c>
      <c r="P154" s="461"/>
      <c r="Q154" s="462">
        <v>0</v>
      </c>
      <c r="R154" s="462">
        <v>15240</v>
      </c>
      <c r="S154" s="513">
        <v>0</v>
      </c>
      <c r="T154" s="462">
        <v>15246</v>
      </c>
      <c r="U154" s="463">
        <v>0</v>
      </c>
      <c r="V154" s="463">
        <f t="shared" si="72"/>
        <v>0</v>
      </c>
      <c r="W154" s="464">
        <v>0</v>
      </c>
      <c r="X154" s="462">
        <v>70264</v>
      </c>
      <c r="Y154" s="463">
        <v>0</v>
      </c>
      <c r="Z154" s="461" t="s">
        <v>701</v>
      </c>
      <c r="AA154" s="461"/>
      <c r="AB154" s="461"/>
      <c r="AC154" s="461"/>
      <c r="AD154" s="461" t="s">
        <v>705</v>
      </c>
      <c r="AE154" s="461" t="s">
        <v>703</v>
      </c>
      <c r="AF154" s="462" t="s">
        <v>706</v>
      </c>
      <c r="AG154" s="461"/>
      <c r="AH154" s="462" t="s">
        <v>707</v>
      </c>
      <c r="AI154" s="461">
        <v>0</v>
      </c>
      <c r="AJ154" s="461">
        <v>0</v>
      </c>
      <c r="AL154" s="364">
        <v>0</v>
      </c>
      <c r="AM154" s="364">
        <v>0</v>
      </c>
      <c r="AN154" s="364">
        <v>0</v>
      </c>
      <c r="AO154" s="364">
        <v>0</v>
      </c>
      <c r="AP154" s="460">
        <v>0</v>
      </c>
      <c r="AQ154" s="511">
        <v>0</v>
      </c>
      <c r="AR154" s="511">
        <v>0</v>
      </c>
      <c r="AS154" s="511">
        <v>0</v>
      </c>
      <c r="AT154" s="511">
        <v>0</v>
      </c>
      <c r="AU154" s="511">
        <v>0</v>
      </c>
      <c r="AV154" s="511">
        <v>0</v>
      </c>
      <c r="AW154" s="364" t="s">
        <v>1309</v>
      </c>
    </row>
    <row r="155" spans="2:49" x14ac:dyDescent="0.25">
      <c r="B155" s="462">
        <v>2032</v>
      </c>
      <c r="C155" s="466">
        <v>239626</v>
      </c>
      <c r="D155" s="462" t="s">
        <v>701</v>
      </c>
      <c r="E155" s="461" t="s">
        <v>1001</v>
      </c>
      <c r="F155" s="462"/>
      <c r="G155" s="461"/>
      <c r="H155" s="461"/>
      <c r="I155" s="461"/>
      <c r="J155" s="461">
        <v>0</v>
      </c>
      <c r="K155" s="461"/>
      <c r="L155" s="461"/>
      <c r="M155" s="461"/>
      <c r="N155" s="465">
        <v>44075</v>
      </c>
      <c r="O155" s="465">
        <v>44075</v>
      </c>
      <c r="P155" s="461"/>
      <c r="Q155" s="462">
        <v>0</v>
      </c>
      <c r="R155" s="462">
        <v>15110</v>
      </c>
      <c r="S155" s="513">
        <v>-284669.27</v>
      </c>
      <c r="T155" s="462">
        <v>15120</v>
      </c>
      <c r="U155" s="463">
        <v>0</v>
      </c>
      <c r="V155" s="463">
        <f t="shared" si="72"/>
        <v>-284669.27</v>
      </c>
      <c r="W155" s="464">
        <v>0</v>
      </c>
      <c r="X155" s="462">
        <v>0</v>
      </c>
      <c r="Y155" s="463">
        <v>0</v>
      </c>
      <c r="Z155" s="461" t="s">
        <v>703</v>
      </c>
      <c r="AA155" s="461" t="s">
        <v>704</v>
      </c>
      <c r="AB155" s="461"/>
      <c r="AC155" s="461"/>
      <c r="AD155" s="461" t="s">
        <v>705</v>
      </c>
      <c r="AE155" s="461" t="s">
        <v>703</v>
      </c>
      <c r="AF155" s="462" t="s">
        <v>706</v>
      </c>
      <c r="AG155" s="461"/>
      <c r="AH155" s="462" t="s">
        <v>707</v>
      </c>
      <c r="AI155" s="461">
        <v>0</v>
      </c>
      <c r="AJ155" s="461">
        <v>0</v>
      </c>
      <c r="AL155" s="364">
        <v>0</v>
      </c>
      <c r="AM155" s="364">
        <v>0</v>
      </c>
      <c r="AN155" s="364">
        <v>0</v>
      </c>
      <c r="AO155" s="364">
        <v>0</v>
      </c>
      <c r="AP155" s="460">
        <v>0</v>
      </c>
      <c r="AQ155" s="511">
        <v>0</v>
      </c>
      <c r="AR155" s="511">
        <v>0</v>
      </c>
      <c r="AS155" s="511">
        <v>0</v>
      </c>
      <c r="AT155" s="511">
        <v>0</v>
      </c>
      <c r="AU155" s="511">
        <v>0</v>
      </c>
      <c r="AV155" s="511">
        <v>0</v>
      </c>
      <c r="AW155" s="364" t="s">
        <v>1309</v>
      </c>
    </row>
    <row r="156" spans="2:49" x14ac:dyDescent="0.25">
      <c r="B156" s="462">
        <v>2032</v>
      </c>
      <c r="C156" s="466">
        <v>239493</v>
      </c>
      <c r="D156" s="462">
        <v>239489</v>
      </c>
      <c r="E156" s="461" t="s">
        <v>1000</v>
      </c>
      <c r="F156" s="462"/>
      <c r="G156" s="461"/>
      <c r="H156" s="461"/>
      <c r="I156" s="461"/>
      <c r="J156" s="461">
        <v>0</v>
      </c>
      <c r="K156" s="461" t="s">
        <v>976</v>
      </c>
      <c r="L156" s="461"/>
      <c r="M156" s="461"/>
      <c r="N156" s="465">
        <v>44082</v>
      </c>
      <c r="O156" s="465">
        <v>44082</v>
      </c>
      <c r="P156" s="461" t="s">
        <v>919</v>
      </c>
      <c r="Q156" s="462">
        <v>500</v>
      </c>
      <c r="R156" s="462">
        <v>14070</v>
      </c>
      <c r="S156" s="513">
        <v>4260.21</v>
      </c>
      <c r="T156" s="462">
        <v>14076</v>
      </c>
      <c r="U156" s="463">
        <v>1846.08</v>
      </c>
      <c r="V156" s="463">
        <f t="shared" si="72"/>
        <v>2414.13</v>
      </c>
      <c r="W156" s="464">
        <v>710.03</v>
      </c>
      <c r="X156" s="462">
        <v>51260</v>
      </c>
      <c r="Y156" s="463">
        <v>71</v>
      </c>
      <c r="Z156" s="461" t="s">
        <v>701</v>
      </c>
      <c r="AA156" s="461"/>
      <c r="AB156" s="461">
        <v>907207</v>
      </c>
      <c r="AC156" s="461"/>
      <c r="AD156" s="461" t="s">
        <v>705</v>
      </c>
      <c r="AE156" s="461" t="s">
        <v>703</v>
      </c>
      <c r="AF156" s="462" t="s">
        <v>351</v>
      </c>
      <c r="AG156" s="461"/>
      <c r="AH156" s="462" t="s">
        <v>707</v>
      </c>
      <c r="AI156" s="461">
        <v>0</v>
      </c>
      <c r="AJ156" s="461">
        <v>0</v>
      </c>
      <c r="AL156" s="364">
        <v>0</v>
      </c>
      <c r="AM156" s="364">
        <v>0</v>
      </c>
      <c r="AN156" s="364">
        <v>0</v>
      </c>
      <c r="AO156" s="364">
        <v>0</v>
      </c>
      <c r="AP156" s="460">
        <v>0</v>
      </c>
      <c r="AQ156" s="511">
        <v>0</v>
      </c>
      <c r="AR156" s="511">
        <v>0</v>
      </c>
      <c r="AS156" s="511">
        <v>0</v>
      </c>
      <c r="AT156" s="511">
        <v>0</v>
      </c>
      <c r="AU156" s="511">
        <v>0</v>
      </c>
      <c r="AV156" s="511">
        <v>0</v>
      </c>
      <c r="AW156" s="364" t="s">
        <v>1309</v>
      </c>
    </row>
    <row r="157" spans="2:49" x14ac:dyDescent="0.25">
      <c r="B157" s="462">
        <v>2032</v>
      </c>
      <c r="C157" s="466">
        <v>239492</v>
      </c>
      <c r="D157" s="462">
        <v>239489</v>
      </c>
      <c r="E157" s="461" t="s">
        <v>999</v>
      </c>
      <c r="F157" s="462"/>
      <c r="G157" s="461"/>
      <c r="H157" s="461"/>
      <c r="I157" s="461"/>
      <c r="J157" s="461">
        <v>0</v>
      </c>
      <c r="K157" s="461" t="s">
        <v>998</v>
      </c>
      <c r="L157" s="461"/>
      <c r="M157" s="461"/>
      <c r="N157" s="465">
        <v>44068</v>
      </c>
      <c r="O157" s="465">
        <v>44068</v>
      </c>
      <c r="P157" s="461" t="s">
        <v>919</v>
      </c>
      <c r="Q157" s="462">
        <v>500</v>
      </c>
      <c r="R157" s="462">
        <v>14070</v>
      </c>
      <c r="S157" s="513">
        <v>4838.12</v>
      </c>
      <c r="T157" s="462">
        <v>14076</v>
      </c>
      <c r="U157" s="463">
        <v>2096.5100000000002</v>
      </c>
      <c r="V157" s="463">
        <f t="shared" si="72"/>
        <v>2741.6099999999997</v>
      </c>
      <c r="W157" s="464">
        <v>806.35</v>
      </c>
      <c r="X157" s="462">
        <v>51260</v>
      </c>
      <c r="Y157" s="463">
        <v>80.63</v>
      </c>
      <c r="Z157" s="461" t="s">
        <v>701</v>
      </c>
      <c r="AA157" s="461"/>
      <c r="AB157" s="461">
        <v>36084</v>
      </c>
      <c r="AC157" s="461"/>
      <c r="AD157" s="461" t="s">
        <v>705</v>
      </c>
      <c r="AE157" s="461" t="s">
        <v>703</v>
      </c>
      <c r="AF157" s="462" t="s">
        <v>351</v>
      </c>
      <c r="AG157" s="461"/>
      <c r="AH157" s="462" t="s">
        <v>707</v>
      </c>
      <c r="AI157" s="461">
        <v>0</v>
      </c>
      <c r="AJ157" s="461">
        <v>0</v>
      </c>
      <c r="AL157" s="364">
        <v>0</v>
      </c>
      <c r="AM157" s="364">
        <v>0</v>
      </c>
      <c r="AN157" s="364">
        <v>0</v>
      </c>
      <c r="AO157" s="364">
        <v>0</v>
      </c>
      <c r="AP157" s="460">
        <v>0</v>
      </c>
      <c r="AQ157" s="511">
        <v>0</v>
      </c>
      <c r="AR157" s="511">
        <v>0</v>
      </c>
      <c r="AS157" s="511">
        <v>0</v>
      </c>
      <c r="AT157" s="511">
        <v>0</v>
      </c>
      <c r="AU157" s="511">
        <v>0</v>
      </c>
      <c r="AV157" s="511">
        <v>0</v>
      </c>
      <c r="AW157" s="364" t="s">
        <v>1309</v>
      </c>
    </row>
    <row r="158" spans="2:49" x14ac:dyDescent="0.25">
      <c r="B158" s="462">
        <v>2032</v>
      </c>
      <c r="C158" s="466">
        <v>239491</v>
      </c>
      <c r="D158" s="462">
        <v>239489</v>
      </c>
      <c r="E158" s="461" t="s">
        <v>997</v>
      </c>
      <c r="F158" s="462"/>
      <c r="G158" s="461"/>
      <c r="H158" s="461"/>
      <c r="I158" s="461"/>
      <c r="J158" s="461">
        <v>0</v>
      </c>
      <c r="K158" s="461" t="s">
        <v>996</v>
      </c>
      <c r="L158" s="461"/>
      <c r="M158" s="461"/>
      <c r="N158" s="465">
        <v>44068</v>
      </c>
      <c r="O158" s="465">
        <v>44068</v>
      </c>
      <c r="P158" s="461" t="s">
        <v>919</v>
      </c>
      <c r="Q158" s="462">
        <v>500</v>
      </c>
      <c r="R158" s="462">
        <v>14070</v>
      </c>
      <c r="S158" s="513">
        <v>1596.64</v>
      </c>
      <c r="T158" s="462">
        <v>14076</v>
      </c>
      <c r="U158" s="463">
        <v>691.88</v>
      </c>
      <c r="V158" s="463">
        <f t="shared" si="72"/>
        <v>904.7600000000001</v>
      </c>
      <c r="W158" s="464">
        <v>266.11</v>
      </c>
      <c r="X158" s="462">
        <v>51260</v>
      </c>
      <c r="Y158" s="463">
        <v>26.61</v>
      </c>
      <c r="Z158" s="461" t="s">
        <v>701</v>
      </c>
      <c r="AA158" s="461"/>
      <c r="AB158" s="461">
        <v>906152</v>
      </c>
      <c r="AC158" s="461"/>
      <c r="AD158" s="461" t="s">
        <v>705</v>
      </c>
      <c r="AE158" s="461" t="s">
        <v>703</v>
      </c>
      <c r="AF158" s="462" t="s">
        <v>351</v>
      </c>
      <c r="AG158" s="461"/>
      <c r="AH158" s="462" t="s">
        <v>707</v>
      </c>
      <c r="AI158" s="461">
        <v>0</v>
      </c>
      <c r="AJ158" s="461">
        <v>0</v>
      </c>
      <c r="AL158" s="364">
        <v>0</v>
      </c>
      <c r="AM158" s="364">
        <v>0</v>
      </c>
      <c r="AN158" s="364">
        <v>0</v>
      </c>
      <c r="AO158" s="364">
        <v>0</v>
      </c>
      <c r="AP158" s="460">
        <v>0</v>
      </c>
      <c r="AQ158" s="511">
        <v>0</v>
      </c>
      <c r="AR158" s="511">
        <v>0</v>
      </c>
      <c r="AS158" s="511">
        <v>0</v>
      </c>
      <c r="AT158" s="511">
        <v>0</v>
      </c>
      <c r="AU158" s="511">
        <v>0</v>
      </c>
      <c r="AV158" s="511">
        <v>0</v>
      </c>
      <c r="AW158" s="364" t="s">
        <v>1309</v>
      </c>
    </row>
    <row r="159" spans="2:49" x14ac:dyDescent="0.25">
      <c r="B159" s="462">
        <v>2032</v>
      </c>
      <c r="C159" s="466">
        <v>239490</v>
      </c>
      <c r="D159" s="462">
        <v>239489</v>
      </c>
      <c r="E159" s="461" t="s">
        <v>995</v>
      </c>
      <c r="F159" s="462"/>
      <c r="G159" s="461"/>
      <c r="H159" s="461"/>
      <c r="I159" s="461"/>
      <c r="J159" s="461">
        <v>0</v>
      </c>
      <c r="K159" s="461" t="s">
        <v>994</v>
      </c>
      <c r="L159" s="461"/>
      <c r="M159" s="461"/>
      <c r="N159" s="465">
        <v>44068</v>
      </c>
      <c r="O159" s="465">
        <v>44068</v>
      </c>
      <c r="P159" s="461" t="s">
        <v>919</v>
      </c>
      <c r="Q159" s="462">
        <v>500</v>
      </c>
      <c r="R159" s="462">
        <v>14070</v>
      </c>
      <c r="S159" s="513">
        <v>1361.83</v>
      </c>
      <c r="T159" s="462">
        <v>14076</v>
      </c>
      <c r="U159" s="463">
        <v>590.14</v>
      </c>
      <c r="V159" s="463">
        <f t="shared" si="72"/>
        <v>771.68999999999994</v>
      </c>
      <c r="W159" s="464">
        <v>226.98</v>
      </c>
      <c r="X159" s="462">
        <v>51260</v>
      </c>
      <c r="Y159" s="463">
        <v>22.7</v>
      </c>
      <c r="Z159" s="461" t="s">
        <v>701</v>
      </c>
      <c r="AA159" s="461"/>
      <c r="AB159" s="461">
        <v>17798185</v>
      </c>
      <c r="AC159" s="461"/>
      <c r="AD159" s="461" t="s">
        <v>705</v>
      </c>
      <c r="AE159" s="461" t="s">
        <v>703</v>
      </c>
      <c r="AF159" s="462" t="s">
        <v>351</v>
      </c>
      <c r="AG159" s="461"/>
      <c r="AH159" s="462" t="s">
        <v>707</v>
      </c>
      <c r="AI159" s="461">
        <v>0</v>
      </c>
      <c r="AJ159" s="461">
        <v>0</v>
      </c>
      <c r="AL159" s="364">
        <v>0</v>
      </c>
      <c r="AM159" s="364">
        <v>0</v>
      </c>
      <c r="AN159" s="364">
        <v>0</v>
      </c>
      <c r="AO159" s="364">
        <v>0</v>
      </c>
      <c r="AP159" s="460">
        <v>0</v>
      </c>
      <c r="AQ159" s="511">
        <v>0</v>
      </c>
      <c r="AR159" s="511">
        <v>0</v>
      </c>
      <c r="AS159" s="511">
        <v>0</v>
      </c>
      <c r="AT159" s="511">
        <v>0</v>
      </c>
      <c r="AU159" s="511">
        <v>0</v>
      </c>
      <c r="AV159" s="511">
        <v>0</v>
      </c>
      <c r="AW159" s="364" t="s">
        <v>1309</v>
      </c>
    </row>
    <row r="160" spans="2:49" x14ac:dyDescent="0.25">
      <c r="B160" s="462">
        <v>2032</v>
      </c>
      <c r="C160" s="466">
        <v>239489</v>
      </c>
      <c r="D160" s="462" t="s">
        <v>701</v>
      </c>
      <c r="E160" s="461" t="s">
        <v>993</v>
      </c>
      <c r="F160" s="462"/>
      <c r="G160" s="461"/>
      <c r="H160" s="461"/>
      <c r="I160" s="461"/>
      <c r="J160" s="461">
        <v>0</v>
      </c>
      <c r="K160" s="461" t="s">
        <v>916</v>
      </c>
      <c r="L160" s="461"/>
      <c r="M160" s="461"/>
      <c r="N160" s="465">
        <v>44068</v>
      </c>
      <c r="O160" s="465">
        <v>44068</v>
      </c>
      <c r="P160" s="461" t="s">
        <v>919</v>
      </c>
      <c r="Q160" s="462">
        <v>500</v>
      </c>
      <c r="R160" s="462">
        <v>14070</v>
      </c>
      <c r="S160" s="513">
        <v>2570.62</v>
      </c>
      <c r="T160" s="462">
        <v>14076</v>
      </c>
      <c r="U160" s="463">
        <v>1113.93</v>
      </c>
      <c r="V160" s="463">
        <f t="shared" si="72"/>
        <v>1456.6899999999998</v>
      </c>
      <c r="W160" s="464">
        <v>428.43</v>
      </c>
      <c r="X160" s="462">
        <v>51260</v>
      </c>
      <c r="Y160" s="463">
        <v>42.84</v>
      </c>
      <c r="Z160" s="461" t="s">
        <v>701</v>
      </c>
      <c r="AA160" s="461"/>
      <c r="AB160" s="461" t="s">
        <v>992</v>
      </c>
      <c r="AC160" s="461"/>
      <c r="AD160" s="461" t="s">
        <v>705</v>
      </c>
      <c r="AE160" s="461" t="s">
        <v>703</v>
      </c>
      <c r="AF160" s="462" t="s">
        <v>351</v>
      </c>
      <c r="AG160" s="461"/>
      <c r="AH160" s="462" t="s">
        <v>707</v>
      </c>
      <c r="AI160" s="461">
        <v>0</v>
      </c>
      <c r="AJ160" s="461">
        <v>0</v>
      </c>
      <c r="AL160" s="364">
        <v>0</v>
      </c>
      <c r="AM160" s="364">
        <v>0</v>
      </c>
      <c r="AN160" s="364">
        <v>0</v>
      </c>
      <c r="AO160" s="364">
        <v>0</v>
      </c>
      <c r="AP160" s="460">
        <v>0</v>
      </c>
      <c r="AQ160" s="511">
        <v>0</v>
      </c>
      <c r="AR160" s="511">
        <v>0</v>
      </c>
      <c r="AS160" s="511">
        <v>0</v>
      </c>
      <c r="AT160" s="511">
        <v>0</v>
      </c>
      <c r="AU160" s="511">
        <v>0</v>
      </c>
      <c r="AV160" s="511">
        <v>0</v>
      </c>
      <c r="AW160" s="364" t="s">
        <v>1309</v>
      </c>
    </row>
    <row r="161" spans="2:49" x14ac:dyDescent="0.25">
      <c r="B161" s="462">
        <v>2032</v>
      </c>
      <c r="C161" s="466">
        <v>238341</v>
      </c>
      <c r="D161" s="462" t="s">
        <v>701</v>
      </c>
      <c r="E161" s="461" t="s">
        <v>991</v>
      </c>
      <c r="F161" s="462">
        <v>112</v>
      </c>
      <c r="G161" s="461"/>
      <c r="H161" s="461"/>
      <c r="I161" s="461" t="s">
        <v>988</v>
      </c>
      <c r="J161" s="461">
        <v>0</v>
      </c>
      <c r="K161" s="461" t="s">
        <v>890</v>
      </c>
      <c r="L161" s="461"/>
      <c r="M161" s="461" t="s">
        <v>858</v>
      </c>
      <c r="N161" s="465">
        <v>44097</v>
      </c>
      <c r="O161" s="465">
        <v>44097</v>
      </c>
      <c r="P161" s="461" t="s">
        <v>987</v>
      </c>
      <c r="Q161" s="462">
        <v>700</v>
      </c>
      <c r="R161" s="462">
        <v>14050</v>
      </c>
      <c r="S161" s="513">
        <v>4787.1899999999996</v>
      </c>
      <c r="T161" s="462">
        <v>14056</v>
      </c>
      <c r="U161" s="463">
        <v>1424.75</v>
      </c>
      <c r="V161" s="463">
        <f t="shared" si="72"/>
        <v>3362.4399999999996</v>
      </c>
      <c r="W161" s="464">
        <v>569.9</v>
      </c>
      <c r="X161" s="462">
        <v>54260</v>
      </c>
      <c r="Y161" s="463">
        <v>56.99</v>
      </c>
      <c r="Z161" s="461" t="s">
        <v>701</v>
      </c>
      <c r="AA161" s="461"/>
      <c r="AB161" s="461">
        <v>50122464</v>
      </c>
      <c r="AC161" s="461"/>
      <c r="AD161" s="461" t="s">
        <v>705</v>
      </c>
      <c r="AE161" s="461" t="s">
        <v>703</v>
      </c>
      <c r="AF161" s="462" t="s">
        <v>351</v>
      </c>
      <c r="AG161" s="461"/>
      <c r="AH161" s="462" t="s">
        <v>707</v>
      </c>
      <c r="AI161" s="461">
        <v>0</v>
      </c>
      <c r="AJ161" s="461">
        <v>0</v>
      </c>
      <c r="AL161" s="364">
        <v>0</v>
      </c>
      <c r="AM161" s="364">
        <v>0</v>
      </c>
      <c r="AN161" s="364">
        <v>0</v>
      </c>
      <c r="AO161" s="364">
        <v>0</v>
      </c>
      <c r="AP161" s="460">
        <v>0</v>
      </c>
      <c r="AQ161" s="511">
        <v>0</v>
      </c>
      <c r="AR161" s="511">
        <v>0</v>
      </c>
      <c r="AS161" s="511">
        <v>0</v>
      </c>
      <c r="AT161" s="511">
        <v>0</v>
      </c>
      <c r="AU161" s="511">
        <v>0</v>
      </c>
      <c r="AV161" s="511">
        <v>0</v>
      </c>
      <c r="AW161" s="364" t="s">
        <v>1309</v>
      </c>
    </row>
    <row r="162" spans="2:49" x14ac:dyDescent="0.25">
      <c r="B162" s="462">
        <v>2032</v>
      </c>
      <c r="C162" s="466">
        <v>238340</v>
      </c>
      <c r="D162" s="462" t="s">
        <v>701</v>
      </c>
      <c r="E162" s="461" t="s">
        <v>990</v>
      </c>
      <c r="F162" s="462">
        <v>300</v>
      </c>
      <c r="G162" s="461"/>
      <c r="H162" s="461"/>
      <c r="I162" s="461" t="s">
        <v>988</v>
      </c>
      <c r="J162" s="461">
        <v>0</v>
      </c>
      <c r="K162" s="461" t="s">
        <v>890</v>
      </c>
      <c r="L162" s="461"/>
      <c r="M162" s="461" t="s">
        <v>858</v>
      </c>
      <c r="N162" s="465">
        <v>44097</v>
      </c>
      <c r="O162" s="465">
        <v>44097</v>
      </c>
      <c r="P162" s="461" t="s">
        <v>987</v>
      </c>
      <c r="Q162" s="462">
        <v>700</v>
      </c>
      <c r="R162" s="462">
        <v>14050</v>
      </c>
      <c r="S162" s="513">
        <v>12822.82</v>
      </c>
      <c r="T162" s="462">
        <v>14056</v>
      </c>
      <c r="U162" s="463">
        <v>3816.32</v>
      </c>
      <c r="V162" s="463">
        <f t="shared" si="72"/>
        <v>9006.5</v>
      </c>
      <c r="W162" s="464">
        <v>1526.53</v>
      </c>
      <c r="X162" s="462">
        <v>54260</v>
      </c>
      <c r="Y162" s="463">
        <v>152.66</v>
      </c>
      <c r="Z162" s="461" t="s">
        <v>701</v>
      </c>
      <c r="AA162" s="461"/>
      <c r="AB162" s="461">
        <v>50122464</v>
      </c>
      <c r="AC162" s="461"/>
      <c r="AD162" s="461" t="s">
        <v>705</v>
      </c>
      <c r="AE162" s="461" t="s">
        <v>703</v>
      </c>
      <c r="AF162" s="462" t="s">
        <v>351</v>
      </c>
      <c r="AG162" s="461"/>
      <c r="AH162" s="462" t="s">
        <v>707</v>
      </c>
      <c r="AI162" s="461">
        <v>0</v>
      </c>
      <c r="AJ162" s="461">
        <v>0</v>
      </c>
      <c r="AL162" s="364">
        <v>0</v>
      </c>
      <c r="AM162" s="364">
        <v>0</v>
      </c>
      <c r="AN162" s="364">
        <v>0</v>
      </c>
      <c r="AO162" s="364">
        <v>0</v>
      </c>
      <c r="AP162" s="460">
        <v>0</v>
      </c>
      <c r="AQ162" s="511">
        <v>0</v>
      </c>
      <c r="AR162" s="511">
        <v>0</v>
      </c>
      <c r="AS162" s="511">
        <v>0</v>
      </c>
      <c r="AT162" s="511">
        <v>0</v>
      </c>
      <c r="AU162" s="511">
        <v>0</v>
      </c>
      <c r="AV162" s="511">
        <v>0</v>
      </c>
      <c r="AW162" s="364" t="s">
        <v>1309</v>
      </c>
    </row>
    <row r="163" spans="2:49" x14ac:dyDescent="0.25">
      <c r="B163" s="462">
        <v>2032</v>
      </c>
      <c r="C163" s="466">
        <v>238339</v>
      </c>
      <c r="D163" s="462" t="s">
        <v>701</v>
      </c>
      <c r="E163" s="461" t="s">
        <v>989</v>
      </c>
      <c r="F163" s="462">
        <v>200</v>
      </c>
      <c r="G163" s="461"/>
      <c r="H163" s="461"/>
      <c r="I163" s="461" t="s">
        <v>988</v>
      </c>
      <c r="J163" s="461">
        <v>0</v>
      </c>
      <c r="K163" s="461" t="s">
        <v>890</v>
      </c>
      <c r="L163" s="461"/>
      <c r="M163" s="461" t="s">
        <v>858</v>
      </c>
      <c r="N163" s="465">
        <v>44097</v>
      </c>
      <c r="O163" s="465">
        <v>44097</v>
      </c>
      <c r="P163" s="461" t="s">
        <v>987</v>
      </c>
      <c r="Q163" s="462">
        <v>700</v>
      </c>
      <c r="R163" s="462">
        <v>14050</v>
      </c>
      <c r="S163" s="513">
        <v>7597.27</v>
      </c>
      <c r="T163" s="462">
        <v>14056</v>
      </c>
      <c r="U163" s="463">
        <v>2261.1</v>
      </c>
      <c r="V163" s="463">
        <f t="shared" si="72"/>
        <v>5336.17</v>
      </c>
      <c r="W163" s="464">
        <v>904.44</v>
      </c>
      <c r="X163" s="462">
        <v>54260</v>
      </c>
      <c r="Y163" s="463">
        <v>90.44</v>
      </c>
      <c r="Z163" s="461" t="s">
        <v>701</v>
      </c>
      <c r="AA163" s="461"/>
      <c r="AB163" s="461">
        <v>50122464</v>
      </c>
      <c r="AC163" s="461"/>
      <c r="AD163" s="461" t="s">
        <v>705</v>
      </c>
      <c r="AE163" s="461" t="s">
        <v>703</v>
      </c>
      <c r="AF163" s="462" t="s">
        <v>351</v>
      </c>
      <c r="AG163" s="461"/>
      <c r="AH163" s="462" t="s">
        <v>707</v>
      </c>
      <c r="AI163" s="461">
        <v>0</v>
      </c>
      <c r="AJ163" s="461">
        <v>0</v>
      </c>
      <c r="AL163" s="364">
        <v>0</v>
      </c>
      <c r="AM163" s="364">
        <v>0</v>
      </c>
      <c r="AN163" s="364">
        <v>0</v>
      </c>
      <c r="AO163" s="364">
        <v>0</v>
      </c>
      <c r="AP163" s="460">
        <v>0</v>
      </c>
      <c r="AQ163" s="511">
        <v>0</v>
      </c>
      <c r="AR163" s="511">
        <v>0</v>
      </c>
      <c r="AS163" s="511">
        <v>0</v>
      </c>
      <c r="AT163" s="511">
        <v>0</v>
      </c>
      <c r="AU163" s="511">
        <v>0</v>
      </c>
      <c r="AV163" s="511">
        <v>0</v>
      </c>
      <c r="AW163" s="364" t="s">
        <v>1309</v>
      </c>
    </row>
    <row r="164" spans="2:49" x14ac:dyDescent="0.25">
      <c r="B164" s="462">
        <v>2032</v>
      </c>
      <c r="C164" s="466">
        <v>238266</v>
      </c>
      <c r="D164" s="462">
        <v>236164</v>
      </c>
      <c r="E164" s="461" t="s">
        <v>986</v>
      </c>
      <c r="F164" s="462"/>
      <c r="G164" s="461"/>
      <c r="H164" s="461"/>
      <c r="I164" s="461"/>
      <c r="J164" s="461">
        <v>0</v>
      </c>
      <c r="K164" s="461"/>
      <c r="L164" s="461"/>
      <c r="M164" s="461" t="s">
        <v>962</v>
      </c>
      <c r="N164" s="465">
        <v>44058</v>
      </c>
      <c r="O164" s="465">
        <v>44058</v>
      </c>
      <c r="P164" s="461" t="s">
        <v>943</v>
      </c>
      <c r="Q164" s="462">
        <v>1000</v>
      </c>
      <c r="R164" s="462">
        <v>14040</v>
      </c>
      <c r="S164" s="513">
        <v>177.16</v>
      </c>
      <c r="T164" s="462">
        <v>14046</v>
      </c>
      <c r="U164" s="463">
        <v>39.869999999999997</v>
      </c>
      <c r="V164" s="463">
        <f t="shared" si="72"/>
        <v>137.29</v>
      </c>
      <c r="W164" s="464">
        <v>14.77</v>
      </c>
      <c r="X164" s="462">
        <v>51260</v>
      </c>
      <c r="Y164" s="463">
        <v>1.48</v>
      </c>
      <c r="Z164" s="461" t="s">
        <v>701</v>
      </c>
      <c r="AA164" s="461"/>
      <c r="AB164" s="461"/>
      <c r="AC164" s="461"/>
      <c r="AD164" s="461" t="s">
        <v>705</v>
      </c>
      <c r="AE164" s="461" t="s">
        <v>703</v>
      </c>
      <c r="AF164" s="462" t="s">
        <v>351</v>
      </c>
      <c r="AG164" s="461"/>
      <c r="AH164" s="462" t="s">
        <v>707</v>
      </c>
      <c r="AI164" s="461">
        <v>0</v>
      </c>
      <c r="AJ164" s="461">
        <v>0</v>
      </c>
      <c r="AL164" s="364">
        <v>0</v>
      </c>
      <c r="AM164" s="364">
        <v>0</v>
      </c>
      <c r="AN164" s="364">
        <v>0</v>
      </c>
      <c r="AO164" s="364">
        <v>0</v>
      </c>
      <c r="AP164" s="460">
        <v>0</v>
      </c>
      <c r="AQ164" s="511">
        <v>0</v>
      </c>
      <c r="AR164" s="511">
        <v>0</v>
      </c>
      <c r="AS164" s="511">
        <v>0</v>
      </c>
      <c r="AT164" s="511">
        <v>0</v>
      </c>
      <c r="AU164" s="511">
        <v>0</v>
      </c>
      <c r="AV164" s="511">
        <v>0</v>
      </c>
      <c r="AW164" s="364" t="s">
        <v>1309</v>
      </c>
    </row>
    <row r="165" spans="2:49" x14ac:dyDescent="0.25">
      <c r="B165" s="462">
        <v>2032</v>
      </c>
      <c r="C165" s="466">
        <v>238165</v>
      </c>
      <c r="D165" s="462" t="s">
        <v>701</v>
      </c>
      <c r="E165" s="461" t="s">
        <v>985</v>
      </c>
      <c r="F165" s="462">
        <v>100</v>
      </c>
      <c r="G165" s="461"/>
      <c r="H165" s="461"/>
      <c r="I165" s="461"/>
      <c r="J165" s="461">
        <v>0</v>
      </c>
      <c r="K165" s="461" t="s">
        <v>970</v>
      </c>
      <c r="L165" s="461"/>
      <c r="M165" s="461" t="s">
        <v>858</v>
      </c>
      <c r="N165" s="465">
        <v>44104</v>
      </c>
      <c r="O165" s="465">
        <v>44104</v>
      </c>
      <c r="P165" s="461" t="s">
        <v>969</v>
      </c>
      <c r="Q165" s="462">
        <v>700</v>
      </c>
      <c r="R165" s="462">
        <v>14050</v>
      </c>
      <c r="S165" s="513">
        <v>10249.219999999999</v>
      </c>
      <c r="T165" s="462">
        <v>14056</v>
      </c>
      <c r="U165" s="463">
        <v>3050.37</v>
      </c>
      <c r="V165" s="463">
        <f t="shared" si="72"/>
        <v>7198.8499999999995</v>
      </c>
      <c r="W165" s="464">
        <v>1220.1500000000001</v>
      </c>
      <c r="X165" s="462">
        <v>54260</v>
      </c>
      <c r="Y165" s="463">
        <v>122.01</v>
      </c>
      <c r="Z165" s="461" t="s">
        <v>701</v>
      </c>
      <c r="AA165" s="461"/>
      <c r="AB165" s="461" t="s">
        <v>983</v>
      </c>
      <c r="AC165" s="461"/>
      <c r="AD165" s="461" t="s">
        <v>705</v>
      </c>
      <c r="AE165" s="461" t="s">
        <v>703</v>
      </c>
      <c r="AF165" s="462" t="s">
        <v>351</v>
      </c>
      <c r="AG165" s="461"/>
      <c r="AH165" s="462" t="s">
        <v>707</v>
      </c>
      <c r="AI165" s="461">
        <v>0</v>
      </c>
      <c r="AJ165" s="461">
        <v>0</v>
      </c>
      <c r="AL165" s="364">
        <v>0</v>
      </c>
      <c r="AM165" s="364">
        <v>0</v>
      </c>
      <c r="AN165" s="364">
        <v>0</v>
      </c>
      <c r="AO165" s="364">
        <v>0</v>
      </c>
      <c r="AP165" s="460">
        <v>0</v>
      </c>
      <c r="AQ165" s="511">
        <v>0</v>
      </c>
      <c r="AR165" s="511">
        <v>0</v>
      </c>
      <c r="AS165" s="511">
        <v>0</v>
      </c>
      <c r="AT165" s="511">
        <v>0</v>
      </c>
      <c r="AU165" s="511">
        <v>0</v>
      </c>
      <c r="AV165" s="511">
        <v>0</v>
      </c>
      <c r="AW165" s="364" t="s">
        <v>1309</v>
      </c>
    </row>
    <row r="166" spans="2:49" x14ac:dyDescent="0.25">
      <c r="B166" s="462">
        <v>2032</v>
      </c>
      <c r="C166" s="466">
        <v>238164</v>
      </c>
      <c r="D166" s="462" t="s">
        <v>701</v>
      </c>
      <c r="E166" s="461" t="s">
        <v>984</v>
      </c>
      <c r="F166" s="462">
        <v>95</v>
      </c>
      <c r="G166" s="461"/>
      <c r="H166" s="461"/>
      <c r="I166" s="461"/>
      <c r="J166" s="461">
        <v>0</v>
      </c>
      <c r="K166" s="461" t="s">
        <v>970</v>
      </c>
      <c r="L166" s="461"/>
      <c r="M166" s="461" t="s">
        <v>858</v>
      </c>
      <c r="N166" s="465">
        <v>44104</v>
      </c>
      <c r="O166" s="465">
        <v>44104</v>
      </c>
      <c r="P166" s="461" t="s">
        <v>969</v>
      </c>
      <c r="Q166" s="462">
        <v>700</v>
      </c>
      <c r="R166" s="462">
        <v>14050</v>
      </c>
      <c r="S166" s="513">
        <v>31870.91</v>
      </c>
      <c r="T166" s="462">
        <v>14056</v>
      </c>
      <c r="U166" s="463">
        <v>9485.4</v>
      </c>
      <c r="V166" s="463">
        <f t="shared" si="72"/>
        <v>22385.510000000002</v>
      </c>
      <c r="W166" s="464">
        <v>3794.16</v>
      </c>
      <c r="X166" s="462">
        <v>54260</v>
      </c>
      <c r="Y166" s="463">
        <v>379.42</v>
      </c>
      <c r="Z166" s="461" t="s">
        <v>701</v>
      </c>
      <c r="AA166" s="461"/>
      <c r="AB166" s="461" t="s">
        <v>983</v>
      </c>
      <c r="AC166" s="461"/>
      <c r="AD166" s="461" t="s">
        <v>705</v>
      </c>
      <c r="AE166" s="461" t="s">
        <v>703</v>
      </c>
      <c r="AF166" s="462" t="s">
        <v>351</v>
      </c>
      <c r="AG166" s="461"/>
      <c r="AH166" s="462" t="s">
        <v>707</v>
      </c>
      <c r="AI166" s="461">
        <v>0</v>
      </c>
      <c r="AJ166" s="461">
        <v>0</v>
      </c>
      <c r="AL166" s="364">
        <v>0</v>
      </c>
      <c r="AM166" s="364">
        <v>0</v>
      </c>
      <c r="AN166" s="364">
        <v>0</v>
      </c>
      <c r="AO166" s="364">
        <v>0</v>
      </c>
      <c r="AP166" s="460">
        <v>0</v>
      </c>
      <c r="AQ166" s="511">
        <v>0</v>
      </c>
      <c r="AR166" s="511">
        <v>0</v>
      </c>
      <c r="AS166" s="511">
        <v>0</v>
      </c>
      <c r="AT166" s="511">
        <v>0</v>
      </c>
      <c r="AU166" s="511">
        <v>0</v>
      </c>
      <c r="AV166" s="511">
        <v>0</v>
      </c>
      <c r="AW166" s="364" t="s">
        <v>1309</v>
      </c>
    </row>
    <row r="167" spans="2:49" x14ac:dyDescent="0.25">
      <c r="B167" s="462">
        <v>2032</v>
      </c>
      <c r="C167" s="466">
        <v>237568</v>
      </c>
      <c r="D167" s="462" t="s">
        <v>701</v>
      </c>
      <c r="E167" s="461" t="s">
        <v>982</v>
      </c>
      <c r="F167" s="462">
        <v>40</v>
      </c>
      <c r="G167" s="461"/>
      <c r="H167" s="461"/>
      <c r="I167" s="461"/>
      <c r="J167" s="461">
        <v>0</v>
      </c>
      <c r="K167" s="461" t="s">
        <v>970</v>
      </c>
      <c r="L167" s="461"/>
      <c r="M167" s="461" t="s">
        <v>858</v>
      </c>
      <c r="N167" s="465">
        <v>44104</v>
      </c>
      <c r="O167" s="465">
        <v>44104</v>
      </c>
      <c r="P167" s="461" t="s">
        <v>969</v>
      </c>
      <c r="Q167" s="462">
        <v>700</v>
      </c>
      <c r="R167" s="462">
        <v>14050</v>
      </c>
      <c r="S167" s="513">
        <v>9103.8700000000008</v>
      </c>
      <c r="T167" s="462">
        <v>14056</v>
      </c>
      <c r="U167" s="463">
        <v>2709.48</v>
      </c>
      <c r="V167" s="463">
        <f t="shared" si="72"/>
        <v>6394.3900000000012</v>
      </c>
      <c r="W167" s="464">
        <v>1083.79</v>
      </c>
      <c r="X167" s="462">
        <v>54260</v>
      </c>
      <c r="Y167" s="463">
        <v>108.38</v>
      </c>
      <c r="Z167" s="461" t="s">
        <v>701</v>
      </c>
      <c r="AA167" s="461"/>
      <c r="AB167" s="461" t="s">
        <v>979</v>
      </c>
      <c r="AC167" s="461"/>
      <c r="AD167" s="461" t="s">
        <v>705</v>
      </c>
      <c r="AE167" s="461" t="s">
        <v>703</v>
      </c>
      <c r="AF167" s="462" t="s">
        <v>351</v>
      </c>
      <c r="AG167" s="461"/>
      <c r="AH167" s="462" t="s">
        <v>707</v>
      </c>
      <c r="AI167" s="461">
        <v>0</v>
      </c>
      <c r="AJ167" s="461">
        <v>0</v>
      </c>
      <c r="AL167" s="364">
        <v>0</v>
      </c>
      <c r="AM167" s="364">
        <v>0</v>
      </c>
      <c r="AN167" s="364">
        <v>0</v>
      </c>
      <c r="AO167" s="364">
        <v>0</v>
      </c>
      <c r="AP167" s="460">
        <v>0</v>
      </c>
      <c r="AQ167" s="511">
        <v>0</v>
      </c>
      <c r="AR167" s="511">
        <v>0</v>
      </c>
      <c r="AS167" s="511">
        <v>0</v>
      </c>
      <c r="AT167" s="511">
        <v>0</v>
      </c>
      <c r="AU167" s="511">
        <v>0</v>
      </c>
      <c r="AV167" s="511">
        <v>0</v>
      </c>
      <c r="AW167" s="364" t="s">
        <v>1309</v>
      </c>
    </row>
    <row r="168" spans="2:49" x14ac:dyDescent="0.25">
      <c r="B168" s="462">
        <v>2032</v>
      </c>
      <c r="C168" s="466">
        <v>237567</v>
      </c>
      <c r="D168" s="462" t="s">
        <v>701</v>
      </c>
      <c r="E168" s="461" t="s">
        <v>981</v>
      </c>
      <c r="F168" s="462">
        <v>100</v>
      </c>
      <c r="G168" s="461"/>
      <c r="H168" s="461"/>
      <c r="I168" s="461"/>
      <c r="J168" s="461">
        <v>0</v>
      </c>
      <c r="K168" s="461" t="s">
        <v>970</v>
      </c>
      <c r="L168" s="461"/>
      <c r="M168" s="461" t="s">
        <v>858</v>
      </c>
      <c r="N168" s="465">
        <v>44104</v>
      </c>
      <c r="O168" s="465">
        <v>44104</v>
      </c>
      <c r="P168" s="461" t="s">
        <v>980</v>
      </c>
      <c r="Q168" s="462">
        <v>700</v>
      </c>
      <c r="R168" s="462">
        <v>14050</v>
      </c>
      <c r="S168" s="513">
        <v>6866.06</v>
      </c>
      <c r="T168" s="462">
        <v>14056</v>
      </c>
      <c r="U168" s="463">
        <v>2043.48</v>
      </c>
      <c r="V168" s="463">
        <f t="shared" si="72"/>
        <v>4822.58</v>
      </c>
      <c r="W168" s="464">
        <v>817.39</v>
      </c>
      <c r="X168" s="462">
        <v>54260</v>
      </c>
      <c r="Y168" s="463">
        <v>81.739999999999995</v>
      </c>
      <c r="Z168" s="461" t="s">
        <v>701</v>
      </c>
      <c r="AA168" s="461"/>
      <c r="AB168" s="461" t="s">
        <v>979</v>
      </c>
      <c r="AC168" s="461"/>
      <c r="AD168" s="461" t="s">
        <v>705</v>
      </c>
      <c r="AE168" s="461" t="s">
        <v>703</v>
      </c>
      <c r="AF168" s="462" t="s">
        <v>351</v>
      </c>
      <c r="AG168" s="461"/>
      <c r="AH168" s="462" t="s">
        <v>707</v>
      </c>
      <c r="AI168" s="461">
        <v>0</v>
      </c>
      <c r="AJ168" s="461">
        <v>0</v>
      </c>
      <c r="AL168" s="364">
        <v>0</v>
      </c>
      <c r="AM168" s="364">
        <v>0</v>
      </c>
      <c r="AN168" s="364">
        <v>0</v>
      </c>
      <c r="AO168" s="364">
        <v>0</v>
      </c>
      <c r="AP168" s="460">
        <v>0</v>
      </c>
      <c r="AQ168" s="511">
        <v>0</v>
      </c>
      <c r="AR168" s="511">
        <v>0</v>
      </c>
      <c r="AS168" s="511">
        <v>0</v>
      </c>
      <c r="AT168" s="511">
        <v>0</v>
      </c>
      <c r="AU168" s="511">
        <v>0</v>
      </c>
      <c r="AV168" s="511">
        <v>0</v>
      </c>
      <c r="AW168" s="364" t="s">
        <v>1309</v>
      </c>
    </row>
    <row r="169" spans="2:49" x14ac:dyDescent="0.25">
      <c r="B169" s="462">
        <v>2032</v>
      </c>
      <c r="C169" s="466">
        <v>237225</v>
      </c>
      <c r="D169" s="462" t="s">
        <v>701</v>
      </c>
      <c r="E169" s="461" t="s">
        <v>978</v>
      </c>
      <c r="F169" s="462"/>
      <c r="G169" s="461"/>
      <c r="H169" s="461"/>
      <c r="I169" s="461"/>
      <c r="J169" s="461">
        <v>0</v>
      </c>
      <c r="K169" s="461"/>
      <c r="L169" s="461"/>
      <c r="M169" s="461"/>
      <c r="N169" s="465">
        <v>44044</v>
      </c>
      <c r="O169" s="465">
        <v>44044</v>
      </c>
      <c r="P169" s="461"/>
      <c r="Q169" s="462">
        <v>0</v>
      </c>
      <c r="R169" s="462">
        <v>15110</v>
      </c>
      <c r="S169" s="513">
        <v>17668.099999999999</v>
      </c>
      <c r="T169" s="462">
        <v>15120</v>
      </c>
      <c r="U169" s="463">
        <v>0</v>
      </c>
      <c r="V169" s="463">
        <f t="shared" si="72"/>
        <v>17668.099999999999</v>
      </c>
      <c r="W169" s="464">
        <v>0</v>
      </c>
      <c r="X169" s="462">
        <v>0</v>
      </c>
      <c r="Y169" s="463">
        <v>0</v>
      </c>
      <c r="Z169" s="461" t="s">
        <v>703</v>
      </c>
      <c r="AA169" s="461" t="s">
        <v>704</v>
      </c>
      <c r="AB169" s="461"/>
      <c r="AC169" s="461"/>
      <c r="AD169" s="461" t="s">
        <v>705</v>
      </c>
      <c r="AE169" s="461" t="s">
        <v>703</v>
      </c>
      <c r="AF169" s="462" t="s">
        <v>706</v>
      </c>
      <c r="AG169" s="461"/>
      <c r="AH169" s="462" t="s">
        <v>707</v>
      </c>
      <c r="AI169" s="461">
        <v>0</v>
      </c>
      <c r="AJ169" s="461">
        <v>0</v>
      </c>
      <c r="AL169" s="364">
        <v>0</v>
      </c>
      <c r="AM169" s="364">
        <v>0</v>
      </c>
      <c r="AN169" s="364">
        <v>0</v>
      </c>
      <c r="AO169" s="364">
        <v>0</v>
      </c>
      <c r="AP169" s="460">
        <v>0</v>
      </c>
      <c r="AQ169" s="511">
        <v>0</v>
      </c>
      <c r="AR169" s="511">
        <v>0</v>
      </c>
      <c r="AS169" s="511">
        <v>0</v>
      </c>
      <c r="AT169" s="511">
        <v>0</v>
      </c>
      <c r="AU169" s="511">
        <v>0</v>
      </c>
      <c r="AV169" s="511">
        <v>0</v>
      </c>
      <c r="AW169" s="364" t="s">
        <v>1309</v>
      </c>
    </row>
    <row r="170" spans="2:49" x14ac:dyDescent="0.25">
      <c r="B170" s="462">
        <v>2032</v>
      </c>
      <c r="C170" s="466">
        <v>237084</v>
      </c>
      <c r="D170" s="462">
        <v>235793</v>
      </c>
      <c r="E170" s="461" t="s">
        <v>977</v>
      </c>
      <c r="F170" s="462"/>
      <c r="G170" s="461"/>
      <c r="H170" s="461"/>
      <c r="I170" s="461"/>
      <c r="J170" s="461">
        <v>0</v>
      </c>
      <c r="K170" s="461" t="s">
        <v>976</v>
      </c>
      <c r="L170" s="461"/>
      <c r="M170" s="461"/>
      <c r="N170" s="465">
        <v>44068</v>
      </c>
      <c r="O170" s="465">
        <v>44068</v>
      </c>
      <c r="P170" s="461" t="s">
        <v>919</v>
      </c>
      <c r="Q170" s="462">
        <v>500</v>
      </c>
      <c r="R170" s="462">
        <v>14070</v>
      </c>
      <c r="S170" s="513">
        <v>1038.52</v>
      </c>
      <c r="T170" s="462">
        <v>14076</v>
      </c>
      <c r="U170" s="463">
        <v>450.02</v>
      </c>
      <c r="V170" s="463">
        <f t="shared" si="72"/>
        <v>588.5</v>
      </c>
      <c r="W170" s="464">
        <v>173.08</v>
      </c>
      <c r="X170" s="462">
        <v>51260</v>
      </c>
      <c r="Y170" s="463">
        <v>17.3</v>
      </c>
      <c r="Z170" s="461" t="s">
        <v>701</v>
      </c>
      <c r="AA170" s="461"/>
      <c r="AB170" s="461">
        <v>906231</v>
      </c>
      <c r="AC170" s="461"/>
      <c r="AD170" s="461" t="s">
        <v>705</v>
      </c>
      <c r="AE170" s="461" t="s">
        <v>703</v>
      </c>
      <c r="AF170" s="462" t="s">
        <v>351</v>
      </c>
      <c r="AG170" s="461"/>
      <c r="AH170" s="462" t="s">
        <v>707</v>
      </c>
      <c r="AI170" s="461">
        <v>0</v>
      </c>
      <c r="AJ170" s="461">
        <v>0</v>
      </c>
      <c r="AL170" s="364">
        <v>0</v>
      </c>
      <c r="AM170" s="364">
        <v>0</v>
      </c>
      <c r="AN170" s="364">
        <v>0</v>
      </c>
      <c r="AO170" s="364">
        <v>0</v>
      </c>
      <c r="AP170" s="460">
        <v>0</v>
      </c>
      <c r="AQ170" s="511">
        <v>0</v>
      </c>
      <c r="AR170" s="511">
        <v>0</v>
      </c>
      <c r="AS170" s="511">
        <v>0</v>
      </c>
      <c r="AT170" s="511">
        <v>0</v>
      </c>
      <c r="AU170" s="511">
        <v>0</v>
      </c>
      <c r="AV170" s="511">
        <v>0</v>
      </c>
      <c r="AW170" s="364" t="s">
        <v>1309</v>
      </c>
    </row>
    <row r="171" spans="2:49" x14ac:dyDescent="0.25">
      <c r="B171" s="462">
        <v>2032</v>
      </c>
      <c r="C171" s="466">
        <v>237083</v>
      </c>
      <c r="D171" s="462">
        <v>235793</v>
      </c>
      <c r="E171" s="461" t="s">
        <v>977</v>
      </c>
      <c r="F171" s="462"/>
      <c r="G171" s="461"/>
      <c r="H171" s="461"/>
      <c r="I171" s="461"/>
      <c r="J171" s="461">
        <v>0</v>
      </c>
      <c r="K171" s="461" t="s">
        <v>976</v>
      </c>
      <c r="L171" s="461"/>
      <c r="M171" s="461"/>
      <c r="N171" s="465">
        <v>44068</v>
      </c>
      <c r="O171" s="465">
        <v>44068</v>
      </c>
      <c r="P171" s="461" t="s">
        <v>912</v>
      </c>
      <c r="Q171" s="462">
        <v>500</v>
      </c>
      <c r="R171" s="462">
        <v>14070</v>
      </c>
      <c r="S171" s="513">
        <v>1344</v>
      </c>
      <c r="T171" s="462">
        <v>14076</v>
      </c>
      <c r="U171" s="463">
        <v>582.4</v>
      </c>
      <c r="V171" s="463">
        <f t="shared" si="72"/>
        <v>761.6</v>
      </c>
      <c r="W171" s="464">
        <v>224</v>
      </c>
      <c r="X171" s="462">
        <v>51260</v>
      </c>
      <c r="Y171" s="463">
        <v>22.4</v>
      </c>
      <c r="Z171" s="461" t="s">
        <v>701</v>
      </c>
      <c r="AA171" s="461"/>
      <c r="AB171" s="461">
        <v>906231</v>
      </c>
      <c r="AC171" s="461"/>
      <c r="AD171" s="461" t="s">
        <v>705</v>
      </c>
      <c r="AE171" s="461" t="s">
        <v>703</v>
      </c>
      <c r="AF171" s="462" t="s">
        <v>351</v>
      </c>
      <c r="AG171" s="461"/>
      <c r="AH171" s="462" t="s">
        <v>707</v>
      </c>
      <c r="AI171" s="461">
        <v>0</v>
      </c>
      <c r="AJ171" s="461">
        <v>0</v>
      </c>
      <c r="AL171" s="364">
        <v>0</v>
      </c>
      <c r="AM171" s="364">
        <v>0</v>
      </c>
      <c r="AN171" s="364">
        <v>0</v>
      </c>
      <c r="AO171" s="364">
        <v>0</v>
      </c>
      <c r="AP171" s="460">
        <v>0</v>
      </c>
      <c r="AQ171" s="511">
        <v>0</v>
      </c>
      <c r="AR171" s="511">
        <v>0</v>
      </c>
      <c r="AS171" s="511">
        <v>0</v>
      </c>
      <c r="AT171" s="511">
        <v>0</v>
      </c>
      <c r="AU171" s="511">
        <v>0</v>
      </c>
      <c r="AV171" s="511">
        <v>0</v>
      </c>
      <c r="AW171" s="364" t="s">
        <v>1309</v>
      </c>
    </row>
    <row r="172" spans="2:49" x14ac:dyDescent="0.25">
      <c r="B172" s="462">
        <v>2032</v>
      </c>
      <c r="C172" s="466">
        <v>236939</v>
      </c>
      <c r="D172" s="462" t="s">
        <v>701</v>
      </c>
      <c r="E172" s="461" t="s">
        <v>975</v>
      </c>
      <c r="F172" s="462"/>
      <c r="G172" s="461"/>
      <c r="H172" s="461"/>
      <c r="I172" s="461"/>
      <c r="J172" s="461">
        <v>0</v>
      </c>
      <c r="K172" s="461" t="s">
        <v>974</v>
      </c>
      <c r="L172" s="461"/>
      <c r="M172" s="461"/>
      <c r="N172" s="465">
        <v>44074</v>
      </c>
      <c r="O172" s="465">
        <v>44074</v>
      </c>
      <c r="P172" s="461" t="s">
        <v>973</v>
      </c>
      <c r="Q172" s="462">
        <v>500</v>
      </c>
      <c r="R172" s="462">
        <v>14070</v>
      </c>
      <c r="S172" s="513">
        <v>26979.34</v>
      </c>
      <c r="T172" s="462">
        <v>14076</v>
      </c>
      <c r="U172" s="463">
        <v>11691.05</v>
      </c>
      <c r="V172" s="463">
        <f t="shared" si="72"/>
        <v>15288.29</v>
      </c>
      <c r="W172" s="464">
        <v>4496.5600000000004</v>
      </c>
      <c r="X172" s="462">
        <v>51260</v>
      </c>
      <c r="Y172" s="463">
        <v>449.66</v>
      </c>
      <c r="Z172" s="461" t="s">
        <v>701</v>
      </c>
      <c r="AA172" s="461"/>
      <c r="AB172" s="461">
        <v>5298101</v>
      </c>
      <c r="AC172" s="461"/>
      <c r="AD172" s="461" t="s">
        <v>705</v>
      </c>
      <c r="AE172" s="461" t="s">
        <v>703</v>
      </c>
      <c r="AF172" s="462" t="s">
        <v>351</v>
      </c>
      <c r="AG172" s="461"/>
      <c r="AH172" s="462" t="s">
        <v>707</v>
      </c>
      <c r="AI172" s="461">
        <v>0</v>
      </c>
      <c r="AJ172" s="461">
        <v>0</v>
      </c>
      <c r="AL172" s="364">
        <v>0</v>
      </c>
      <c r="AM172" s="364">
        <v>0</v>
      </c>
      <c r="AN172" s="364">
        <v>0</v>
      </c>
      <c r="AO172" s="364">
        <v>0</v>
      </c>
      <c r="AP172" s="460">
        <v>0</v>
      </c>
      <c r="AQ172" s="511">
        <v>0</v>
      </c>
      <c r="AR172" s="511">
        <v>0</v>
      </c>
      <c r="AS172" s="511">
        <v>0</v>
      </c>
      <c r="AT172" s="511">
        <v>0</v>
      </c>
      <c r="AU172" s="511">
        <v>0</v>
      </c>
      <c r="AV172" s="511">
        <v>0</v>
      </c>
      <c r="AW172" s="364" t="s">
        <v>1309</v>
      </c>
    </row>
    <row r="173" spans="2:49" x14ac:dyDescent="0.25">
      <c r="B173" s="462">
        <v>2032</v>
      </c>
      <c r="C173" s="466">
        <v>236847</v>
      </c>
      <c r="D173" s="462">
        <v>236846</v>
      </c>
      <c r="E173" s="461" t="s">
        <v>972</v>
      </c>
      <c r="F173" s="462">
        <v>100</v>
      </c>
      <c r="G173" s="461"/>
      <c r="H173" s="461"/>
      <c r="I173" s="461"/>
      <c r="J173" s="461">
        <v>0</v>
      </c>
      <c r="K173" s="461" t="s">
        <v>970</v>
      </c>
      <c r="L173" s="461"/>
      <c r="M173" s="461" t="s">
        <v>858</v>
      </c>
      <c r="N173" s="465">
        <v>44070</v>
      </c>
      <c r="O173" s="465">
        <v>44070</v>
      </c>
      <c r="P173" s="461" t="s">
        <v>969</v>
      </c>
      <c r="Q173" s="462">
        <v>700</v>
      </c>
      <c r="R173" s="462">
        <v>14050</v>
      </c>
      <c r="S173" s="513">
        <v>3587.23</v>
      </c>
      <c r="T173" s="462">
        <v>14056</v>
      </c>
      <c r="U173" s="463">
        <v>1110.33</v>
      </c>
      <c r="V173" s="463">
        <f t="shared" si="72"/>
        <v>2476.9</v>
      </c>
      <c r="W173" s="464">
        <v>427.05</v>
      </c>
      <c r="X173" s="462">
        <v>54260</v>
      </c>
      <c r="Y173" s="463">
        <v>42.7</v>
      </c>
      <c r="Z173" s="461" t="s">
        <v>701</v>
      </c>
      <c r="AA173" s="461"/>
      <c r="AB173" s="461" t="s">
        <v>968</v>
      </c>
      <c r="AC173" s="461"/>
      <c r="AD173" s="461" t="s">
        <v>705</v>
      </c>
      <c r="AE173" s="461" t="s">
        <v>703</v>
      </c>
      <c r="AF173" s="462" t="s">
        <v>351</v>
      </c>
      <c r="AG173" s="461"/>
      <c r="AH173" s="462" t="s">
        <v>707</v>
      </c>
      <c r="AI173" s="461">
        <v>0</v>
      </c>
      <c r="AJ173" s="461">
        <v>0</v>
      </c>
      <c r="AL173" s="364">
        <v>0</v>
      </c>
      <c r="AM173" s="364">
        <v>0</v>
      </c>
      <c r="AN173" s="364">
        <v>0</v>
      </c>
      <c r="AO173" s="364">
        <v>0</v>
      </c>
      <c r="AP173" s="460">
        <v>0</v>
      </c>
      <c r="AQ173" s="511">
        <v>0</v>
      </c>
      <c r="AR173" s="511">
        <v>0</v>
      </c>
      <c r="AS173" s="511">
        <v>0</v>
      </c>
      <c r="AT173" s="511">
        <v>0</v>
      </c>
      <c r="AU173" s="511">
        <v>0</v>
      </c>
      <c r="AV173" s="511">
        <v>0</v>
      </c>
      <c r="AW173" s="364" t="s">
        <v>1309</v>
      </c>
    </row>
    <row r="174" spans="2:49" x14ac:dyDescent="0.25">
      <c r="B174" s="462">
        <v>2032</v>
      </c>
      <c r="C174" s="466">
        <v>236846</v>
      </c>
      <c r="D174" s="462" t="s">
        <v>701</v>
      </c>
      <c r="E174" s="461" t="s">
        <v>971</v>
      </c>
      <c r="F174" s="462">
        <v>65</v>
      </c>
      <c r="G174" s="461"/>
      <c r="H174" s="461"/>
      <c r="I174" s="461"/>
      <c r="J174" s="461">
        <v>0</v>
      </c>
      <c r="K174" s="461" t="s">
        <v>970</v>
      </c>
      <c r="L174" s="461"/>
      <c r="M174" s="461" t="s">
        <v>858</v>
      </c>
      <c r="N174" s="465">
        <v>44070</v>
      </c>
      <c r="O174" s="465">
        <v>44070</v>
      </c>
      <c r="P174" s="461" t="s">
        <v>969</v>
      </c>
      <c r="Q174" s="462">
        <v>700</v>
      </c>
      <c r="R174" s="462">
        <v>14050</v>
      </c>
      <c r="S174" s="513">
        <v>21455.78</v>
      </c>
      <c r="T174" s="462">
        <v>14056</v>
      </c>
      <c r="U174" s="463">
        <v>6641.07</v>
      </c>
      <c r="V174" s="463">
        <f t="shared" si="72"/>
        <v>14814.71</v>
      </c>
      <c r="W174" s="464">
        <v>2554.2600000000002</v>
      </c>
      <c r="X174" s="462">
        <v>54260</v>
      </c>
      <c r="Y174" s="463">
        <v>255.43</v>
      </c>
      <c r="Z174" s="461" t="s">
        <v>701</v>
      </c>
      <c r="AA174" s="461"/>
      <c r="AB174" s="461" t="s">
        <v>968</v>
      </c>
      <c r="AC174" s="461"/>
      <c r="AD174" s="461" t="s">
        <v>705</v>
      </c>
      <c r="AE174" s="461" t="s">
        <v>703</v>
      </c>
      <c r="AF174" s="462" t="s">
        <v>351</v>
      </c>
      <c r="AG174" s="461"/>
      <c r="AH174" s="462" t="s">
        <v>707</v>
      </c>
      <c r="AI174" s="461">
        <v>0</v>
      </c>
      <c r="AJ174" s="461">
        <v>0</v>
      </c>
      <c r="AL174" s="364">
        <v>0</v>
      </c>
      <c r="AM174" s="364">
        <v>0</v>
      </c>
      <c r="AN174" s="364">
        <v>0</v>
      </c>
      <c r="AO174" s="364">
        <v>0</v>
      </c>
      <c r="AP174" s="460">
        <v>0</v>
      </c>
      <c r="AQ174" s="511">
        <v>0</v>
      </c>
      <c r="AR174" s="511">
        <v>0</v>
      </c>
      <c r="AS174" s="511">
        <v>0</v>
      </c>
      <c r="AT174" s="511">
        <v>0</v>
      </c>
      <c r="AU174" s="511">
        <v>0</v>
      </c>
      <c r="AV174" s="511">
        <v>0</v>
      </c>
      <c r="AW174" s="364" t="s">
        <v>1309</v>
      </c>
    </row>
    <row r="175" spans="2:49" x14ac:dyDescent="0.25">
      <c r="B175" s="462">
        <v>2032</v>
      </c>
      <c r="C175" s="466">
        <v>236730</v>
      </c>
      <c r="D175" s="462">
        <v>236727</v>
      </c>
      <c r="E175" s="461" t="s">
        <v>967</v>
      </c>
      <c r="F175" s="462"/>
      <c r="G175" s="461"/>
      <c r="H175" s="461"/>
      <c r="I175" s="461"/>
      <c r="J175" s="461">
        <v>0</v>
      </c>
      <c r="K175" s="461" t="s">
        <v>966</v>
      </c>
      <c r="L175" s="461"/>
      <c r="M175" s="461" t="s">
        <v>965</v>
      </c>
      <c r="N175" s="465">
        <v>41691</v>
      </c>
      <c r="O175" s="465"/>
      <c r="P175" s="461" t="s">
        <v>964</v>
      </c>
      <c r="Q175" s="462">
        <v>300</v>
      </c>
      <c r="R175" s="462">
        <v>14040</v>
      </c>
      <c r="S175" s="513">
        <v>15652.9</v>
      </c>
      <c r="T175" s="462">
        <v>14046</v>
      </c>
      <c r="U175" s="463">
        <v>15652.9</v>
      </c>
      <c r="V175" s="463">
        <f t="shared" si="72"/>
        <v>0</v>
      </c>
      <c r="W175" s="464">
        <v>0</v>
      </c>
      <c r="X175" s="462">
        <v>51260</v>
      </c>
      <c r="Y175" s="463">
        <v>0</v>
      </c>
      <c r="Z175" s="461" t="s">
        <v>701</v>
      </c>
      <c r="AA175" s="461"/>
      <c r="AB175" s="461">
        <v>12063710</v>
      </c>
      <c r="AC175" s="461" t="s">
        <v>953</v>
      </c>
      <c r="AD175" s="461" t="s">
        <v>705</v>
      </c>
      <c r="AE175" s="461" t="s">
        <v>703</v>
      </c>
      <c r="AF175" s="462" t="s">
        <v>351</v>
      </c>
      <c r="AG175" s="467">
        <v>44043</v>
      </c>
      <c r="AH175" s="462" t="s">
        <v>707</v>
      </c>
      <c r="AI175" s="461">
        <v>0</v>
      </c>
      <c r="AJ175" s="461">
        <v>15652.9</v>
      </c>
      <c r="AL175" s="364">
        <v>0</v>
      </c>
      <c r="AM175" s="364">
        <v>0</v>
      </c>
      <c r="AN175" s="364">
        <v>0</v>
      </c>
      <c r="AO175" s="364">
        <v>0</v>
      </c>
      <c r="AP175" s="460">
        <v>0</v>
      </c>
      <c r="AQ175" s="511">
        <v>0</v>
      </c>
      <c r="AR175" s="511">
        <v>0</v>
      </c>
      <c r="AS175" s="511">
        <v>0</v>
      </c>
      <c r="AT175" s="511">
        <v>0</v>
      </c>
      <c r="AU175" s="511">
        <v>0</v>
      </c>
      <c r="AV175" s="511">
        <v>0</v>
      </c>
      <c r="AW175" s="364" t="s">
        <v>1309</v>
      </c>
    </row>
    <row r="176" spans="2:49" x14ac:dyDescent="0.25">
      <c r="B176" s="462">
        <v>2032</v>
      </c>
      <c r="C176" s="466">
        <v>236729</v>
      </c>
      <c r="D176" s="462">
        <v>236727</v>
      </c>
      <c r="E176" s="461" t="s">
        <v>963</v>
      </c>
      <c r="F176" s="462">
        <v>0</v>
      </c>
      <c r="G176" s="461"/>
      <c r="H176" s="461"/>
      <c r="I176" s="461"/>
      <c r="J176" s="461">
        <v>2001</v>
      </c>
      <c r="K176" s="461"/>
      <c r="L176" s="461"/>
      <c r="M176" s="461" t="s">
        <v>962</v>
      </c>
      <c r="N176" s="465">
        <v>38717</v>
      </c>
      <c r="O176" s="465"/>
      <c r="P176" s="461" t="s">
        <v>954</v>
      </c>
      <c r="Q176" s="462">
        <v>1000</v>
      </c>
      <c r="R176" s="462">
        <v>14040</v>
      </c>
      <c r="S176" s="513">
        <v>4682.6000000000004</v>
      </c>
      <c r="T176" s="462">
        <v>14046</v>
      </c>
      <c r="U176" s="463">
        <v>4682.6000000000004</v>
      </c>
      <c r="V176" s="463">
        <f t="shared" si="72"/>
        <v>0</v>
      </c>
      <c r="W176" s="464">
        <v>0</v>
      </c>
      <c r="X176" s="462">
        <v>51260</v>
      </c>
      <c r="Y176" s="463">
        <v>0</v>
      </c>
      <c r="Z176" s="461" t="s">
        <v>701</v>
      </c>
      <c r="AA176" s="461">
        <v>0</v>
      </c>
      <c r="AB176" s="461" t="s">
        <v>961</v>
      </c>
      <c r="AC176" s="461" t="s">
        <v>953</v>
      </c>
      <c r="AD176" s="461" t="s">
        <v>705</v>
      </c>
      <c r="AE176" s="461" t="s">
        <v>703</v>
      </c>
      <c r="AF176" s="462" t="s">
        <v>351</v>
      </c>
      <c r="AG176" s="467">
        <v>44043</v>
      </c>
      <c r="AH176" s="462" t="s">
        <v>707</v>
      </c>
      <c r="AI176" s="461">
        <v>0</v>
      </c>
      <c r="AJ176" s="461">
        <v>4682.6000000000004</v>
      </c>
      <c r="AL176" s="364">
        <v>0</v>
      </c>
      <c r="AM176" s="364">
        <v>0</v>
      </c>
      <c r="AN176" s="364">
        <v>0</v>
      </c>
      <c r="AO176" s="364">
        <v>0</v>
      </c>
      <c r="AP176" s="460">
        <v>0</v>
      </c>
      <c r="AQ176" s="511">
        <v>0</v>
      </c>
      <c r="AR176" s="511">
        <v>0</v>
      </c>
      <c r="AS176" s="511">
        <v>0</v>
      </c>
      <c r="AT176" s="511">
        <v>0</v>
      </c>
      <c r="AU176" s="511">
        <v>0</v>
      </c>
      <c r="AV176" s="511">
        <v>0</v>
      </c>
      <c r="AW176" s="364" t="s">
        <v>1309</v>
      </c>
    </row>
    <row r="177" spans="2:49" x14ac:dyDescent="0.25">
      <c r="B177" s="462">
        <v>2032</v>
      </c>
      <c r="C177" s="466">
        <v>236728</v>
      </c>
      <c r="D177" s="462">
        <v>236727</v>
      </c>
      <c r="E177" s="461" t="s">
        <v>960</v>
      </c>
      <c r="F177" s="462">
        <v>0</v>
      </c>
      <c r="G177" s="461"/>
      <c r="H177" s="461"/>
      <c r="I177" s="461"/>
      <c r="J177" s="461">
        <v>2001</v>
      </c>
      <c r="K177" s="461"/>
      <c r="L177" s="461"/>
      <c r="M177" s="461" t="s">
        <v>955</v>
      </c>
      <c r="N177" s="465">
        <v>38673</v>
      </c>
      <c r="O177" s="465">
        <v>38673</v>
      </c>
      <c r="P177" s="461" t="s">
        <v>954</v>
      </c>
      <c r="Q177" s="462">
        <v>1000</v>
      </c>
      <c r="R177" s="462">
        <v>14040</v>
      </c>
      <c r="S177" s="513">
        <v>2008.93</v>
      </c>
      <c r="T177" s="462">
        <v>14046</v>
      </c>
      <c r="U177" s="463">
        <v>2008.93</v>
      </c>
      <c r="V177" s="463">
        <f t="shared" si="72"/>
        <v>0</v>
      </c>
      <c r="W177" s="464">
        <v>0</v>
      </c>
      <c r="X177" s="462">
        <v>51260</v>
      </c>
      <c r="Y177" s="463">
        <v>0</v>
      </c>
      <c r="Z177" s="461" t="s">
        <v>701</v>
      </c>
      <c r="AA177" s="461">
        <v>0</v>
      </c>
      <c r="AB177" s="461" t="s">
        <v>959</v>
      </c>
      <c r="AC177" s="461" t="s">
        <v>953</v>
      </c>
      <c r="AD177" s="461" t="s">
        <v>705</v>
      </c>
      <c r="AE177" s="461" t="s">
        <v>703</v>
      </c>
      <c r="AF177" s="462" t="s">
        <v>351</v>
      </c>
      <c r="AG177" s="467">
        <v>44043</v>
      </c>
      <c r="AH177" s="462" t="s">
        <v>707</v>
      </c>
      <c r="AI177" s="461">
        <v>0</v>
      </c>
      <c r="AJ177" s="461">
        <v>2008.93</v>
      </c>
      <c r="AL177" s="364">
        <v>0</v>
      </c>
      <c r="AM177" s="364">
        <v>0</v>
      </c>
      <c r="AN177" s="364">
        <v>0</v>
      </c>
      <c r="AO177" s="364">
        <v>0</v>
      </c>
      <c r="AP177" s="460">
        <v>0</v>
      </c>
      <c r="AQ177" s="511">
        <v>0</v>
      </c>
      <c r="AR177" s="511">
        <v>0</v>
      </c>
      <c r="AS177" s="511">
        <v>0</v>
      </c>
      <c r="AT177" s="511">
        <v>0</v>
      </c>
      <c r="AU177" s="511">
        <v>0</v>
      </c>
      <c r="AV177" s="511">
        <v>0</v>
      </c>
      <c r="AW177" s="364" t="s">
        <v>1309</v>
      </c>
    </row>
    <row r="178" spans="2:49" x14ac:dyDescent="0.25">
      <c r="B178" s="462">
        <v>2032</v>
      </c>
      <c r="C178" s="466">
        <v>236727</v>
      </c>
      <c r="D178" s="462" t="s">
        <v>701</v>
      </c>
      <c r="E178" s="461" t="s">
        <v>958</v>
      </c>
      <c r="F178" s="462">
        <v>0</v>
      </c>
      <c r="G178" s="461"/>
      <c r="H178" s="461" t="s">
        <v>957</v>
      </c>
      <c r="I178" s="461"/>
      <c r="J178" s="461">
        <v>2001</v>
      </c>
      <c r="K178" s="461" t="s">
        <v>956</v>
      </c>
      <c r="L178" s="461" t="s">
        <v>637</v>
      </c>
      <c r="M178" s="461" t="s">
        <v>955</v>
      </c>
      <c r="N178" s="465">
        <v>38670</v>
      </c>
      <c r="O178" s="465">
        <v>38670</v>
      </c>
      <c r="P178" s="461" t="s">
        <v>954</v>
      </c>
      <c r="Q178" s="462">
        <v>1000</v>
      </c>
      <c r="R178" s="462">
        <v>14040</v>
      </c>
      <c r="S178" s="513">
        <v>65495.6</v>
      </c>
      <c r="T178" s="462">
        <v>14046</v>
      </c>
      <c r="U178" s="463">
        <v>65495.6</v>
      </c>
      <c r="V178" s="463">
        <f t="shared" si="72"/>
        <v>0</v>
      </c>
      <c r="W178" s="464">
        <v>0</v>
      </c>
      <c r="X178" s="462">
        <v>51260</v>
      </c>
      <c r="Y178" s="463">
        <v>0</v>
      </c>
      <c r="Z178" s="461" t="s">
        <v>701</v>
      </c>
      <c r="AA178" s="461">
        <v>0</v>
      </c>
      <c r="AB178" s="461">
        <v>3327</v>
      </c>
      <c r="AC178" s="461" t="s">
        <v>953</v>
      </c>
      <c r="AD178" s="461" t="s">
        <v>705</v>
      </c>
      <c r="AE178" s="461" t="s">
        <v>703</v>
      </c>
      <c r="AF178" s="462" t="s">
        <v>351</v>
      </c>
      <c r="AG178" s="467">
        <v>44043</v>
      </c>
      <c r="AH178" s="462" t="s">
        <v>707</v>
      </c>
      <c r="AI178" s="461">
        <v>0</v>
      </c>
      <c r="AJ178" s="461">
        <v>65495.6</v>
      </c>
      <c r="AL178" s="364">
        <v>0</v>
      </c>
      <c r="AM178" s="364">
        <v>0</v>
      </c>
      <c r="AN178" s="364">
        <v>0</v>
      </c>
      <c r="AO178" s="364">
        <v>0</v>
      </c>
      <c r="AP178" s="460">
        <v>0</v>
      </c>
      <c r="AQ178" s="511">
        <v>0</v>
      </c>
      <c r="AR178" s="511">
        <v>0</v>
      </c>
      <c r="AS178" s="511">
        <v>0</v>
      </c>
      <c r="AT178" s="511">
        <v>0</v>
      </c>
      <c r="AU178" s="511">
        <v>0</v>
      </c>
      <c r="AV178" s="511">
        <v>0</v>
      </c>
      <c r="AW178" s="364" t="s">
        <v>1309</v>
      </c>
    </row>
    <row r="179" spans="2:49" x14ac:dyDescent="0.25">
      <c r="B179" s="462">
        <v>2032</v>
      </c>
      <c r="C179" s="466">
        <v>236707</v>
      </c>
      <c r="D179" s="462" t="s">
        <v>701</v>
      </c>
      <c r="E179" s="461" t="s">
        <v>952</v>
      </c>
      <c r="F179" s="462">
        <v>3</v>
      </c>
      <c r="G179" s="461"/>
      <c r="H179" s="461"/>
      <c r="I179" s="461"/>
      <c r="J179" s="461">
        <v>0</v>
      </c>
      <c r="K179" s="461" t="s">
        <v>909</v>
      </c>
      <c r="L179" s="461"/>
      <c r="M179" s="461" t="s">
        <v>856</v>
      </c>
      <c r="N179" s="465">
        <v>44029</v>
      </c>
      <c r="O179" s="465">
        <v>44029</v>
      </c>
      <c r="P179" s="461" t="s">
        <v>950</v>
      </c>
      <c r="Q179" s="462">
        <v>1200</v>
      </c>
      <c r="R179" s="462">
        <v>14050</v>
      </c>
      <c r="S179" s="513">
        <v>30664.83</v>
      </c>
      <c r="T179" s="462">
        <v>14056</v>
      </c>
      <c r="U179" s="463">
        <v>5749.65</v>
      </c>
      <c r="V179" s="463">
        <f t="shared" si="72"/>
        <v>24915.18</v>
      </c>
      <c r="W179" s="464">
        <v>2129.5</v>
      </c>
      <c r="X179" s="462">
        <v>54260</v>
      </c>
      <c r="Y179" s="463">
        <v>212.95</v>
      </c>
      <c r="Z179" s="461" t="s">
        <v>701</v>
      </c>
      <c r="AA179" s="461"/>
      <c r="AB179" s="461">
        <v>37221332</v>
      </c>
      <c r="AC179" s="461"/>
      <c r="AD179" s="461" t="s">
        <v>705</v>
      </c>
      <c r="AE179" s="461" t="s">
        <v>703</v>
      </c>
      <c r="AF179" s="462" t="s">
        <v>351</v>
      </c>
      <c r="AG179" s="461"/>
      <c r="AH179" s="462" t="s">
        <v>707</v>
      </c>
      <c r="AI179" s="461">
        <v>0</v>
      </c>
      <c r="AJ179" s="461">
        <v>0</v>
      </c>
      <c r="AL179" s="364">
        <v>0</v>
      </c>
      <c r="AM179" s="364">
        <v>0</v>
      </c>
      <c r="AN179" s="364">
        <v>0</v>
      </c>
      <c r="AO179" s="364">
        <v>0</v>
      </c>
      <c r="AP179" s="460">
        <v>0</v>
      </c>
      <c r="AQ179" s="511">
        <v>0</v>
      </c>
      <c r="AR179" s="511">
        <v>0</v>
      </c>
      <c r="AS179" s="511">
        <v>0</v>
      </c>
      <c r="AT179" s="511">
        <v>0</v>
      </c>
      <c r="AU179" s="511">
        <v>0</v>
      </c>
      <c r="AV179" s="511">
        <v>0</v>
      </c>
      <c r="AW179" s="364" t="s">
        <v>1309</v>
      </c>
    </row>
    <row r="180" spans="2:49" x14ac:dyDescent="0.25">
      <c r="B180" s="462">
        <v>2032</v>
      </c>
      <c r="C180" s="466">
        <v>236706</v>
      </c>
      <c r="D180" s="462" t="s">
        <v>701</v>
      </c>
      <c r="E180" s="461" t="s">
        <v>951</v>
      </c>
      <c r="F180" s="462">
        <v>1</v>
      </c>
      <c r="G180" s="461"/>
      <c r="H180" s="461"/>
      <c r="I180" s="461"/>
      <c r="J180" s="461">
        <v>0</v>
      </c>
      <c r="K180" s="461" t="s">
        <v>909</v>
      </c>
      <c r="L180" s="461"/>
      <c r="M180" s="461" t="s">
        <v>856</v>
      </c>
      <c r="N180" s="465">
        <v>44029</v>
      </c>
      <c r="O180" s="465">
        <v>44029</v>
      </c>
      <c r="P180" s="461" t="s">
        <v>950</v>
      </c>
      <c r="Q180" s="462">
        <v>1200</v>
      </c>
      <c r="R180" s="462">
        <v>14050</v>
      </c>
      <c r="S180" s="513">
        <v>7979.17</v>
      </c>
      <c r="T180" s="462">
        <v>14056</v>
      </c>
      <c r="U180" s="463">
        <v>1496.1</v>
      </c>
      <c r="V180" s="463">
        <f t="shared" si="72"/>
        <v>6483.07</v>
      </c>
      <c r="W180" s="464">
        <v>554.11</v>
      </c>
      <c r="X180" s="462">
        <v>54260</v>
      </c>
      <c r="Y180" s="463">
        <v>55.41</v>
      </c>
      <c r="Z180" s="461" t="s">
        <v>701</v>
      </c>
      <c r="AA180" s="461"/>
      <c r="AB180" s="461">
        <v>37221330</v>
      </c>
      <c r="AC180" s="461"/>
      <c r="AD180" s="461" t="s">
        <v>705</v>
      </c>
      <c r="AE180" s="461" t="s">
        <v>703</v>
      </c>
      <c r="AF180" s="462" t="s">
        <v>351</v>
      </c>
      <c r="AG180" s="461"/>
      <c r="AH180" s="462" t="s">
        <v>707</v>
      </c>
      <c r="AI180" s="461">
        <v>0</v>
      </c>
      <c r="AJ180" s="461">
        <v>0</v>
      </c>
      <c r="AL180" s="364">
        <v>0</v>
      </c>
      <c r="AM180" s="364">
        <v>0</v>
      </c>
      <c r="AN180" s="364">
        <v>0</v>
      </c>
      <c r="AO180" s="364">
        <v>0</v>
      </c>
      <c r="AP180" s="460">
        <v>0</v>
      </c>
      <c r="AQ180" s="511">
        <v>0</v>
      </c>
      <c r="AR180" s="511">
        <v>0</v>
      </c>
      <c r="AS180" s="511">
        <v>0</v>
      </c>
      <c r="AT180" s="511">
        <v>0</v>
      </c>
      <c r="AU180" s="511">
        <v>0</v>
      </c>
      <c r="AV180" s="511">
        <v>0</v>
      </c>
      <c r="AW180" s="364" t="s">
        <v>1309</v>
      </c>
    </row>
    <row r="181" spans="2:49" x14ac:dyDescent="0.25">
      <c r="B181" s="462">
        <v>2032</v>
      </c>
      <c r="C181" s="466">
        <v>236705</v>
      </c>
      <c r="D181" s="462" t="s">
        <v>701</v>
      </c>
      <c r="E181" s="461" t="s">
        <v>949</v>
      </c>
      <c r="F181" s="462">
        <v>1</v>
      </c>
      <c r="G181" s="461"/>
      <c r="H181" s="461"/>
      <c r="I181" s="461"/>
      <c r="J181" s="461">
        <v>0</v>
      </c>
      <c r="K181" s="461" t="s">
        <v>909</v>
      </c>
      <c r="L181" s="461"/>
      <c r="M181" s="461" t="s">
        <v>854</v>
      </c>
      <c r="N181" s="465">
        <v>44029</v>
      </c>
      <c r="O181" s="465">
        <v>44029</v>
      </c>
      <c r="P181" s="461" t="s">
        <v>947</v>
      </c>
      <c r="Q181" s="462">
        <v>1200</v>
      </c>
      <c r="R181" s="462">
        <v>14050</v>
      </c>
      <c r="S181" s="513">
        <v>14036.01</v>
      </c>
      <c r="T181" s="462">
        <v>14056</v>
      </c>
      <c r="U181" s="463">
        <v>2631.76</v>
      </c>
      <c r="V181" s="463">
        <f t="shared" si="72"/>
        <v>11404.25</v>
      </c>
      <c r="W181" s="464">
        <v>974.73</v>
      </c>
      <c r="X181" s="462">
        <v>54260</v>
      </c>
      <c r="Y181" s="463">
        <v>97.48</v>
      </c>
      <c r="Z181" s="461" t="s">
        <v>701</v>
      </c>
      <c r="AA181" s="461"/>
      <c r="AB181" s="461">
        <v>37221332</v>
      </c>
      <c r="AC181" s="461"/>
      <c r="AD181" s="461" t="s">
        <v>705</v>
      </c>
      <c r="AE181" s="461" t="s">
        <v>703</v>
      </c>
      <c r="AF181" s="462" t="s">
        <v>351</v>
      </c>
      <c r="AG181" s="461"/>
      <c r="AH181" s="462" t="s">
        <v>707</v>
      </c>
      <c r="AI181" s="461">
        <v>0</v>
      </c>
      <c r="AJ181" s="461">
        <v>0</v>
      </c>
      <c r="AL181" s="364">
        <v>0</v>
      </c>
      <c r="AM181" s="364">
        <v>0</v>
      </c>
      <c r="AN181" s="364">
        <v>0</v>
      </c>
      <c r="AO181" s="364">
        <v>0</v>
      </c>
      <c r="AP181" s="460">
        <v>0</v>
      </c>
      <c r="AQ181" s="511">
        <v>0</v>
      </c>
      <c r="AR181" s="511">
        <v>0</v>
      </c>
      <c r="AS181" s="511">
        <v>0</v>
      </c>
      <c r="AT181" s="511">
        <v>0</v>
      </c>
      <c r="AU181" s="511">
        <v>0</v>
      </c>
      <c r="AV181" s="511">
        <v>0</v>
      </c>
      <c r="AW181" s="364" t="s">
        <v>1309</v>
      </c>
    </row>
    <row r="182" spans="2:49" x14ac:dyDescent="0.25">
      <c r="B182" s="462">
        <v>2032</v>
      </c>
      <c r="C182" s="466">
        <v>236704</v>
      </c>
      <c r="D182" s="462">
        <v>236703</v>
      </c>
      <c r="E182" s="461" t="s">
        <v>734</v>
      </c>
      <c r="F182" s="462">
        <v>0</v>
      </c>
      <c r="G182" s="461"/>
      <c r="H182" s="461"/>
      <c r="I182" s="461"/>
      <c r="J182" s="461">
        <v>0</v>
      </c>
      <c r="K182" s="461" t="s">
        <v>909</v>
      </c>
      <c r="L182" s="461"/>
      <c r="M182" s="461" t="s">
        <v>856</v>
      </c>
      <c r="N182" s="465">
        <v>44029</v>
      </c>
      <c r="O182" s="465">
        <v>44029</v>
      </c>
      <c r="P182" s="461" t="s">
        <v>947</v>
      </c>
      <c r="Q182" s="462">
        <v>1200</v>
      </c>
      <c r="R182" s="462">
        <v>14050</v>
      </c>
      <c r="S182" s="513">
        <v>155.93</v>
      </c>
      <c r="T182" s="462">
        <v>14056</v>
      </c>
      <c r="U182" s="463">
        <v>29.25</v>
      </c>
      <c r="V182" s="463">
        <f t="shared" si="72"/>
        <v>126.68</v>
      </c>
      <c r="W182" s="464">
        <v>10.83</v>
      </c>
      <c r="X182" s="462">
        <v>54260</v>
      </c>
      <c r="Y182" s="463">
        <v>1.08</v>
      </c>
      <c r="Z182" s="461" t="s">
        <v>701</v>
      </c>
      <c r="AA182" s="461"/>
      <c r="AB182" s="461">
        <v>37221332</v>
      </c>
      <c r="AC182" s="461"/>
      <c r="AD182" s="461" t="s">
        <v>705</v>
      </c>
      <c r="AE182" s="461" t="s">
        <v>703</v>
      </c>
      <c r="AF182" s="462" t="s">
        <v>351</v>
      </c>
      <c r="AG182" s="461"/>
      <c r="AH182" s="462" t="s">
        <v>707</v>
      </c>
      <c r="AI182" s="461">
        <v>0</v>
      </c>
      <c r="AJ182" s="461">
        <v>0</v>
      </c>
      <c r="AL182" s="364">
        <v>0</v>
      </c>
      <c r="AM182" s="364">
        <v>0</v>
      </c>
      <c r="AN182" s="364">
        <v>0</v>
      </c>
      <c r="AO182" s="364">
        <v>0</v>
      </c>
      <c r="AP182" s="460">
        <v>0</v>
      </c>
      <c r="AQ182" s="511">
        <v>0</v>
      </c>
      <c r="AR182" s="511">
        <v>0</v>
      </c>
      <c r="AS182" s="511">
        <v>0</v>
      </c>
      <c r="AT182" s="511">
        <v>0</v>
      </c>
      <c r="AU182" s="511">
        <v>0</v>
      </c>
      <c r="AV182" s="511">
        <v>0</v>
      </c>
      <c r="AW182" s="364" t="s">
        <v>1309</v>
      </c>
    </row>
    <row r="183" spans="2:49" x14ac:dyDescent="0.25">
      <c r="B183" s="462">
        <v>2032</v>
      </c>
      <c r="C183" s="466">
        <v>236703</v>
      </c>
      <c r="D183" s="462" t="s">
        <v>701</v>
      </c>
      <c r="E183" s="461" t="s">
        <v>948</v>
      </c>
      <c r="F183" s="462">
        <v>1</v>
      </c>
      <c r="G183" s="461"/>
      <c r="H183" s="461"/>
      <c r="I183" s="461"/>
      <c r="J183" s="461">
        <v>0</v>
      </c>
      <c r="K183" s="461" t="s">
        <v>909</v>
      </c>
      <c r="L183" s="461"/>
      <c r="M183" s="461" t="s">
        <v>854</v>
      </c>
      <c r="N183" s="465">
        <v>44029</v>
      </c>
      <c r="O183" s="465">
        <v>44029</v>
      </c>
      <c r="P183" s="461" t="s">
        <v>947</v>
      </c>
      <c r="Q183" s="462">
        <v>1200</v>
      </c>
      <c r="R183" s="462">
        <v>14050</v>
      </c>
      <c r="S183" s="513">
        <v>20819.29</v>
      </c>
      <c r="T183" s="462">
        <v>14056</v>
      </c>
      <c r="U183" s="463">
        <v>3903.61</v>
      </c>
      <c r="V183" s="463">
        <f t="shared" si="72"/>
        <v>16915.68</v>
      </c>
      <c r="W183" s="464">
        <v>1445.78</v>
      </c>
      <c r="X183" s="462">
        <v>54260</v>
      </c>
      <c r="Y183" s="463">
        <v>144.57</v>
      </c>
      <c r="Z183" s="461" t="s">
        <v>701</v>
      </c>
      <c r="AA183" s="461"/>
      <c r="AB183" s="461">
        <v>37221330</v>
      </c>
      <c r="AC183" s="461"/>
      <c r="AD183" s="461" t="s">
        <v>705</v>
      </c>
      <c r="AE183" s="461" t="s">
        <v>703</v>
      </c>
      <c r="AF183" s="462" t="s">
        <v>351</v>
      </c>
      <c r="AG183" s="461"/>
      <c r="AH183" s="462" t="s">
        <v>707</v>
      </c>
      <c r="AI183" s="461">
        <v>0</v>
      </c>
      <c r="AJ183" s="461">
        <v>0</v>
      </c>
      <c r="AL183" s="364">
        <v>0</v>
      </c>
      <c r="AM183" s="364">
        <v>0</v>
      </c>
      <c r="AN183" s="364">
        <v>0</v>
      </c>
      <c r="AO183" s="364">
        <v>0</v>
      </c>
      <c r="AP183" s="460">
        <v>0</v>
      </c>
      <c r="AQ183" s="511">
        <v>0</v>
      </c>
      <c r="AR183" s="511">
        <v>0</v>
      </c>
      <c r="AS183" s="511">
        <v>0</v>
      </c>
      <c r="AT183" s="511">
        <v>0</v>
      </c>
      <c r="AU183" s="511">
        <v>0</v>
      </c>
      <c r="AV183" s="511">
        <v>0</v>
      </c>
      <c r="AW183" s="364" t="s">
        <v>1309</v>
      </c>
    </row>
    <row r="184" spans="2:49" x14ac:dyDescent="0.25">
      <c r="B184" s="462">
        <v>2032</v>
      </c>
      <c r="C184" s="466">
        <v>236702</v>
      </c>
      <c r="D184" s="462">
        <v>236706</v>
      </c>
      <c r="E184" s="461" t="s">
        <v>734</v>
      </c>
      <c r="F184" s="462">
        <v>0</v>
      </c>
      <c r="G184" s="461"/>
      <c r="H184" s="461"/>
      <c r="I184" s="461"/>
      <c r="J184" s="461">
        <v>0</v>
      </c>
      <c r="K184" s="461" t="s">
        <v>909</v>
      </c>
      <c r="L184" s="461"/>
      <c r="M184" s="461" t="s">
        <v>856</v>
      </c>
      <c r="N184" s="465">
        <v>44032</v>
      </c>
      <c r="O184" s="465">
        <v>44032</v>
      </c>
      <c r="P184" s="461" t="s">
        <v>908</v>
      </c>
      <c r="Q184" s="462">
        <v>1200</v>
      </c>
      <c r="R184" s="462">
        <v>14050</v>
      </c>
      <c r="S184" s="513">
        <v>157</v>
      </c>
      <c r="T184" s="462">
        <v>14056</v>
      </c>
      <c r="U184" s="463">
        <v>29.43</v>
      </c>
      <c r="V184" s="463">
        <f t="shared" si="72"/>
        <v>127.57</v>
      </c>
      <c r="W184" s="464">
        <v>10.9</v>
      </c>
      <c r="X184" s="462">
        <v>54260</v>
      </c>
      <c r="Y184" s="463">
        <v>1.0900000000000001</v>
      </c>
      <c r="Z184" s="461" t="s">
        <v>701</v>
      </c>
      <c r="AA184" s="461"/>
      <c r="AB184" s="461">
        <v>37221332</v>
      </c>
      <c r="AC184" s="461"/>
      <c r="AD184" s="461" t="s">
        <v>705</v>
      </c>
      <c r="AE184" s="461" t="s">
        <v>703</v>
      </c>
      <c r="AF184" s="462" t="s">
        <v>351</v>
      </c>
      <c r="AG184" s="461"/>
      <c r="AH184" s="462" t="s">
        <v>707</v>
      </c>
      <c r="AI184" s="461">
        <v>0</v>
      </c>
      <c r="AJ184" s="461">
        <v>0</v>
      </c>
      <c r="AL184" s="364">
        <v>0</v>
      </c>
      <c r="AM184" s="364">
        <v>0</v>
      </c>
      <c r="AN184" s="364">
        <v>0</v>
      </c>
      <c r="AO184" s="364">
        <v>0</v>
      </c>
      <c r="AP184" s="460">
        <v>0</v>
      </c>
      <c r="AQ184" s="511">
        <v>0</v>
      </c>
      <c r="AR184" s="511">
        <v>0</v>
      </c>
      <c r="AS184" s="511">
        <v>0</v>
      </c>
      <c r="AT184" s="511">
        <v>0</v>
      </c>
      <c r="AU184" s="511">
        <v>0</v>
      </c>
      <c r="AV184" s="511">
        <v>0</v>
      </c>
      <c r="AW184" s="364" t="s">
        <v>1309</v>
      </c>
    </row>
    <row r="185" spans="2:49" x14ac:dyDescent="0.25">
      <c r="B185" s="462">
        <v>2032</v>
      </c>
      <c r="C185" s="466">
        <v>236164</v>
      </c>
      <c r="D185" s="462" t="s">
        <v>701</v>
      </c>
      <c r="E185" s="461" t="s">
        <v>946</v>
      </c>
      <c r="F185" s="462"/>
      <c r="G185" s="461"/>
      <c r="H185" s="461" t="s">
        <v>945</v>
      </c>
      <c r="I185" s="461"/>
      <c r="J185" s="461">
        <v>2019</v>
      </c>
      <c r="K185" s="461" t="s">
        <v>762</v>
      </c>
      <c r="L185" s="461" t="s">
        <v>762</v>
      </c>
      <c r="M185" s="461" t="s">
        <v>944</v>
      </c>
      <c r="N185" s="465">
        <v>44058</v>
      </c>
      <c r="O185" s="465">
        <v>44058</v>
      </c>
      <c r="P185" s="461" t="s">
        <v>943</v>
      </c>
      <c r="Q185" s="462">
        <v>900</v>
      </c>
      <c r="R185" s="462">
        <v>14040</v>
      </c>
      <c r="S185" s="513">
        <v>49243.44</v>
      </c>
      <c r="T185" s="462">
        <v>14046</v>
      </c>
      <c r="U185" s="463">
        <v>12310.86</v>
      </c>
      <c r="V185" s="463">
        <f t="shared" si="72"/>
        <v>36932.58</v>
      </c>
      <c r="W185" s="464">
        <v>4559.58</v>
      </c>
      <c r="X185" s="462">
        <v>51260</v>
      </c>
      <c r="Y185" s="463">
        <v>455.96</v>
      </c>
      <c r="Z185" s="461" t="s">
        <v>701</v>
      </c>
      <c r="AA185" s="461"/>
      <c r="AB185" s="461"/>
      <c r="AC185" s="461" t="s">
        <v>942</v>
      </c>
      <c r="AD185" s="461" t="s">
        <v>705</v>
      </c>
      <c r="AE185" s="461" t="s">
        <v>703</v>
      </c>
      <c r="AF185" s="462" t="s">
        <v>351</v>
      </c>
      <c r="AG185" s="461"/>
      <c r="AH185" s="462" t="s">
        <v>707</v>
      </c>
      <c r="AI185" s="461">
        <v>0</v>
      </c>
      <c r="AJ185" s="461">
        <v>0</v>
      </c>
      <c r="AL185" s="364">
        <v>0</v>
      </c>
      <c r="AM185" s="364">
        <v>0</v>
      </c>
      <c r="AN185" s="364">
        <v>0</v>
      </c>
      <c r="AO185" s="364">
        <v>0</v>
      </c>
      <c r="AP185" s="460">
        <v>0</v>
      </c>
      <c r="AQ185" s="511">
        <v>0</v>
      </c>
      <c r="AR185" s="511">
        <v>0</v>
      </c>
      <c r="AS185" s="511">
        <v>0</v>
      </c>
      <c r="AT185" s="511">
        <v>0</v>
      </c>
      <c r="AU185" s="511">
        <v>0</v>
      </c>
      <c r="AV185" s="511">
        <v>0</v>
      </c>
      <c r="AW185" s="364" t="s">
        <v>1309</v>
      </c>
    </row>
    <row r="186" spans="2:49" x14ac:dyDescent="0.25">
      <c r="B186" s="462">
        <v>2032</v>
      </c>
      <c r="C186" s="466">
        <v>235943</v>
      </c>
      <c r="D186" s="462" t="s">
        <v>701</v>
      </c>
      <c r="E186" s="461" t="s">
        <v>941</v>
      </c>
      <c r="F186" s="462"/>
      <c r="G186" s="461"/>
      <c r="H186" s="461"/>
      <c r="I186" s="461"/>
      <c r="J186" s="461">
        <v>0</v>
      </c>
      <c r="K186" s="461"/>
      <c r="L186" s="461"/>
      <c r="M186" s="461"/>
      <c r="N186" s="465">
        <v>44013</v>
      </c>
      <c r="O186" s="465">
        <v>44013</v>
      </c>
      <c r="P186" s="461"/>
      <c r="Q186" s="462">
        <v>0</v>
      </c>
      <c r="R186" s="462">
        <v>15110</v>
      </c>
      <c r="S186" s="513">
        <v>327227.71000000002</v>
      </c>
      <c r="T186" s="462">
        <v>15120</v>
      </c>
      <c r="U186" s="463">
        <v>0</v>
      </c>
      <c r="V186" s="463">
        <f t="shared" si="72"/>
        <v>327227.71000000002</v>
      </c>
      <c r="W186" s="464">
        <v>0</v>
      </c>
      <c r="X186" s="462">
        <v>0</v>
      </c>
      <c r="Y186" s="463">
        <v>0</v>
      </c>
      <c r="Z186" s="461" t="s">
        <v>703</v>
      </c>
      <c r="AA186" s="461" t="s">
        <v>704</v>
      </c>
      <c r="AB186" s="461"/>
      <c r="AC186" s="461"/>
      <c r="AD186" s="461" t="s">
        <v>705</v>
      </c>
      <c r="AE186" s="461" t="s">
        <v>703</v>
      </c>
      <c r="AF186" s="462" t="s">
        <v>706</v>
      </c>
      <c r="AG186" s="461"/>
      <c r="AH186" s="462" t="s">
        <v>707</v>
      </c>
      <c r="AI186" s="461">
        <v>0</v>
      </c>
      <c r="AJ186" s="461">
        <v>0</v>
      </c>
      <c r="AL186" s="364">
        <v>0</v>
      </c>
      <c r="AM186" s="364">
        <v>0</v>
      </c>
      <c r="AN186" s="364">
        <v>0</v>
      </c>
      <c r="AO186" s="364">
        <v>0</v>
      </c>
      <c r="AP186" s="460">
        <v>0</v>
      </c>
      <c r="AQ186" s="511">
        <v>0</v>
      </c>
      <c r="AR186" s="511">
        <v>0</v>
      </c>
      <c r="AS186" s="511">
        <v>0</v>
      </c>
      <c r="AT186" s="511">
        <v>0</v>
      </c>
      <c r="AU186" s="511">
        <v>0</v>
      </c>
      <c r="AV186" s="511">
        <v>0</v>
      </c>
      <c r="AW186" s="364" t="s">
        <v>1309</v>
      </c>
    </row>
    <row r="187" spans="2:49" x14ac:dyDescent="0.25">
      <c r="B187" s="462">
        <v>2032</v>
      </c>
      <c r="C187" s="466">
        <v>235938</v>
      </c>
      <c r="D187" s="462" t="s">
        <v>701</v>
      </c>
      <c r="E187" s="461" t="s">
        <v>940</v>
      </c>
      <c r="F187" s="462"/>
      <c r="G187" s="461"/>
      <c r="H187" s="461"/>
      <c r="I187" s="461"/>
      <c r="J187" s="461">
        <v>0</v>
      </c>
      <c r="K187" s="461" t="s">
        <v>900</v>
      </c>
      <c r="L187" s="461"/>
      <c r="M187" s="461"/>
      <c r="N187" s="465">
        <v>44032</v>
      </c>
      <c r="O187" s="465">
        <v>44032</v>
      </c>
      <c r="P187" s="461" t="s">
        <v>899</v>
      </c>
      <c r="Q187" s="462">
        <v>300</v>
      </c>
      <c r="R187" s="462">
        <v>14110</v>
      </c>
      <c r="S187" s="513">
        <v>1515.78</v>
      </c>
      <c r="T187" s="462">
        <v>14116</v>
      </c>
      <c r="U187" s="463">
        <v>1136.83</v>
      </c>
      <c r="V187" s="463">
        <f t="shared" si="72"/>
        <v>378.95000000000005</v>
      </c>
      <c r="W187" s="464">
        <v>421.05</v>
      </c>
      <c r="X187" s="462">
        <v>70260</v>
      </c>
      <c r="Y187" s="463">
        <v>42.1</v>
      </c>
      <c r="Z187" s="461" t="s">
        <v>701</v>
      </c>
      <c r="AA187" s="461"/>
      <c r="AB187" s="461" t="s">
        <v>939</v>
      </c>
      <c r="AC187" s="461"/>
      <c r="AD187" s="461" t="s">
        <v>705</v>
      </c>
      <c r="AE187" s="461" t="s">
        <v>703</v>
      </c>
      <c r="AF187" s="462" t="s">
        <v>351</v>
      </c>
      <c r="AG187" s="461"/>
      <c r="AH187" s="462" t="s">
        <v>707</v>
      </c>
      <c r="AI187" s="461">
        <v>0</v>
      </c>
      <c r="AJ187" s="461">
        <v>0</v>
      </c>
      <c r="AL187" s="364">
        <v>0</v>
      </c>
      <c r="AM187" s="364">
        <v>0</v>
      </c>
      <c r="AN187" s="364">
        <v>0</v>
      </c>
      <c r="AO187" s="364">
        <v>0</v>
      </c>
      <c r="AP187" s="460">
        <v>0</v>
      </c>
      <c r="AQ187" s="511">
        <v>0</v>
      </c>
      <c r="AR187" s="511">
        <v>0</v>
      </c>
      <c r="AS187" s="511">
        <v>0</v>
      </c>
      <c r="AT187" s="511">
        <v>0</v>
      </c>
      <c r="AU187" s="511">
        <v>0</v>
      </c>
      <c r="AV187" s="511">
        <v>0</v>
      </c>
      <c r="AW187" s="364" t="s">
        <v>1309</v>
      </c>
    </row>
    <row r="188" spans="2:49" x14ac:dyDescent="0.25">
      <c r="B188" s="462">
        <v>2032</v>
      </c>
      <c r="C188" s="466">
        <v>235937</v>
      </c>
      <c r="D188" s="462" t="s">
        <v>701</v>
      </c>
      <c r="E188" s="461" t="s">
        <v>938</v>
      </c>
      <c r="F188" s="462"/>
      <c r="G188" s="461"/>
      <c r="H188" s="461"/>
      <c r="I188" s="461"/>
      <c r="J188" s="461">
        <v>0</v>
      </c>
      <c r="K188" s="461" t="s">
        <v>900</v>
      </c>
      <c r="L188" s="461"/>
      <c r="M188" s="461"/>
      <c r="N188" s="465">
        <v>44001</v>
      </c>
      <c r="O188" s="465">
        <v>44001</v>
      </c>
      <c r="P188" s="461" t="s">
        <v>899</v>
      </c>
      <c r="Q188" s="462">
        <v>300</v>
      </c>
      <c r="R188" s="462">
        <v>14110</v>
      </c>
      <c r="S188" s="513">
        <v>433.71</v>
      </c>
      <c r="T188" s="462">
        <v>14116</v>
      </c>
      <c r="U188" s="463">
        <v>337.34</v>
      </c>
      <c r="V188" s="463">
        <f t="shared" si="72"/>
        <v>96.37</v>
      </c>
      <c r="W188" s="464">
        <v>120.48</v>
      </c>
      <c r="X188" s="462">
        <v>70260</v>
      </c>
      <c r="Y188" s="463">
        <v>12.05</v>
      </c>
      <c r="Z188" s="461" t="s">
        <v>701</v>
      </c>
      <c r="AA188" s="461"/>
      <c r="AB188" s="461" t="s">
        <v>937</v>
      </c>
      <c r="AC188" s="461"/>
      <c r="AD188" s="461" t="s">
        <v>705</v>
      </c>
      <c r="AE188" s="461" t="s">
        <v>703</v>
      </c>
      <c r="AF188" s="462" t="s">
        <v>351</v>
      </c>
      <c r="AG188" s="461"/>
      <c r="AH188" s="462" t="s">
        <v>707</v>
      </c>
      <c r="AI188" s="461">
        <v>0</v>
      </c>
      <c r="AJ188" s="461">
        <v>0</v>
      </c>
      <c r="AL188" s="364">
        <v>0</v>
      </c>
      <c r="AM188" s="364">
        <v>0</v>
      </c>
      <c r="AN188" s="364">
        <v>0</v>
      </c>
      <c r="AO188" s="364">
        <v>0</v>
      </c>
      <c r="AP188" s="460">
        <v>0</v>
      </c>
      <c r="AQ188" s="511">
        <v>0</v>
      </c>
      <c r="AR188" s="511">
        <v>0</v>
      </c>
      <c r="AS188" s="511">
        <v>0</v>
      </c>
      <c r="AT188" s="511">
        <v>0</v>
      </c>
      <c r="AU188" s="511">
        <v>0</v>
      </c>
      <c r="AV188" s="511">
        <v>0</v>
      </c>
      <c r="AW188" s="364" t="s">
        <v>1309</v>
      </c>
    </row>
    <row r="189" spans="2:49" x14ac:dyDescent="0.25">
      <c r="B189" s="462">
        <v>2032</v>
      </c>
      <c r="C189" s="466">
        <v>235936</v>
      </c>
      <c r="D189" s="462" t="s">
        <v>701</v>
      </c>
      <c r="E189" s="461" t="s">
        <v>935</v>
      </c>
      <c r="F189" s="462"/>
      <c r="G189" s="461"/>
      <c r="H189" s="461"/>
      <c r="I189" s="461"/>
      <c r="J189" s="461">
        <v>0</v>
      </c>
      <c r="K189" s="461" t="s">
        <v>900</v>
      </c>
      <c r="L189" s="461"/>
      <c r="M189" s="461"/>
      <c r="N189" s="465">
        <v>44032</v>
      </c>
      <c r="O189" s="465">
        <v>44032</v>
      </c>
      <c r="P189" s="461" t="s">
        <v>899</v>
      </c>
      <c r="Q189" s="462">
        <v>300</v>
      </c>
      <c r="R189" s="462">
        <v>14110</v>
      </c>
      <c r="S189" s="513">
        <v>5001.8900000000003</v>
      </c>
      <c r="T189" s="462">
        <v>14116</v>
      </c>
      <c r="U189" s="463">
        <v>3751.43</v>
      </c>
      <c r="V189" s="463">
        <f t="shared" si="72"/>
        <v>1250.4600000000005</v>
      </c>
      <c r="W189" s="464">
        <v>1389.42</v>
      </c>
      <c r="X189" s="462">
        <v>70260</v>
      </c>
      <c r="Y189" s="463">
        <v>138.94</v>
      </c>
      <c r="Z189" s="461" t="s">
        <v>701</v>
      </c>
      <c r="AA189" s="461"/>
      <c r="AB189" s="461" t="s">
        <v>936</v>
      </c>
      <c r="AC189" s="461"/>
      <c r="AD189" s="461" t="s">
        <v>705</v>
      </c>
      <c r="AE189" s="461" t="s">
        <v>703</v>
      </c>
      <c r="AF189" s="462" t="s">
        <v>351</v>
      </c>
      <c r="AG189" s="461"/>
      <c r="AH189" s="462" t="s">
        <v>707</v>
      </c>
      <c r="AI189" s="461">
        <v>0</v>
      </c>
      <c r="AJ189" s="461">
        <v>0</v>
      </c>
      <c r="AL189" s="364">
        <v>0</v>
      </c>
      <c r="AM189" s="364">
        <v>0</v>
      </c>
      <c r="AN189" s="364">
        <v>0</v>
      </c>
      <c r="AO189" s="364">
        <v>0</v>
      </c>
      <c r="AP189" s="460">
        <v>0</v>
      </c>
      <c r="AQ189" s="511">
        <v>0</v>
      </c>
      <c r="AR189" s="511">
        <v>0</v>
      </c>
      <c r="AS189" s="511">
        <v>0</v>
      </c>
      <c r="AT189" s="511">
        <v>0</v>
      </c>
      <c r="AU189" s="511">
        <v>0</v>
      </c>
      <c r="AV189" s="511">
        <v>0</v>
      </c>
      <c r="AW189" s="364" t="s">
        <v>1309</v>
      </c>
    </row>
    <row r="190" spans="2:49" x14ac:dyDescent="0.25">
      <c r="B190" s="462">
        <v>2032</v>
      </c>
      <c r="C190" s="466">
        <v>235934</v>
      </c>
      <c r="D190" s="462" t="s">
        <v>701</v>
      </c>
      <c r="E190" s="461" t="s">
        <v>935</v>
      </c>
      <c r="F190" s="462"/>
      <c r="G190" s="461"/>
      <c r="H190" s="461"/>
      <c r="I190" s="461"/>
      <c r="J190" s="461">
        <v>0</v>
      </c>
      <c r="K190" s="461" t="s">
        <v>900</v>
      </c>
      <c r="L190" s="461"/>
      <c r="M190" s="461"/>
      <c r="N190" s="465">
        <v>44004</v>
      </c>
      <c r="O190" s="465">
        <v>44004</v>
      </c>
      <c r="P190" s="461" t="s">
        <v>899</v>
      </c>
      <c r="Q190" s="462">
        <v>300</v>
      </c>
      <c r="R190" s="462">
        <v>14110</v>
      </c>
      <c r="S190" s="513">
        <v>1107.9000000000001</v>
      </c>
      <c r="T190" s="462">
        <v>14116</v>
      </c>
      <c r="U190" s="463">
        <v>861.7</v>
      </c>
      <c r="V190" s="463">
        <f t="shared" si="72"/>
        <v>246.20000000000005</v>
      </c>
      <c r="W190" s="464">
        <v>307.75</v>
      </c>
      <c r="X190" s="462">
        <v>70260</v>
      </c>
      <c r="Y190" s="463">
        <v>30.77</v>
      </c>
      <c r="Z190" s="461" t="s">
        <v>701</v>
      </c>
      <c r="AA190" s="461"/>
      <c r="AB190" s="461" t="s">
        <v>934</v>
      </c>
      <c r="AC190" s="461"/>
      <c r="AD190" s="461" t="s">
        <v>705</v>
      </c>
      <c r="AE190" s="461" t="s">
        <v>703</v>
      </c>
      <c r="AF190" s="462" t="s">
        <v>351</v>
      </c>
      <c r="AG190" s="461"/>
      <c r="AH190" s="462" t="s">
        <v>707</v>
      </c>
      <c r="AI190" s="461">
        <v>0</v>
      </c>
      <c r="AJ190" s="461">
        <v>0</v>
      </c>
      <c r="AL190" s="364">
        <v>0</v>
      </c>
      <c r="AM190" s="364">
        <v>0</v>
      </c>
      <c r="AN190" s="364">
        <v>0</v>
      </c>
      <c r="AO190" s="364">
        <v>0</v>
      </c>
      <c r="AP190" s="460">
        <v>0</v>
      </c>
      <c r="AQ190" s="511">
        <v>0</v>
      </c>
      <c r="AR190" s="511">
        <v>0</v>
      </c>
      <c r="AS190" s="511">
        <v>0</v>
      </c>
      <c r="AT190" s="511">
        <v>0</v>
      </c>
      <c r="AU190" s="511">
        <v>0</v>
      </c>
      <c r="AV190" s="511">
        <v>0</v>
      </c>
      <c r="AW190" s="364" t="s">
        <v>1309</v>
      </c>
    </row>
    <row r="191" spans="2:49" x14ac:dyDescent="0.25">
      <c r="B191" s="462">
        <v>2032</v>
      </c>
      <c r="C191" s="466">
        <v>235933</v>
      </c>
      <c r="D191" s="462" t="s">
        <v>701</v>
      </c>
      <c r="E191" s="461" t="s">
        <v>933</v>
      </c>
      <c r="F191" s="462"/>
      <c r="G191" s="461"/>
      <c r="H191" s="461"/>
      <c r="I191" s="461"/>
      <c r="J191" s="461">
        <v>0</v>
      </c>
      <c r="K191" s="461" t="s">
        <v>926</v>
      </c>
      <c r="L191" s="461"/>
      <c r="M191" s="461"/>
      <c r="N191" s="465">
        <v>44006</v>
      </c>
      <c r="O191" s="465">
        <v>44006</v>
      </c>
      <c r="P191" s="461" t="s">
        <v>919</v>
      </c>
      <c r="Q191" s="462">
        <v>500</v>
      </c>
      <c r="R191" s="462">
        <v>14070</v>
      </c>
      <c r="S191" s="513">
        <v>2839.78</v>
      </c>
      <c r="T191" s="462">
        <v>14076</v>
      </c>
      <c r="U191" s="463">
        <v>1325.24</v>
      </c>
      <c r="V191" s="463">
        <f t="shared" si="72"/>
        <v>1514.5400000000002</v>
      </c>
      <c r="W191" s="464">
        <v>473.3</v>
      </c>
      <c r="X191" s="462">
        <v>51260</v>
      </c>
      <c r="Y191" s="463">
        <v>47.33</v>
      </c>
      <c r="Z191" s="461" t="s">
        <v>701</v>
      </c>
      <c r="AA191" s="461"/>
      <c r="AB191" s="461">
        <v>904101</v>
      </c>
      <c r="AC191" s="461"/>
      <c r="AD191" s="461" t="s">
        <v>705</v>
      </c>
      <c r="AE191" s="461" t="s">
        <v>703</v>
      </c>
      <c r="AF191" s="462" t="s">
        <v>351</v>
      </c>
      <c r="AG191" s="461"/>
      <c r="AH191" s="462" t="s">
        <v>707</v>
      </c>
      <c r="AI191" s="461">
        <v>0</v>
      </c>
      <c r="AJ191" s="461">
        <v>0</v>
      </c>
      <c r="AL191" s="364">
        <v>0</v>
      </c>
      <c r="AM191" s="364">
        <v>0</v>
      </c>
      <c r="AN191" s="364">
        <v>0</v>
      </c>
      <c r="AO191" s="364">
        <v>0</v>
      </c>
      <c r="AP191" s="460">
        <v>0</v>
      </c>
      <c r="AQ191" s="511">
        <v>0</v>
      </c>
      <c r="AR191" s="511">
        <v>0</v>
      </c>
      <c r="AS191" s="511">
        <v>0</v>
      </c>
      <c r="AT191" s="511">
        <v>0</v>
      </c>
      <c r="AU191" s="511">
        <v>0</v>
      </c>
      <c r="AV191" s="511">
        <v>0</v>
      </c>
      <c r="AW191" s="364" t="s">
        <v>1309</v>
      </c>
    </row>
    <row r="192" spans="2:49" x14ac:dyDescent="0.25">
      <c r="B192" s="462">
        <v>2032</v>
      </c>
      <c r="C192" s="466">
        <v>235932</v>
      </c>
      <c r="D192" s="462">
        <v>235794</v>
      </c>
      <c r="E192" s="461" t="s">
        <v>932</v>
      </c>
      <c r="F192" s="462"/>
      <c r="G192" s="461"/>
      <c r="H192" s="461"/>
      <c r="I192" s="461"/>
      <c r="J192" s="461">
        <v>0</v>
      </c>
      <c r="K192" s="461" t="s">
        <v>916</v>
      </c>
      <c r="L192" s="461"/>
      <c r="M192" s="461"/>
      <c r="N192" s="465">
        <v>44013</v>
      </c>
      <c r="O192" s="465">
        <v>44013</v>
      </c>
      <c r="P192" s="461" t="s">
        <v>912</v>
      </c>
      <c r="Q192" s="462">
        <v>500</v>
      </c>
      <c r="R192" s="462">
        <v>14070</v>
      </c>
      <c r="S192" s="513">
        <v>1378.28</v>
      </c>
      <c r="T192" s="462">
        <v>14076</v>
      </c>
      <c r="U192" s="463">
        <v>643.21</v>
      </c>
      <c r="V192" s="463">
        <f t="shared" si="72"/>
        <v>735.06999999999994</v>
      </c>
      <c r="W192" s="464">
        <v>229.72</v>
      </c>
      <c r="X192" s="462">
        <v>51260</v>
      </c>
      <c r="Y192" s="463">
        <v>22.97</v>
      </c>
      <c r="Z192" s="461" t="s">
        <v>701</v>
      </c>
      <c r="AA192" s="461"/>
      <c r="AB192" s="461" t="s">
        <v>931</v>
      </c>
      <c r="AC192" s="461"/>
      <c r="AD192" s="461" t="s">
        <v>705</v>
      </c>
      <c r="AE192" s="461" t="s">
        <v>703</v>
      </c>
      <c r="AF192" s="462" t="s">
        <v>351</v>
      </c>
      <c r="AG192" s="461"/>
      <c r="AH192" s="462" t="s">
        <v>707</v>
      </c>
      <c r="AI192" s="461">
        <v>0</v>
      </c>
      <c r="AJ192" s="461">
        <v>0</v>
      </c>
      <c r="AL192" s="364">
        <v>0</v>
      </c>
      <c r="AM192" s="364">
        <v>0</v>
      </c>
      <c r="AN192" s="364">
        <v>0</v>
      </c>
      <c r="AO192" s="364">
        <v>0</v>
      </c>
      <c r="AP192" s="460">
        <v>0</v>
      </c>
      <c r="AQ192" s="511">
        <v>0</v>
      </c>
      <c r="AR192" s="511">
        <v>0</v>
      </c>
      <c r="AS192" s="511">
        <v>0</v>
      </c>
      <c r="AT192" s="511">
        <v>0</v>
      </c>
      <c r="AU192" s="511">
        <v>0</v>
      </c>
      <c r="AV192" s="511">
        <v>0</v>
      </c>
      <c r="AW192" s="364" t="s">
        <v>1309</v>
      </c>
    </row>
    <row r="193" spans="2:49" x14ac:dyDescent="0.25">
      <c r="B193" s="462">
        <v>2032</v>
      </c>
      <c r="C193" s="466">
        <v>235931</v>
      </c>
      <c r="D193" s="462" t="s">
        <v>701</v>
      </c>
      <c r="E193" s="461" t="s">
        <v>930</v>
      </c>
      <c r="F193" s="462"/>
      <c r="G193" s="461"/>
      <c r="H193" s="461"/>
      <c r="I193" s="461"/>
      <c r="J193" s="461">
        <v>0</v>
      </c>
      <c r="K193" s="461" t="s">
        <v>924</v>
      </c>
      <c r="L193" s="461"/>
      <c r="M193" s="461"/>
      <c r="N193" s="465">
        <v>44006</v>
      </c>
      <c r="O193" s="465">
        <v>44006</v>
      </c>
      <c r="P193" s="461" t="s">
        <v>912</v>
      </c>
      <c r="Q193" s="462">
        <v>500</v>
      </c>
      <c r="R193" s="462">
        <v>14070</v>
      </c>
      <c r="S193" s="513">
        <v>1669.46</v>
      </c>
      <c r="T193" s="462">
        <v>14076</v>
      </c>
      <c r="U193" s="463">
        <v>779.08</v>
      </c>
      <c r="V193" s="463">
        <f t="shared" si="72"/>
        <v>890.38</v>
      </c>
      <c r="W193" s="464">
        <v>278.24</v>
      </c>
      <c r="X193" s="462">
        <v>51260</v>
      </c>
      <c r="Y193" s="463">
        <v>27.82</v>
      </c>
      <c r="Z193" s="461" t="s">
        <v>701</v>
      </c>
      <c r="AA193" s="461"/>
      <c r="AB193" s="461">
        <v>1386316372</v>
      </c>
      <c r="AC193" s="461"/>
      <c r="AD193" s="461" t="s">
        <v>705</v>
      </c>
      <c r="AE193" s="461" t="s">
        <v>703</v>
      </c>
      <c r="AF193" s="462" t="s">
        <v>351</v>
      </c>
      <c r="AG193" s="461"/>
      <c r="AH193" s="462" t="s">
        <v>707</v>
      </c>
      <c r="AI193" s="461">
        <v>0</v>
      </c>
      <c r="AJ193" s="461">
        <v>0</v>
      </c>
      <c r="AL193" s="364">
        <v>0</v>
      </c>
      <c r="AM193" s="364">
        <v>0</v>
      </c>
      <c r="AN193" s="364">
        <v>0</v>
      </c>
      <c r="AO193" s="364">
        <v>0</v>
      </c>
      <c r="AP193" s="460">
        <v>0</v>
      </c>
      <c r="AQ193" s="511">
        <v>0</v>
      </c>
      <c r="AR193" s="511">
        <v>0</v>
      </c>
      <c r="AS193" s="511">
        <v>0</v>
      </c>
      <c r="AT193" s="511">
        <v>0</v>
      </c>
      <c r="AU193" s="511">
        <v>0</v>
      </c>
      <c r="AV193" s="511">
        <v>0</v>
      </c>
      <c r="AW193" s="364" t="s">
        <v>1309</v>
      </c>
    </row>
    <row r="194" spans="2:49" x14ac:dyDescent="0.25">
      <c r="B194" s="462">
        <v>2032</v>
      </c>
      <c r="C194" s="466">
        <v>235930</v>
      </c>
      <c r="D194" s="462" t="s">
        <v>701</v>
      </c>
      <c r="E194" s="461" t="s">
        <v>929</v>
      </c>
      <c r="F194" s="462"/>
      <c r="G194" s="461"/>
      <c r="H194" s="461"/>
      <c r="I194" s="461"/>
      <c r="J194" s="461">
        <v>0</v>
      </c>
      <c r="K194" s="461" t="s">
        <v>924</v>
      </c>
      <c r="L194" s="461"/>
      <c r="M194" s="461"/>
      <c r="N194" s="465">
        <v>44006</v>
      </c>
      <c r="O194" s="465">
        <v>44006</v>
      </c>
      <c r="P194" s="461" t="s">
        <v>912</v>
      </c>
      <c r="Q194" s="462">
        <v>500</v>
      </c>
      <c r="R194" s="462">
        <v>14070</v>
      </c>
      <c r="S194" s="513">
        <v>1576.1</v>
      </c>
      <c r="T194" s="462">
        <v>14076</v>
      </c>
      <c r="U194" s="463">
        <v>735.51</v>
      </c>
      <c r="V194" s="463">
        <f t="shared" si="72"/>
        <v>840.58999999999992</v>
      </c>
      <c r="W194" s="464">
        <v>262.68</v>
      </c>
      <c r="X194" s="462">
        <v>51260</v>
      </c>
      <c r="Y194" s="463">
        <v>26.26</v>
      </c>
      <c r="Z194" s="461" t="s">
        <v>701</v>
      </c>
      <c r="AA194" s="461"/>
      <c r="AB194" s="461" t="s">
        <v>928</v>
      </c>
      <c r="AC194" s="461"/>
      <c r="AD194" s="461" t="s">
        <v>705</v>
      </c>
      <c r="AE194" s="461" t="s">
        <v>703</v>
      </c>
      <c r="AF194" s="462" t="s">
        <v>351</v>
      </c>
      <c r="AG194" s="461"/>
      <c r="AH194" s="462" t="s">
        <v>707</v>
      </c>
      <c r="AI194" s="461">
        <v>0</v>
      </c>
      <c r="AJ194" s="461">
        <v>0</v>
      </c>
      <c r="AL194" s="364">
        <v>0</v>
      </c>
      <c r="AM194" s="364">
        <v>0</v>
      </c>
      <c r="AN194" s="364">
        <v>0</v>
      </c>
      <c r="AO194" s="364">
        <v>0</v>
      </c>
      <c r="AP194" s="460">
        <v>0</v>
      </c>
      <c r="AQ194" s="511">
        <v>0</v>
      </c>
      <c r="AR194" s="511">
        <v>0</v>
      </c>
      <c r="AS194" s="511">
        <v>0</v>
      </c>
      <c r="AT194" s="511">
        <v>0</v>
      </c>
      <c r="AU194" s="511">
        <v>0</v>
      </c>
      <c r="AV194" s="511">
        <v>0</v>
      </c>
      <c r="AW194" s="364" t="s">
        <v>1309</v>
      </c>
    </row>
    <row r="195" spans="2:49" x14ac:dyDescent="0.25">
      <c r="B195" s="462">
        <v>2032</v>
      </c>
      <c r="C195" s="466">
        <v>235929</v>
      </c>
      <c r="D195" s="462" t="s">
        <v>701</v>
      </c>
      <c r="E195" s="461" t="s">
        <v>927</v>
      </c>
      <c r="F195" s="462"/>
      <c r="G195" s="461"/>
      <c r="H195" s="461"/>
      <c r="I195" s="461"/>
      <c r="J195" s="461">
        <v>0</v>
      </c>
      <c r="K195" s="461" t="s">
        <v>926</v>
      </c>
      <c r="L195" s="461"/>
      <c r="M195" s="461"/>
      <c r="N195" s="465">
        <v>44043</v>
      </c>
      <c r="O195" s="465">
        <v>44043</v>
      </c>
      <c r="P195" s="461" t="s">
        <v>912</v>
      </c>
      <c r="Q195" s="462">
        <v>500</v>
      </c>
      <c r="R195" s="462">
        <v>14070</v>
      </c>
      <c r="S195" s="513">
        <v>16510.12</v>
      </c>
      <c r="T195" s="462">
        <v>14076</v>
      </c>
      <c r="U195" s="463">
        <v>7429.54</v>
      </c>
      <c r="V195" s="463">
        <f t="shared" si="72"/>
        <v>9080.5799999999981</v>
      </c>
      <c r="W195" s="464">
        <v>2751.68</v>
      </c>
      <c r="X195" s="462">
        <v>51260</v>
      </c>
      <c r="Y195" s="463">
        <v>275.16000000000003</v>
      </c>
      <c r="Z195" s="461" t="s">
        <v>701</v>
      </c>
      <c r="AA195" s="461"/>
      <c r="AB195" s="461">
        <v>1198026</v>
      </c>
      <c r="AC195" s="461"/>
      <c r="AD195" s="461" t="s">
        <v>705</v>
      </c>
      <c r="AE195" s="461" t="s">
        <v>703</v>
      </c>
      <c r="AF195" s="462" t="s">
        <v>351</v>
      </c>
      <c r="AG195" s="461"/>
      <c r="AH195" s="462" t="s">
        <v>707</v>
      </c>
      <c r="AI195" s="461">
        <v>0</v>
      </c>
      <c r="AJ195" s="461">
        <v>0</v>
      </c>
      <c r="AL195" s="364">
        <v>0</v>
      </c>
      <c r="AM195" s="364">
        <v>0</v>
      </c>
      <c r="AN195" s="364">
        <v>0</v>
      </c>
      <c r="AO195" s="364">
        <v>0</v>
      </c>
      <c r="AP195" s="460">
        <v>0</v>
      </c>
      <c r="AQ195" s="511">
        <v>0</v>
      </c>
      <c r="AR195" s="511">
        <v>0</v>
      </c>
      <c r="AS195" s="511">
        <v>0</v>
      </c>
      <c r="AT195" s="511">
        <v>0</v>
      </c>
      <c r="AU195" s="511">
        <v>0</v>
      </c>
      <c r="AV195" s="511">
        <v>0</v>
      </c>
      <c r="AW195" s="364" t="s">
        <v>1309</v>
      </c>
    </row>
    <row r="196" spans="2:49" x14ac:dyDescent="0.25">
      <c r="B196" s="462">
        <v>2032</v>
      </c>
      <c r="C196" s="466">
        <v>235872</v>
      </c>
      <c r="D196" s="462" t="s">
        <v>701</v>
      </c>
      <c r="E196" s="461" t="s">
        <v>925</v>
      </c>
      <c r="F196" s="462"/>
      <c r="G196" s="461"/>
      <c r="H196" s="461"/>
      <c r="I196" s="461"/>
      <c r="J196" s="461">
        <v>0</v>
      </c>
      <c r="K196" s="461" t="s">
        <v>924</v>
      </c>
      <c r="L196" s="461"/>
      <c r="M196" s="461"/>
      <c r="N196" s="465">
        <v>44001</v>
      </c>
      <c r="O196" s="465">
        <v>44001</v>
      </c>
      <c r="P196" s="461" t="s">
        <v>912</v>
      </c>
      <c r="Q196" s="462">
        <v>500</v>
      </c>
      <c r="R196" s="462">
        <v>14070</v>
      </c>
      <c r="S196" s="513">
        <v>1827.97</v>
      </c>
      <c r="T196" s="462">
        <v>14076</v>
      </c>
      <c r="U196" s="463">
        <v>853.05</v>
      </c>
      <c r="V196" s="463">
        <f t="shared" si="72"/>
        <v>974.92000000000007</v>
      </c>
      <c r="W196" s="464">
        <v>304.66000000000003</v>
      </c>
      <c r="X196" s="462">
        <v>51260</v>
      </c>
      <c r="Y196" s="463">
        <v>30.47</v>
      </c>
      <c r="Z196" s="461" t="s">
        <v>701</v>
      </c>
      <c r="AA196" s="461"/>
      <c r="AB196" s="461">
        <v>1386207647</v>
      </c>
      <c r="AC196" s="461"/>
      <c r="AD196" s="461" t="s">
        <v>705</v>
      </c>
      <c r="AE196" s="461" t="s">
        <v>703</v>
      </c>
      <c r="AF196" s="462" t="s">
        <v>351</v>
      </c>
      <c r="AG196" s="461"/>
      <c r="AH196" s="462" t="s">
        <v>707</v>
      </c>
      <c r="AI196" s="461">
        <v>0</v>
      </c>
      <c r="AJ196" s="461">
        <v>0</v>
      </c>
      <c r="AL196" s="364">
        <v>0</v>
      </c>
      <c r="AM196" s="364">
        <v>0</v>
      </c>
      <c r="AN196" s="364">
        <v>0</v>
      </c>
      <c r="AO196" s="364">
        <v>0</v>
      </c>
      <c r="AP196" s="460">
        <v>0</v>
      </c>
      <c r="AQ196" s="511">
        <v>0</v>
      </c>
      <c r="AR196" s="511">
        <v>0</v>
      </c>
      <c r="AS196" s="511">
        <v>0</v>
      </c>
      <c r="AT196" s="511">
        <v>0</v>
      </c>
      <c r="AU196" s="511">
        <v>0</v>
      </c>
      <c r="AV196" s="511">
        <v>0</v>
      </c>
      <c r="AW196" s="364" t="s">
        <v>1309</v>
      </c>
    </row>
    <row r="197" spans="2:49" x14ac:dyDescent="0.25">
      <c r="B197" s="462">
        <v>2032</v>
      </c>
      <c r="C197" s="466">
        <v>235801</v>
      </c>
      <c r="D197" s="462" t="s">
        <v>701</v>
      </c>
      <c r="E197" s="461" t="s">
        <v>923</v>
      </c>
      <c r="F197" s="462"/>
      <c r="G197" s="461"/>
      <c r="H197" s="461"/>
      <c r="I197" s="461"/>
      <c r="J197" s="461">
        <v>0</v>
      </c>
      <c r="K197" s="461" t="s">
        <v>922</v>
      </c>
      <c r="L197" s="461"/>
      <c r="M197" s="461"/>
      <c r="N197" s="465">
        <v>44032</v>
      </c>
      <c r="O197" s="465">
        <v>44032</v>
      </c>
      <c r="P197" s="461" t="s">
        <v>899</v>
      </c>
      <c r="Q197" s="462">
        <v>300</v>
      </c>
      <c r="R197" s="462">
        <v>14110</v>
      </c>
      <c r="S197" s="513">
        <v>5554.89</v>
      </c>
      <c r="T197" s="462">
        <v>14116</v>
      </c>
      <c r="U197" s="463">
        <v>4166.17</v>
      </c>
      <c r="V197" s="463">
        <f t="shared" si="72"/>
        <v>1388.7200000000003</v>
      </c>
      <c r="W197" s="464">
        <v>1543.03</v>
      </c>
      <c r="X197" s="462">
        <v>70260</v>
      </c>
      <c r="Y197" s="463">
        <v>154.31</v>
      </c>
      <c r="Z197" s="461" t="s">
        <v>701</v>
      </c>
      <c r="AA197" s="461"/>
      <c r="AB197" s="461">
        <v>35947</v>
      </c>
      <c r="AC197" s="461"/>
      <c r="AD197" s="461" t="s">
        <v>705</v>
      </c>
      <c r="AE197" s="461" t="s">
        <v>703</v>
      </c>
      <c r="AF197" s="462" t="s">
        <v>351</v>
      </c>
      <c r="AG197" s="461"/>
      <c r="AH197" s="462" t="s">
        <v>707</v>
      </c>
      <c r="AI197" s="461">
        <v>0</v>
      </c>
      <c r="AJ197" s="461">
        <v>0</v>
      </c>
      <c r="AL197" s="364">
        <v>0</v>
      </c>
      <c r="AM197" s="364">
        <v>0</v>
      </c>
      <c r="AN197" s="364">
        <v>0</v>
      </c>
      <c r="AO197" s="364">
        <v>0</v>
      </c>
      <c r="AP197" s="460">
        <v>0</v>
      </c>
      <c r="AQ197" s="511">
        <v>0</v>
      </c>
      <c r="AR197" s="511">
        <v>0</v>
      </c>
      <c r="AS197" s="511">
        <v>0</v>
      </c>
      <c r="AT197" s="511">
        <v>0</v>
      </c>
      <c r="AU197" s="511">
        <v>0</v>
      </c>
      <c r="AV197" s="511">
        <v>0</v>
      </c>
      <c r="AW197" s="364" t="s">
        <v>1309</v>
      </c>
    </row>
    <row r="198" spans="2:49" x14ac:dyDescent="0.25">
      <c r="B198" s="462">
        <v>2032</v>
      </c>
      <c r="C198" s="466">
        <v>235795</v>
      </c>
      <c r="D198" s="462" t="s">
        <v>701</v>
      </c>
      <c r="E198" s="461" t="s">
        <v>921</v>
      </c>
      <c r="F198" s="462"/>
      <c r="G198" s="461"/>
      <c r="H198" s="461"/>
      <c r="I198" s="461"/>
      <c r="J198" s="461">
        <v>0</v>
      </c>
      <c r="K198" s="461" t="s">
        <v>920</v>
      </c>
      <c r="L198" s="461"/>
      <c r="M198" s="461"/>
      <c r="N198" s="465">
        <v>44018</v>
      </c>
      <c r="O198" s="465">
        <v>44018</v>
      </c>
      <c r="P198" s="461" t="s">
        <v>919</v>
      </c>
      <c r="Q198" s="462">
        <v>500</v>
      </c>
      <c r="R198" s="462">
        <v>14070</v>
      </c>
      <c r="S198" s="513">
        <v>1459.35</v>
      </c>
      <c r="T198" s="462">
        <v>14076</v>
      </c>
      <c r="U198" s="463">
        <v>681.02</v>
      </c>
      <c r="V198" s="463">
        <f t="shared" si="72"/>
        <v>778.32999999999993</v>
      </c>
      <c r="W198" s="464">
        <v>243.22</v>
      </c>
      <c r="X198" s="462">
        <v>51260</v>
      </c>
      <c r="Y198" s="463">
        <v>24.32</v>
      </c>
      <c r="Z198" s="461" t="s">
        <v>701</v>
      </c>
      <c r="AA198" s="461"/>
      <c r="AB198" s="461" t="s">
        <v>918</v>
      </c>
      <c r="AC198" s="461"/>
      <c r="AD198" s="461" t="s">
        <v>705</v>
      </c>
      <c r="AE198" s="461" t="s">
        <v>703</v>
      </c>
      <c r="AF198" s="462" t="s">
        <v>351</v>
      </c>
      <c r="AG198" s="461"/>
      <c r="AH198" s="462" t="s">
        <v>707</v>
      </c>
      <c r="AI198" s="461">
        <v>0</v>
      </c>
      <c r="AJ198" s="461">
        <v>0</v>
      </c>
      <c r="AL198" s="364">
        <v>0</v>
      </c>
      <c r="AM198" s="364">
        <v>0</v>
      </c>
      <c r="AN198" s="364">
        <v>0</v>
      </c>
      <c r="AO198" s="364">
        <v>0</v>
      </c>
      <c r="AP198" s="460">
        <v>0</v>
      </c>
      <c r="AQ198" s="511">
        <v>0</v>
      </c>
      <c r="AR198" s="511">
        <v>0</v>
      </c>
      <c r="AS198" s="511">
        <v>0</v>
      </c>
      <c r="AT198" s="511">
        <v>0</v>
      </c>
      <c r="AU198" s="511">
        <v>0</v>
      </c>
      <c r="AV198" s="511">
        <v>0</v>
      </c>
      <c r="AW198" s="364" t="s">
        <v>1309</v>
      </c>
    </row>
    <row r="199" spans="2:49" x14ac:dyDescent="0.25">
      <c r="B199" s="462">
        <v>2032</v>
      </c>
      <c r="C199" s="466">
        <v>235794</v>
      </c>
      <c r="D199" s="462" t="s">
        <v>701</v>
      </c>
      <c r="E199" s="461" t="s">
        <v>917</v>
      </c>
      <c r="F199" s="462"/>
      <c r="G199" s="461"/>
      <c r="H199" s="461"/>
      <c r="I199" s="461"/>
      <c r="J199" s="461">
        <v>0</v>
      </c>
      <c r="K199" s="461" t="s">
        <v>916</v>
      </c>
      <c r="L199" s="461"/>
      <c r="M199" s="461"/>
      <c r="N199" s="465">
        <v>44013</v>
      </c>
      <c r="O199" s="465">
        <v>44013</v>
      </c>
      <c r="P199" s="461" t="s">
        <v>912</v>
      </c>
      <c r="Q199" s="462">
        <v>500</v>
      </c>
      <c r="R199" s="462">
        <v>14070</v>
      </c>
      <c r="S199" s="513">
        <v>632.39</v>
      </c>
      <c r="T199" s="462">
        <v>14076</v>
      </c>
      <c r="U199" s="463">
        <v>295.12</v>
      </c>
      <c r="V199" s="463">
        <f t="shared" si="72"/>
        <v>337.27</v>
      </c>
      <c r="W199" s="464">
        <v>105.4</v>
      </c>
      <c r="X199" s="462">
        <v>51260</v>
      </c>
      <c r="Y199" s="463">
        <v>10.54</v>
      </c>
      <c r="Z199" s="461" t="s">
        <v>701</v>
      </c>
      <c r="AA199" s="461"/>
      <c r="AB199" s="461" t="s">
        <v>915</v>
      </c>
      <c r="AC199" s="461"/>
      <c r="AD199" s="461" t="s">
        <v>705</v>
      </c>
      <c r="AE199" s="461" t="s">
        <v>703</v>
      </c>
      <c r="AF199" s="462" t="s">
        <v>351</v>
      </c>
      <c r="AG199" s="461"/>
      <c r="AH199" s="462" t="s">
        <v>707</v>
      </c>
      <c r="AI199" s="461">
        <v>0</v>
      </c>
      <c r="AJ199" s="461">
        <v>0</v>
      </c>
      <c r="AL199" s="364">
        <v>0</v>
      </c>
      <c r="AM199" s="364">
        <v>0</v>
      </c>
      <c r="AN199" s="364">
        <v>0</v>
      </c>
      <c r="AO199" s="364">
        <v>0</v>
      </c>
      <c r="AP199" s="460">
        <v>0</v>
      </c>
      <c r="AQ199" s="511">
        <v>0</v>
      </c>
      <c r="AR199" s="511">
        <v>0</v>
      </c>
      <c r="AS199" s="511">
        <v>0</v>
      </c>
      <c r="AT199" s="511">
        <v>0</v>
      </c>
      <c r="AU199" s="511">
        <v>0</v>
      </c>
      <c r="AV199" s="511">
        <v>0</v>
      </c>
      <c r="AW199" s="364" t="s">
        <v>1309</v>
      </c>
    </row>
    <row r="200" spans="2:49" x14ac:dyDescent="0.25">
      <c r="B200" s="462">
        <v>2032</v>
      </c>
      <c r="C200" s="466">
        <v>235793</v>
      </c>
      <c r="D200" s="462" t="s">
        <v>701</v>
      </c>
      <c r="E200" s="461" t="s">
        <v>914</v>
      </c>
      <c r="F200" s="462"/>
      <c r="G200" s="461"/>
      <c r="H200" s="461"/>
      <c r="I200" s="461"/>
      <c r="J200" s="461">
        <v>0</v>
      </c>
      <c r="K200" s="461" t="s">
        <v>913</v>
      </c>
      <c r="L200" s="461"/>
      <c r="M200" s="461"/>
      <c r="N200" s="465">
        <v>44021</v>
      </c>
      <c r="O200" s="465">
        <v>44021</v>
      </c>
      <c r="P200" s="461" t="s">
        <v>912</v>
      </c>
      <c r="Q200" s="462">
        <v>500</v>
      </c>
      <c r="R200" s="462">
        <v>14070</v>
      </c>
      <c r="S200" s="513">
        <v>2600.83</v>
      </c>
      <c r="T200" s="462">
        <v>14076</v>
      </c>
      <c r="U200" s="463">
        <v>1213.73</v>
      </c>
      <c r="V200" s="463">
        <f t="shared" si="72"/>
        <v>1387.1</v>
      </c>
      <c r="W200" s="464">
        <v>433.48</v>
      </c>
      <c r="X200" s="462">
        <v>51260</v>
      </c>
      <c r="Y200" s="463">
        <v>43.35</v>
      </c>
      <c r="Z200" s="461" t="s">
        <v>701</v>
      </c>
      <c r="AA200" s="461"/>
      <c r="AB200" s="461" t="s">
        <v>911</v>
      </c>
      <c r="AC200" s="461"/>
      <c r="AD200" s="461" t="s">
        <v>705</v>
      </c>
      <c r="AE200" s="461" t="s">
        <v>703</v>
      </c>
      <c r="AF200" s="462" t="s">
        <v>351</v>
      </c>
      <c r="AG200" s="461"/>
      <c r="AH200" s="462" t="s">
        <v>707</v>
      </c>
      <c r="AI200" s="461">
        <v>0</v>
      </c>
      <c r="AJ200" s="461">
        <v>0</v>
      </c>
      <c r="AL200" s="364">
        <v>0</v>
      </c>
      <c r="AM200" s="364">
        <v>0</v>
      </c>
      <c r="AN200" s="364">
        <v>0</v>
      </c>
      <c r="AO200" s="364">
        <v>0</v>
      </c>
      <c r="AP200" s="460">
        <v>0</v>
      </c>
      <c r="AQ200" s="511">
        <v>0</v>
      </c>
      <c r="AR200" s="511">
        <v>0</v>
      </c>
      <c r="AS200" s="511">
        <v>0</v>
      </c>
      <c r="AT200" s="511">
        <v>0</v>
      </c>
      <c r="AU200" s="511">
        <v>0</v>
      </c>
      <c r="AV200" s="511">
        <v>0</v>
      </c>
      <c r="AW200" s="364" t="s">
        <v>1309</v>
      </c>
    </row>
    <row r="201" spans="2:49" x14ac:dyDescent="0.25">
      <c r="B201" s="462">
        <v>2032</v>
      </c>
      <c r="C201" s="466">
        <v>235559</v>
      </c>
      <c r="D201" s="462" t="s">
        <v>701</v>
      </c>
      <c r="E201" s="461" t="s">
        <v>910</v>
      </c>
      <c r="F201" s="462">
        <v>3</v>
      </c>
      <c r="G201" s="461"/>
      <c r="H201" s="461"/>
      <c r="I201" s="461"/>
      <c r="J201" s="461">
        <v>0</v>
      </c>
      <c r="K201" s="461" t="s">
        <v>909</v>
      </c>
      <c r="L201" s="461"/>
      <c r="M201" s="461" t="s">
        <v>850</v>
      </c>
      <c r="N201" s="465">
        <v>44032</v>
      </c>
      <c r="O201" s="465">
        <v>44032</v>
      </c>
      <c r="P201" s="461" t="s">
        <v>908</v>
      </c>
      <c r="Q201" s="462">
        <v>1200</v>
      </c>
      <c r="R201" s="462">
        <v>14050</v>
      </c>
      <c r="S201" s="513">
        <v>18114.63</v>
      </c>
      <c r="T201" s="462">
        <v>14056</v>
      </c>
      <c r="U201" s="463">
        <v>3396.49</v>
      </c>
      <c r="V201" s="463">
        <f t="shared" si="72"/>
        <v>14718.140000000001</v>
      </c>
      <c r="W201" s="464">
        <v>1257.96</v>
      </c>
      <c r="X201" s="462">
        <v>54260</v>
      </c>
      <c r="Y201" s="463">
        <v>125.8</v>
      </c>
      <c r="Z201" s="461" t="s">
        <v>701</v>
      </c>
      <c r="AA201" s="461"/>
      <c r="AB201" s="461">
        <v>37221320</v>
      </c>
      <c r="AC201" s="461"/>
      <c r="AD201" s="461" t="s">
        <v>705</v>
      </c>
      <c r="AE201" s="461" t="s">
        <v>703</v>
      </c>
      <c r="AF201" s="462" t="s">
        <v>351</v>
      </c>
      <c r="AG201" s="461"/>
      <c r="AH201" s="462" t="s">
        <v>707</v>
      </c>
      <c r="AI201" s="461">
        <v>0</v>
      </c>
      <c r="AJ201" s="461">
        <v>0</v>
      </c>
      <c r="AL201" s="364">
        <v>0</v>
      </c>
      <c r="AM201" s="364">
        <v>0</v>
      </c>
      <c r="AN201" s="364">
        <v>0</v>
      </c>
      <c r="AO201" s="364">
        <v>0</v>
      </c>
      <c r="AP201" s="460">
        <v>0</v>
      </c>
      <c r="AQ201" s="511">
        <v>0</v>
      </c>
      <c r="AR201" s="511">
        <v>0</v>
      </c>
      <c r="AS201" s="511">
        <v>0</v>
      </c>
      <c r="AT201" s="511">
        <v>0</v>
      </c>
      <c r="AU201" s="511">
        <v>0</v>
      </c>
      <c r="AV201" s="511">
        <v>0</v>
      </c>
      <c r="AW201" s="364" t="s">
        <v>1309</v>
      </c>
    </row>
    <row r="202" spans="2:49" x14ac:dyDescent="0.25">
      <c r="B202" s="462">
        <v>2032</v>
      </c>
      <c r="C202" s="466">
        <v>235558</v>
      </c>
      <c r="D202" s="462" t="s">
        <v>701</v>
      </c>
      <c r="E202" s="461" t="s">
        <v>910</v>
      </c>
      <c r="F202" s="462">
        <v>2</v>
      </c>
      <c r="G202" s="461"/>
      <c r="H202" s="461"/>
      <c r="I202" s="461"/>
      <c r="J202" s="461">
        <v>0</v>
      </c>
      <c r="K202" s="461" t="s">
        <v>909</v>
      </c>
      <c r="L202" s="461"/>
      <c r="M202" s="461" t="s">
        <v>850</v>
      </c>
      <c r="N202" s="465">
        <v>44032</v>
      </c>
      <c r="O202" s="465">
        <v>44032</v>
      </c>
      <c r="P202" s="461" t="s">
        <v>908</v>
      </c>
      <c r="Q202" s="462">
        <v>1200</v>
      </c>
      <c r="R202" s="462">
        <v>14050</v>
      </c>
      <c r="S202" s="513">
        <v>12232.91</v>
      </c>
      <c r="T202" s="462">
        <v>14056</v>
      </c>
      <c r="U202" s="463">
        <v>2293.67</v>
      </c>
      <c r="V202" s="463">
        <f t="shared" si="72"/>
        <v>9939.24</v>
      </c>
      <c r="W202" s="464">
        <v>849.51</v>
      </c>
      <c r="X202" s="462">
        <v>54260</v>
      </c>
      <c r="Y202" s="463">
        <v>84.95</v>
      </c>
      <c r="Z202" s="461" t="s">
        <v>701</v>
      </c>
      <c r="AA202" s="461"/>
      <c r="AB202" s="461">
        <v>37221310</v>
      </c>
      <c r="AC202" s="461"/>
      <c r="AD202" s="461" t="s">
        <v>705</v>
      </c>
      <c r="AE202" s="461" t="s">
        <v>703</v>
      </c>
      <c r="AF202" s="462" t="s">
        <v>351</v>
      </c>
      <c r="AG202" s="461"/>
      <c r="AH202" s="462" t="s">
        <v>707</v>
      </c>
      <c r="AI202" s="461">
        <v>0</v>
      </c>
      <c r="AJ202" s="461">
        <v>0</v>
      </c>
      <c r="AL202" s="364">
        <v>0</v>
      </c>
      <c r="AM202" s="364">
        <v>0</v>
      </c>
      <c r="AN202" s="364">
        <v>0</v>
      </c>
      <c r="AO202" s="364">
        <v>0</v>
      </c>
      <c r="AP202" s="460">
        <v>0</v>
      </c>
      <c r="AQ202" s="511">
        <v>0</v>
      </c>
      <c r="AR202" s="511">
        <v>0</v>
      </c>
      <c r="AS202" s="511">
        <v>0</v>
      </c>
      <c r="AT202" s="511">
        <v>0</v>
      </c>
      <c r="AU202" s="511">
        <v>0</v>
      </c>
      <c r="AV202" s="511">
        <v>0</v>
      </c>
      <c r="AW202" s="364" t="s">
        <v>1309</v>
      </c>
    </row>
    <row r="203" spans="2:49" x14ac:dyDescent="0.25">
      <c r="B203" s="462">
        <v>2032</v>
      </c>
      <c r="C203" s="466">
        <v>235303</v>
      </c>
      <c r="D203" s="462" t="s">
        <v>701</v>
      </c>
      <c r="E203" s="461" t="s">
        <v>907</v>
      </c>
      <c r="F203" s="462"/>
      <c r="G203" s="461"/>
      <c r="H203" s="461"/>
      <c r="I203" s="461"/>
      <c r="J203" s="461">
        <v>0</v>
      </c>
      <c r="K203" s="461" t="s">
        <v>900</v>
      </c>
      <c r="L203" s="461"/>
      <c r="M203" s="461"/>
      <c r="N203" s="465">
        <v>44032</v>
      </c>
      <c r="O203" s="465">
        <v>44032</v>
      </c>
      <c r="P203" s="461" t="s">
        <v>899</v>
      </c>
      <c r="Q203" s="462">
        <v>300</v>
      </c>
      <c r="R203" s="462">
        <v>14110</v>
      </c>
      <c r="S203" s="513">
        <v>267.41000000000003</v>
      </c>
      <c r="T203" s="462">
        <v>14116</v>
      </c>
      <c r="U203" s="463">
        <v>200.56</v>
      </c>
      <c r="V203" s="463">
        <f t="shared" si="72"/>
        <v>66.850000000000023</v>
      </c>
      <c r="W203" s="464">
        <v>74.28</v>
      </c>
      <c r="X203" s="462">
        <v>70260</v>
      </c>
      <c r="Y203" s="463">
        <v>7.42</v>
      </c>
      <c r="Z203" s="461" t="s">
        <v>701</v>
      </c>
      <c r="AA203" s="461"/>
      <c r="AB203" s="461" t="s">
        <v>906</v>
      </c>
      <c r="AC203" s="461"/>
      <c r="AD203" s="461" t="s">
        <v>705</v>
      </c>
      <c r="AE203" s="461" t="s">
        <v>703</v>
      </c>
      <c r="AF203" s="462" t="s">
        <v>351</v>
      </c>
      <c r="AG203" s="461"/>
      <c r="AH203" s="462" t="s">
        <v>707</v>
      </c>
      <c r="AI203" s="461">
        <v>0</v>
      </c>
      <c r="AJ203" s="461">
        <v>0</v>
      </c>
      <c r="AL203" s="364">
        <v>0</v>
      </c>
      <c r="AM203" s="364">
        <v>0</v>
      </c>
      <c r="AN203" s="364">
        <v>0</v>
      </c>
      <c r="AO203" s="364">
        <v>0</v>
      </c>
      <c r="AP203" s="460">
        <v>0</v>
      </c>
      <c r="AQ203" s="511">
        <v>0</v>
      </c>
      <c r="AR203" s="511">
        <v>0</v>
      </c>
      <c r="AS203" s="511">
        <v>0</v>
      </c>
      <c r="AT203" s="511">
        <v>0</v>
      </c>
      <c r="AU203" s="511">
        <v>0</v>
      </c>
      <c r="AV203" s="511">
        <v>0</v>
      </c>
      <c r="AW203" s="364" t="s">
        <v>1309</v>
      </c>
    </row>
    <row r="204" spans="2:49" x14ac:dyDescent="0.25">
      <c r="B204" s="462">
        <v>2032</v>
      </c>
      <c r="C204" s="466">
        <v>235302</v>
      </c>
      <c r="D204" s="462" t="s">
        <v>701</v>
      </c>
      <c r="E204" s="461" t="s">
        <v>905</v>
      </c>
      <c r="F204" s="462"/>
      <c r="G204" s="461"/>
      <c r="H204" s="461"/>
      <c r="I204" s="461"/>
      <c r="J204" s="461">
        <v>0</v>
      </c>
      <c r="K204" s="461" t="s">
        <v>900</v>
      </c>
      <c r="L204" s="461"/>
      <c r="M204" s="461"/>
      <c r="N204" s="465">
        <v>44032</v>
      </c>
      <c r="O204" s="465">
        <v>44032</v>
      </c>
      <c r="P204" s="461" t="s">
        <v>899</v>
      </c>
      <c r="Q204" s="462">
        <v>300</v>
      </c>
      <c r="R204" s="462">
        <v>14110</v>
      </c>
      <c r="S204" s="513">
        <v>1319.04</v>
      </c>
      <c r="T204" s="462">
        <v>14116</v>
      </c>
      <c r="U204" s="463">
        <v>989.28</v>
      </c>
      <c r="V204" s="463">
        <f t="shared" si="72"/>
        <v>329.76</v>
      </c>
      <c r="W204" s="464">
        <v>366.4</v>
      </c>
      <c r="X204" s="462">
        <v>70260</v>
      </c>
      <c r="Y204" s="463">
        <v>36.64</v>
      </c>
      <c r="Z204" s="461" t="s">
        <v>701</v>
      </c>
      <c r="AA204" s="461"/>
      <c r="AB204" s="461" t="s">
        <v>904</v>
      </c>
      <c r="AC204" s="461"/>
      <c r="AD204" s="461" t="s">
        <v>705</v>
      </c>
      <c r="AE204" s="461" t="s">
        <v>703</v>
      </c>
      <c r="AF204" s="462" t="s">
        <v>351</v>
      </c>
      <c r="AG204" s="461"/>
      <c r="AH204" s="462" t="s">
        <v>707</v>
      </c>
      <c r="AI204" s="461">
        <v>0</v>
      </c>
      <c r="AJ204" s="461">
        <v>0</v>
      </c>
      <c r="AL204" s="364">
        <v>0</v>
      </c>
      <c r="AM204" s="364">
        <v>0</v>
      </c>
      <c r="AN204" s="364">
        <v>0</v>
      </c>
      <c r="AO204" s="364">
        <v>0</v>
      </c>
      <c r="AP204" s="460">
        <v>0</v>
      </c>
      <c r="AQ204" s="511">
        <v>0</v>
      </c>
      <c r="AR204" s="511">
        <v>0</v>
      </c>
      <c r="AS204" s="511">
        <v>0</v>
      </c>
      <c r="AT204" s="511">
        <v>0</v>
      </c>
      <c r="AU204" s="511">
        <v>0</v>
      </c>
      <c r="AV204" s="511">
        <v>0</v>
      </c>
      <c r="AW204" s="364" t="s">
        <v>1309</v>
      </c>
    </row>
    <row r="205" spans="2:49" x14ac:dyDescent="0.25">
      <c r="B205" s="462">
        <v>2032</v>
      </c>
      <c r="C205" s="466">
        <v>235301</v>
      </c>
      <c r="D205" s="462" t="s">
        <v>701</v>
      </c>
      <c r="E205" s="461" t="s">
        <v>903</v>
      </c>
      <c r="F205" s="462"/>
      <c r="G205" s="461"/>
      <c r="H205" s="461"/>
      <c r="I205" s="461"/>
      <c r="J205" s="461">
        <v>0</v>
      </c>
      <c r="K205" s="461" t="s">
        <v>900</v>
      </c>
      <c r="L205" s="461"/>
      <c r="M205" s="461"/>
      <c r="N205" s="465">
        <v>44032</v>
      </c>
      <c r="O205" s="465">
        <v>44032</v>
      </c>
      <c r="P205" s="461" t="s">
        <v>899</v>
      </c>
      <c r="Q205" s="462">
        <v>300</v>
      </c>
      <c r="R205" s="462">
        <v>14110</v>
      </c>
      <c r="S205" s="513">
        <v>303.55</v>
      </c>
      <c r="T205" s="462">
        <v>14116</v>
      </c>
      <c r="U205" s="463">
        <v>227.66</v>
      </c>
      <c r="V205" s="463">
        <f t="shared" si="72"/>
        <v>75.890000000000015</v>
      </c>
      <c r="W205" s="464">
        <v>84.32</v>
      </c>
      <c r="X205" s="462">
        <v>70260</v>
      </c>
      <c r="Y205" s="463">
        <v>8.43</v>
      </c>
      <c r="Z205" s="461" t="s">
        <v>701</v>
      </c>
      <c r="AA205" s="461"/>
      <c r="AB205" s="461" t="s">
        <v>902</v>
      </c>
      <c r="AC205" s="461"/>
      <c r="AD205" s="461" t="s">
        <v>705</v>
      </c>
      <c r="AE205" s="461" t="s">
        <v>703</v>
      </c>
      <c r="AF205" s="462" t="s">
        <v>351</v>
      </c>
      <c r="AG205" s="461"/>
      <c r="AH205" s="462" t="s">
        <v>707</v>
      </c>
      <c r="AI205" s="461">
        <v>0</v>
      </c>
      <c r="AJ205" s="461">
        <v>0</v>
      </c>
      <c r="AL205" s="364">
        <v>0</v>
      </c>
      <c r="AM205" s="364">
        <v>0</v>
      </c>
      <c r="AN205" s="364">
        <v>0</v>
      </c>
      <c r="AO205" s="364">
        <v>0</v>
      </c>
      <c r="AP205" s="460">
        <v>0</v>
      </c>
      <c r="AQ205" s="511">
        <v>0</v>
      </c>
      <c r="AR205" s="511">
        <v>0</v>
      </c>
      <c r="AS205" s="511">
        <v>0</v>
      </c>
      <c r="AT205" s="511">
        <v>0</v>
      </c>
      <c r="AU205" s="511">
        <v>0</v>
      </c>
      <c r="AV205" s="511">
        <v>0</v>
      </c>
      <c r="AW205" s="364" t="s">
        <v>1309</v>
      </c>
    </row>
    <row r="206" spans="2:49" x14ac:dyDescent="0.25">
      <c r="B206" s="462">
        <v>2032</v>
      </c>
      <c r="C206" s="466">
        <v>235300</v>
      </c>
      <c r="D206" s="462" t="s">
        <v>701</v>
      </c>
      <c r="E206" s="461" t="s">
        <v>901</v>
      </c>
      <c r="F206" s="462"/>
      <c r="G206" s="461"/>
      <c r="H206" s="461"/>
      <c r="I206" s="461"/>
      <c r="J206" s="461">
        <v>0</v>
      </c>
      <c r="K206" s="461" t="s">
        <v>900</v>
      </c>
      <c r="L206" s="461"/>
      <c r="M206" s="461"/>
      <c r="N206" s="465">
        <v>44032</v>
      </c>
      <c r="O206" s="465">
        <v>44032</v>
      </c>
      <c r="P206" s="461" t="s">
        <v>899</v>
      </c>
      <c r="Q206" s="462">
        <v>300</v>
      </c>
      <c r="R206" s="462">
        <v>14110</v>
      </c>
      <c r="S206" s="513">
        <v>1282.8900000000001</v>
      </c>
      <c r="T206" s="462">
        <v>14116</v>
      </c>
      <c r="U206" s="463">
        <v>962.17</v>
      </c>
      <c r="V206" s="463">
        <f t="shared" si="72"/>
        <v>320.72000000000014</v>
      </c>
      <c r="W206" s="464">
        <v>356.36</v>
      </c>
      <c r="X206" s="462">
        <v>70260</v>
      </c>
      <c r="Y206" s="463">
        <v>35.64</v>
      </c>
      <c r="Z206" s="461" t="s">
        <v>701</v>
      </c>
      <c r="AA206" s="461"/>
      <c r="AB206" s="461" t="s">
        <v>898</v>
      </c>
      <c r="AC206" s="461"/>
      <c r="AD206" s="461" t="s">
        <v>705</v>
      </c>
      <c r="AE206" s="461" t="s">
        <v>703</v>
      </c>
      <c r="AF206" s="462" t="s">
        <v>351</v>
      </c>
      <c r="AG206" s="461"/>
      <c r="AH206" s="462" t="s">
        <v>707</v>
      </c>
      <c r="AI206" s="461">
        <v>0</v>
      </c>
      <c r="AJ206" s="461">
        <v>0</v>
      </c>
      <c r="AL206" s="364">
        <v>0</v>
      </c>
      <c r="AM206" s="364">
        <v>0</v>
      </c>
      <c r="AN206" s="364">
        <v>0</v>
      </c>
      <c r="AO206" s="364">
        <v>0</v>
      </c>
      <c r="AP206" s="460">
        <v>0</v>
      </c>
      <c r="AQ206" s="511">
        <v>0</v>
      </c>
      <c r="AR206" s="511">
        <v>0</v>
      </c>
      <c r="AS206" s="511">
        <v>0</v>
      </c>
      <c r="AT206" s="511">
        <v>0</v>
      </c>
      <c r="AU206" s="511">
        <v>0</v>
      </c>
      <c r="AV206" s="511">
        <v>0</v>
      </c>
      <c r="AW206" s="364" t="s">
        <v>1309</v>
      </c>
    </row>
    <row r="207" spans="2:49" x14ac:dyDescent="0.25">
      <c r="B207" s="462">
        <v>2032</v>
      </c>
      <c r="C207" s="466">
        <v>235136</v>
      </c>
      <c r="D207" s="462" t="s">
        <v>701</v>
      </c>
      <c r="E207" s="461" t="s">
        <v>897</v>
      </c>
      <c r="F207" s="462">
        <v>112</v>
      </c>
      <c r="G207" s="461"/>
      <c r="H207" s="461"/>
      <c r="I207" s="461"/>
      <c r="J207" s="461">
        <v>0</v>
      </c>
      <c r="K207" s="461" t="s">
        <v>890</v>
      </c>
      <c r="L207" s="461"/>
      <c r="M207" s="461" t="s">
        <v>858</v>
      </c>
      <c r="N207" s="465">
        <v>44029</v>
      </c>
      <c r="O207" s="465">
        <v>44029</v>
      </c>
      <c r="P207" s="461" t="s">
        <v>896</v>
      </c>
      <c r="Q207" s="462">
        <v>700</v>
      </c>
      <c r="R207" s="462">
        <v>14050</v>
      </c>
      <c r="S207" s="513">
        <v>4738.76</v>
      </c>
      <c r="T207" s="462">
        <v>14056</v>
      </c>
      <c r="U207" s="463">
        <v>1523.18</v>
      </c>
      <c r="V207" s="463">
        <f t="shared" si="72"/>
        <v>3215.58</v>
      </c>
      <c r="W207" s="464">
        <v>564.14</v>
      </c>
      <c r="X207" s="462">
        <v>54260</v>
      </c>
      <c r="Y207" s="463">
        <v>56.41</v>
      </c>
      <c r="Z207" s="461" t="s">
        <v>701</v>
      </c>
      <c r="AA207" s="461"/>
      <c r="AB207" s="461">
        <v>50109801</v>
      </c>
      <c r="AC207" s="461"/>
      <c r="AD207" s="461" t="s">
        <v>705</v>
      </c>
      <c r="AE207" s="461" t="s">
        <v>703</v>
      </c>
      <c r="AF207" s="462" t="s">
        <v>351</v>
      </c>
      <c r="AG207" s="461"/>
      <c r="AH207" s="462" t="s">
        <v>707</v>
      </c>
      <c r="AI207" s="461">
        <v>0</v>
      </c>
      <c r="AJ207" s="461">
        <v>0</v>
      </c>
      <c r="AL207" s="364">
        <v>0</v>
      </c>
      <c r="AM207" s="364">
        <v>0</v>
      </c>
      <c r="AN207" s="364">
        <v>0</v>
      </c>
      <c r="AO207" s="364">
        <v>0</v>
      </c>
      <c r="AP207" s="460">
        <v>0</v>
      </c>
      <c r="AQ207" s="511">
        <v>0</v>
      </c>
      <c r="AR207" s="511">
        <v>0</v>
      </c>
      <c r="AS207" s="511">
        <v>0</v>
      </c>
      <c r="AT207" s="511">
        <v>0</v>
      </c>
      <c r="AU207" s="511">
        <v>0</v>
      </c>
      <c r="AV207" s="511">
        <v>0</v>
      </c>
      <c r="AW207" s="364" t="s">
        <v>1309</v>
      </c>
    </row>
    <row r="208" spans="2:49" x14ac:dyDescent="0.25">
      <c r="B208" s="462">
        <v>2032</v>
      </c>
      <c r="C208" s="466">
        <v>235135</v>
      </c>
      <c r="D208" s="462" t="s">
        <v>701</v>
      </c>
      <c r="E208" s="461" t="s">
        <v>895</v>
      </c>
      <c r="F208" s="462">
        <v>367</v>
      </c>
      <c r="G208" s="461"/>
      <c r="H208" s="461"/>
      <c r="I208" s="461"/>
      <c r="J208" s="461">
        <v>0</v>
      </c>
      <c r="K208" s="461" t="s">
        <v>890</v>
      </c>
      <c r="L208" s="461"/>
      <c r="M208" s="461" t="s">
        <v>858</v>
      </c>
      <c r="N208" s="465">
        <v>44029</v>
      </c>
      <c r="O208" s="465">
        <v>44029</v>
      </c>
      <c r="P208" s="461" t="s">
        <v>894</v>
      </c>
      <c r="Q208" s="462">
        <v>700</v>
      </c>
      <c r="R208" s="462">
        <v>14050</v>
      </c>
      <c r="S208" s="513">
        <v>15527.89</v>
      </c>
      <c r="T208" s="462">
        <v>14056</v>
      </c>
      <c r="U208" s="463">
        <v>4991.1099999999997</v>
      </c>
      <c r="V208" s="463">
        <f t="shared" si="72"/>
        <v>10536.779999999999</v>
      </c>
      <c r="W208" s="464">
        <v>1848.56</v>
      </c>
      <c r="X208" s="462">
        <v>54260</v>
      </c>
      <c r="Y208" s="463">
        <v>184.86</v>
      </c>
      <c r="Z208" s="461" t="s">
        <v>701</v>
      </c>
      <c r="AA208" s="461"/>
      <c r="AB208" s="461">
        <v>50109801</v>
      </c>
      <c r="AC208" s="461"/>
      <c r="AD208" s="461" t="s">
        <v>705</v>
      </c>
      <c r="AE208" s="461" t="s">
        <v>703</v>
      </c>
      <c r="AF208" s="462" t="s">
        <v>351</v>
      </c>
      <c r="AG208" s="461"/>
      <c r="AH208" s="462" t="s">
        <v>707</v>
      </c>
      <c r="AI208" s="461">
        <v>0</v>
      </c>
      <c r="AJ208" s="461">
        <v>0</v>
      </c>
      <c r="AL208" s="364">
        <v>0</v>
      </c>
      <c r="AM208" s="364">
        <v>0</v>
      </c>
      <c r="AN208" s="364">
        <v>0</v>
      </c>
      <c r="AO208" s="364">
        <v>0</v>
      </c>
      <c r="AP208" s="460">
        <v>0</v>
      </c>
      <c r="AQ208" s="511">
        <v>0</v>
      </c>
      <c r="AR208" s="511">
        <v>0</v>
      </c>
      <c r="AS208" s="511">
        <v>0</v>
      </c>
      <c r="AT208" s="511">
        <v>0</v>
      </c>
      <c r="AU208" s="511">
        <v>0</v>
      </c>
      <c r="AV208" s="511">
        <v>0</v>
      </c>
      <c r="AW208" s="364" t="s">
        <v>1309</v>
      </c>
    </row>
    <row r="209" spans="2:49" x14ac:dyDescent="0.25">
      <c r="B209" s="462">
        <v>2032</v>
      </c>
      <c r="C209" s="466">
        <v>235134</v>
      </c>
      <c r="D209" s="462" t="s">
        <v>701</v>
      </c>
      <c r="E209" s="461" t="s">
        <v>893</v>
      </c>
      <c r="F209" s="462">
        <v>62</v>
      </c>
      <c r="G209" s="461"/>
      <c r="H209" s="461"/>
      <c r="I209" s="461"/>
      <c r="J209" s="461">
        <v>0</v>
      </c>
      <c r="K209" s="461" t="s">
        <v>890</v>
      </c>
      <c r="L209" s="461"/>
      <c r="M209" s="461" t="s">
        <v>858</v>
      </c>
      <c r="N209" s="465">
        <v>44029</v>
      </c>
      <c r="O209" s="465">
        <v>44029</v>
      </c>
      <c r="P209" s="461" t="s">
        <v>892</v>
      </c>
      <c r="Q209" s="462">
        <v>700</v>
      </c>
      <c r="R209" s="462">
        <v>14050</v>
      </c>
      <c r="S209" s="513">
        <v>2355.15</v>
      </c>
      <c r="T209" s="462">
        <v>14056</v>
      </c>
      <c r="U209" s="463">
        <v>757.02</v>
      </c>
      <c r="V209" s="463">
        <f t="shared" si="72"/>
        <v>1598.13</v>
      </c>
      <c r="W209" s="464">
        <v>280.38</v>
      </c>
      <c r="X209" s="462">
        <v>54260</v>
      </c>
      <c r="Y209" s="463">
        <v>28.04</v>
      </c>
      <c r="Z209" s="461" t="s">
        <v>701</v>
      </c>
      <c r="AA209" s="461"/>
      <c r="AB209" s="461">
        <v>50109801</v>
      </c>
      <c r="AC209" s="461"/>
      <c r="AD209" s="461" t="s">
        <v>705</v>
      </c>
      <c r="AE209" s="461" t="s">
        <v>703</v>
      </c>
      <c r="AF209" s="462" t="s">
        <v>351</v>
      </c>
      <c r="AG209" s="461"/>
      <c r="AH209" s="462" t="s">
        <v>707</v>
      </c>
      <c r="AI209" s="461">
        <v>0</v>
      </c>
      <c r="AJ209" s="461">
        <v>0</v>
      </c>
      <c r="AL209" s="364">
        <v>0</v>
      </c>
      <c r="AM209" s="364">
        <v>0</v>
      </c>
      <c r="AN209" s="364">
        <v>0</v>
      </c>
      <c r="AO209" s="364">
        <v>0</v>
      </c>
      <c r="AP209" s="460">
        <v>0</v>
      </c>
      <c r="AQ209" s="511">
        <v>0</v>
      </c>
      <c r="AR209" s="511">
        <v>0</v>
      </c>
      <c r="AS209" s="511">
        <v>0</v>
      </c>
      <c r="AT209" s="511">
        <v>0</v>
      </c>
      <c r="AU209" s="511">
        <v>0</v>
      </c>
      <c r="AV209" s="511">
        <v>0</v>
      </c>
      <c r="AW209" s="364" t="s">
        <v>1309</v>
      </c>
    </row>
    <row r="210" spans="2:49" x14ac:dyDescent="0.25">
      <c r="B210" s="462">
        <v>2032</v>
      </c>
      <c r="C210" s="466">
        <v>235133</v>
      </c>
      <c r="D210" s="462" t="s">
        <v>701</v>
      </c>
      <c r="E210" s="461" t="s">
        <v>891</v>
      </c>
      <c r="F210" s="462">
        <v>140</v>
      </c>
      <c r="G210" s="461"/>
      <c r="H210" s="461"/>
      <c r="I210" s="461"/>
      <c r="J210" s="461">
        <v>0</v>
      </c>
      <c r="K210" s="461" t="s">
        <v>890</v>
      </c>
      <c r="L210" s="461"/>
      <c r="M210" s="461" t="s">
        <v>858</v>
      </c>
      <c r="N210" s="465">
        <v>44029</v>
      </c>
      <c r="O210" s="465">
        <v>44029</v>
      </c>
      <c r="P210" s="461" t="s">
        <v>889</v>
      </c>
      <c r="Q210" s="462">
        <v>700</v>
      </c>
      <c r="R210" s="462">
        <v>14050</v>
      </c>
      <c r="S210" s="513">
        <v>5318.09</v>
      </c>
      <c r="T210" s="462">
        <v>14056</v>
      </c>
      <c r="U210" s="463">
        <v>1709.39</v>
      </c>
      <c r="V210" s="463">
        <f t="shared" si="72"/>
        <v>3608.7</v>
      </c>
      <c r="W210" s="464">
        <v>633.11</v>
      </c>
      <c r="X210" s="462">
        <v>54260</v>
      </c>
      <c r="Y210" s="463">
        <v>63.31</v>
      </c>
      <c r="Z210" s="461" t="s">
        <v>701</v>
      </c>
      <c r="AA210" s="461"/>
      <c r="AB210" s="461">
        <v>50109801</v>
      </c>
      <c r="AC210" s="461"/>
      <c r="AD210" s="461" t="s">
        <v>705</v>
      </c>
      <c r="AE210" s="461" t="s">
        <v>703</v>
      </c>
      <c r="AF210" s="462" t="s">
        <v>351</v>
      </c>
      <c r="AG210" s="461"/>
      <c r="AH210" s="462" t="s">
        <v>707</v>
      </c>
      <c r="AI210" s="461">
        <v>0</v>
      </c>
      <c r="AJ210" s="461">
        <v>0</v>
      </c>
      <c r="AL210" s="364">
        <v>0</v>
      </c>
      <c r="AM210" s="364">
        <v>0</v>
      </c>
      <c r="AN210" s="364">
        <v>0</v>
      </c>
      <c r="AO210" s="364">
        <v>0</v>
      </c>
      <c r="AP210" s="460">
        <v>0</v>
      </c>
      <c r="AQ210" s="511">
        <v>0</v>
      </c>
      <c r="AR210" s="511">
        <v>0</v>
      </c>
      <c r="AS210" s="511">
        <v>0</v>
      </c>
      <c r="AT210" s="511">
        <v>0</v>
      </c>
      <c r="AU210" s="511">
        <v>0</v>
      </c>
      <c r="AV210" s="511">
        <v>0</v>
      </c>
      <c r="AW210" s="364" t="s">
        <v>1309</v>
      </c>
    </row>
    <row r="211" spans="2:49" x14ac:dyDescent="0.25">
      <c r="B211" s="462">
        <v>2032</v>
      </c>
      <c r="C211" s="466">
        <v>234744</v>
      </c>
      <c r="D211" s="462" t="s">
        <v>888</v>
      </c>
      <c r="E211" s="461" t="s">
        <v>887</v>
      </c>
      <c r="F211" s="462"/>
      <c r="G211" s="461"/>
      <c r="H211" s="461"/>
      <c r="I211" s="461"/>
      <c r="J211" s="461">
        <v>0</v>
      </c>
      <c r="K211" s="461"/>
      <c r="L211" s="461"/>
      <c r="M211" s="461"/>
      <c r="N211" s="465">
        <v>44012</v>
      </c>
      <c r="O211" s="465">
        <v>44012</v>
      </c>
      <c r="P211" s="461"/>
      <c r="Q211" s="462">
        <v>0</v>
      </c>
      <c r="R211" s="462">
        <v>15240</v>
      </c>
      <c r="S211" s="513">
        <v>0</v>
      </c>
      <c r="T211" s="462">
        <v>15246</v>
      </c>
      <c r="U211" s="463">
        <v>0</v>
      </c>
      <c r="V211" s="463">
        <f t="shared" si="72"/>
        <v>0</v>
      </c>
      <c r="W211" s="464">
        <v>0</v>
      </c>
      <c r="X211" s="462">
        <v>70264</v>
      </c>
      <c r="Y211" s="463">
        <v>0</v>
      </c>
      <c r="Z211" s="461" t="s">
        <v>701</v>
      </c>
      <c r="AA211" s="461"/>
      <c r="AB211" s="461"/>
      <c r="AC211" s="461"/>
      <c r="AD211" s="461" t="s">
        <v>705</v>
      </c>
      <c r="AE211" s="461" t="s">
        <v>703</v>
      </c>
      <c r="AF211" s="462" t="s">
        <v>706</v>
      </c>
      <c r="AG211" s="461"/>
      <c r="AH211" s="462" t="s">
        <v>707</v>
      </c>
      <c r="AI211" s="461">
        <v>0</v>
      </c>
      <c r="AJ211" s="461">
        <v>0</v>
      </c>
      <c r="AL211" s="364">
        <v>0</v>
      </c>
      <c r="AM211" s="364">
        <v>0</v>
      </c>
      <c r="AN211" s="364">
        <v>0</v>
      </c>
      <c r="AO211" s="364">
        <v>0</v>
      </c>
      <c r="AP211" s="460">
        <v>0</v>
      </c>
      <c r="AQ211" s="511">
        <v>0</v>
      </c>
      <c r="AR211" s="511">
        <v>0</v>
      </c>
      <c r="AS211" s="511">
        <v>0</v>
      </c>
      <c r="AT211" s="511">
        <v>0</v>
      </c>
      <c r="AU211" s="511">
        <v>0</v>
      </c>
      <c r="AV211" s="511">
        <v>0</v>
      </c>
      <c r="AW211" s="364" t="s">
        <v>1309</v>
      </c>
    </row>
    <row r="212" spans="2:49" x14ac:dyDescent="0.25">
      <c r="B212" s="462">
        <v>2032</v>
      </c>
      <c r="C212" s="466">
        <v>234685</v>
      </c>
      <c r="D212" s="462" t="s">
        <v>701</v>
      </c>
      <c r="E212" s="461" t="s">
        <v>886</v>
      </c>
      <c r="F212" s="462"/>
      <c r="G212" s="461"/>
      <c r="H212" s="461"/>
      <c r="I212" s="461"/>
      <c r="J212" s="461">
        <v>0</v>
      </c>
      <c r="K212" s="461"/>
      <c r="L212" s="461"/>
      <c r="M212" s="461"/>
      <c r="N212" s="465">
        <v>43997</v>
      </c>
      <c r="O212" s="465">
        <v>43997</v>
      </c>
      <c r="P212" s="461"/>
      <c r="Q212" s="462">
        <v>0</v>
      </c>
      <c r="R212" s="462">
        <v>15110</v>
      </c>
      <c r="S212" s="513">
        <v>2246.09</v>
      </c>
      <c r="T212" s="462">
        <v>15120</v>
      </c>
      <c r="U212" s="463">
        <v>0</v>
      </c>
      <c r="V212" s="463">
        <f t="shared" ref="V212:V275" si="73">S212-U212</f>
        <v>2246.09</v>
      </c>
      <c r="W212" s="464">
        <v>0</v>
      </c>
      <c r="X212" s="462">
        <v>0</v>
      </c>
      <c r="Y212" s="463">
        <v>0</v>
      </c>
      <c r="Z212" s="461" t="s">
        <v>703</v>
      </c>
      <c r="AA212" s="461" t="s">
        <v>704</v>
      </c>
      <c r="AB212" s="461"/>
      <c r="AC212" s="461"/>
      <c r="AD212" s="461" t="s">
        <v>705</v>
      </c>
      <c r="AE212" s="461" t="s">
        <v>703</v>
      </c>
      <c r="AF212" s="462" t="s">
        <v>706</v>
      </c>
      <c r="AG212" s="461"/>
      <c r="AH212" s="462" t="s">
        <v>707</v>
      </c>
      <c r="AI212" s="461">
        <v>0</v>
      </c>
      <c r="AJ212" s="461">
        <v>0</v>
      </c>
      <c r="AL212" s="364">
        <v>0</v>
      </c>
      <c r="AM212" s="364">
        <v>0</v>
      </c>
      <c r="AN212" s="364">
        <v>0</v>
      </c>
      <c r="AO212" s="364">
        <v>0</v>
      </c>
      <c r="AP212" s="460">
        <v>0</v>
      </c>
      <c r="AQ212" s="511">
        <v>0</v>
      </c>
      <c r="AR212" s="511">
        <v>0</v>
      </c>
      <c r="AS212" s="511">
        <v>0</v>
      </c>
      <c r="AT212" s="511">
        <v>0</v>
      </c>
      <c r="AU212" s="511">
        <v>0</v>
      </c>
      <c r="AV212" s="511">
        <v>0</v>
      </c>
      <c r="AW212" s="364" t="s">
        <v>1309</v>
      </c>
    </row>
    <row r="213" spans="2:49" x14ac:dyDescent="0.25">
      <c r="B213" s="462">
        <v>2032</v>
      </c>
      <c r="C213" s="466">
        <v>234508</v>
      </c>
      <c r="D213" s="462" t="s">
        <v>701</v>
      </c>
      <c r="E213" s="461" t="s">
        <v>885</v>
      </c>
      <c r="F213" s="462"/>
      <c r="G213" s="461"/>
      <c r="H213" s="461"/>
      <c r="I213" s="461"/>
      <c r="J213" s="461">
        <v>0</v>
      </c>
      <c r="K213" s="461"/>
      <c r="L213" s="461"/>
      <c r="M213" s="461"/>
      <c r="N213" s="465">
        <v>43997</v>
      </c>
      <c r="O213" s="465">
        <v>43997</v>
      </c>
      <c r="P213" s="461"/>
      <c r="Q213" s="462">
        <v>0</v>
      </c>
      <c r="R213" s="462">
        <v>15260</v>
      </c>
      <c r="S213" s="513">
        <v>13464637.279999999</v>
      </c>
      <c r="T213" s="462">
        <v>15266</v>
      </c>
      <c r="U213" s="463">
        <v>0</v>
      </c>
      <c r="V213" s="463">
        <f t="shared" si="73"/>
        <v>13464637.279999999</v>
      </c>
      <c r="W213" s="464">
        <v>0</v>
      </c>
      <c r="X213" s="462">
        <v>0</v>
      </c>
      <c r="Y213" s="463">
        <v>0</v>
      </c>
      <c r="Z213" s="461" t="s">
        <v>703</v>
      </c>
      <c r="AA213" s="461" t="s">
        <v>704</v>
      </c>
      <c r="AB213" s="461"/>
      <c r="AC213" s="461"/>
      <c r="AD213" s="461" t="s">
        <v>705</v>
      </c>
      <c r="AE213" s="461" t="s">
        <v>703</v>
      </c>
      <c r="AF213" s="462" t="s">
        <v>706</v>
      </c>
      <c r="AG213" s="461"/>
      <c r="AH213" s="462" t="s">
        <v>707</v>
      </c>
      <c r="AI213" s="461">
        <v>0</v>
      </c>
      <c r="AJ213" s="461">
        <v>0</v>
      </c>
      <c r="AL213" s="364">
        <v>0</v>
      </c>
      <c r="AM213" s="364">
        <v>0</v>
      </c>
      <c r="AN213" s="364">
        <v>0</v>
      </c>
      <c r="AO213" s="364">
        <v>0</v>
      </c>
      <c r="AP213" s="460">
        <v>0</v>
      </c>
      <c r="AQ213" s="511">
        <v>0</v>
      </c>
      <c r="AR213" s="511">
        <v>0</v>
      </c>
      <c r="AS213" s="511">
        <v>0</v>
      </c>
      <c r="AT213" s="511">
        <v>0</v>
      </c>
      <c r="AU213" s="511">
        <v>0</v>
      </c>
      <c r="AV213" s="511">
        <v>0</v>
      </c>
      <c r="AW213" s="364" t="s">
        <v>1309</v>
      </c>
    </row>
    <row r="214" spans="2:49" x14ac:dyDescent="0.25">
      <c r="B214" s="462">
        <v>2032</v>
      </c>
      <c r="C214" s="466">
        <v>234506</v>
      </c>
      <c r="D214" s="462" t="s">
        <v>701</v>
      </c>
      <c r="E214" s="461" t="s">
        <v>884</v>
      </c>
      <c r="F214" s="462"/>
      <c r="G214" s="461"/>
      <c r="H214" s="461"/>
      <c r="I214" s="461"/>
      <c r="J214" s="461">
        <v>0</v>
      </c>
      <c r="K214" s="461"/>
      <c r="L214" s="461"/>
      <c r="M214" s="461"/>
      <c r="N214" s="465">
        <v>43997</v>
      </c>
      <c r="O214" s="465">
        <v>43997</v>
      </c>
      <c r="P214" s="461"/>
      <c r="Q214" s="462">
        <v>1100</v>
      </c>
      <c r="R214" s="462">
        <v>15250</v>
      </c>
      <c r="S214" s="513">
        <v>1892907.89</v>
      </c>
      <c r="T214" s="462">
        <v>15256</v>
      </c>
      <c r="U214" s="463">
        <v>581419.27</v>
      </c>
      <c r="V214" s="463">
        <f t="shared" si="73"/>
        <v>1311488.6199999999</v>
      </c>
      <c r="W214" s="464">
        <v>200490.49</v>
      </c>
      <c r="X214" s="462">
        <v>70269</v>
      </c>
      <c r="Y214" s="463">
        <v>20049.05</v>
      </c>
      <c r="Z214" s="461" t="s">
        <v>703</v>
      </c>
      <c r="AA214" s="461" t="s">
        <v>704</v>
      </c>
      <c r="AB214" s="461"/>
      <c r="AC214" s="461"/>
      <c r="AD214" s="461" t="s">
        <v>705</v>
      </c>
      <c r="AE214" s="461" t="s">
        <v>703</v>
      </c>
      <c r="AF214" s="462" t="s">
        <v>883</v>
      </c>
      <c r="AG214" s="461"/>
      <c r="AH214" s="462" t="s">
        <v>707</v>
      </c>
      <c r="AI214" s="461">
        <v>0</v>
      </c>
      <c r="AJ214" s="461">
        <v>0</v>
      </c>
      <c r="AL214" s="364">
        <v>0</v>
      </c>
      <c r="AM214" s="364">
        <v>0</v>
      </c>
      <c r="AN214" s="364">
        <v>0</v>
      </c>
      <c r="AO214" s="364">
        <v>0</v>
      </c>
      <c r="AP214" s="460">
        <v>0</v>
      </c>
      <c r="AQ214" s="511">
        <v>0</v>
      </c>
      <c r="AR214" s="511">
        <v>0</v>
      </c>
      <c r="AS214" s="511">
        <v>0</v>
      </c>
      <c r="AT214" s="511">
        <v>0</v>
      </c>
      <c r="AU214" s="511">
        <v>0</v>
      </c>
      <c r="AV214" s="511">
        <v>0</v>
      </c>
      <c r="AW214" s="364" t="s">
        <v>1309</v>
      </c>
    </row>
    <row r="215" spans="2:49" x14ac:dyDescent="0.25">
      <c r="B215" s="462">
        <v>2032</v>
      </c>
      <c r="C215" s="466">
        <v>234505</v>
      </c>
      <c r="D215" s="462" t="s">
        <v>701</v>
      </c>
      <c r="E215" s="461" t="s">
        <v>882</v>
      </c>
      <c r="F215" s="462"/>
      <c r="G215" s="461"/>
      <c r="H215" s="461"/>
      <c r="I215" s="461"/>
      <c r="J215" s="461">
        <v>0</v>
      </c>
      <c r="K215" s="461"/>
      <c r="L215" s="461"/>
      <c r="M215" s="461"/>
      <c r="N215" s="465">
        <v>43997</v>
      </c>
      <c r="O215" s="465">
        <v>43997</v>
      </c>
      <c r="P215" s="461"/>
      <c r="Q215" s="462">
        <v>1100</v>
      </c>
      <c r="R215" s="462">
        <v>15250</v>
      </c>
      <c r="S215" s="513">
        <v>1664313.31</v>
      </c>
      <c r="T215" s="462">
        <v>15256</v>
      </c>
      <c r="U215" s="463">
        <v>511204.92</v>
      </c>
      <c r="V215" s="463">
        <f t="shared" si="73"/>
        <v>1153108.3900000001</v>
      </c>
      <c r="W215" s="464">
        <v>176278.52</v>
      </c>
      <c r="X215" s="462">
        <v>70269</v>
      </c>
      <c r="Y215" s="463">
        <v>17627.849999999999</v>
      </c>
      <c r="Z215" s="461" t="s">
        <v>703</v>
      </c>
      <c r="AA215" s="461" t="s">
        <v>704</v>
      </c>
      <c r="AB215" s="461"/>
      <c r="AC215" s="461"/>
      <c r="AD215" s="461" t="s">
        <v>705</v>
      </c>
      <c r="AE215" s="461" t="s">
        <v>703</v>
      </c>
      <c r="AF215" s="462" t="s">
        <v>881</v>
      </c>
      <c r="AG215" s="461"/>
      <c r="AH215" s="462" t="s">
        <v>707</v>
      </c>
      <c r="AI215" s="461">
        <v>0</v>
      </c>
      <c r="AJ215" s="461">
        <v>0</v>
      </c>
      <c r="AL215" s="364">
        <v>0</v>
      </c>
      <c r="AM215" s="364">
        <v>0</v>
      </c>
      <c r="AN215" s="364">
        <v>0</v>
      </c>
      <c r="AO215" s="364">
        <v>0</v>
      </c>
      <c r="AP215" s="460">
        <v>0</v>
      </c>
      <c r="AQ215" s="511">
        <v>0</v>
      </c>
      <c r="AR215" s="511">
        <v>0</v>
      </c>
      <c r="AS215" s="511">
        <v>0</v>
      </c>
      <c r="AT215" s="511">
        <v>0</v>
      </c>
      <c r="AU215" s="511">
        <v>0</v>
      </c>
      <c r="AV215" s="511">
        <v>0</v>
      </c>
      <c r="AW215" s="364" t="s">
        <v>1309</v>
      </c>
    </row>
    <row r="216" spans="2:49" x14ac:dyDescent="0.25">
      <c r="B216" s="462">
        <v>2032</v>
      </c>
      <c r="C216" s="466">
        <v>234504</v>
      </c>
      <c r="D216" s="462" t="s">
        <v>701</v>
      </c>
      <c r="E216" s="461" t="s">
        <v>880</v>
      </c>
      <c r="F216" s="462"/>
      <c r="G216" s="461"/>
      <c r="H216" s="461"/>
      <c r="I216" s="461"/>
      <c r="J216" s="461">
        <v>0</v>
      </c>
      <c r="K216" s="461"/>
      <c r="L216" s="461"/>
      <c r="M216" s="461"/>
      <c r="N216" s="465">
        <v>43997</v>
      </c>
      <c r="O216" s="465">
        <v>43997</v>
      </c>
      <c r="P216" s="461"/>
      <c r="Q216" s="462">
        <v>1100</v>
      </c>
      <c r="R216" s="462">
        <v>15250</v>
      </c>
      <c r="S216" s="513">
        <v>1674854.84</v>
      </c>
      <c r="T216" s="462">
        <v>15256</v>
      </c>
      <c r="U216" s="463">
        <v>514442.83</v>
      </c>
      <c r="V216" s="463">
        <f t="shared" si="73"/>
        <v>1160412.01</v>
      </c>
      <c r="W216" s="464">
        <v>177395.04</v>
      </c>
      <c r="X216" s="462">
        <v>70269</v>
      </c>
      <c r="Y216" s="463">
        <v>17739.5</v>
      </c>
      <c r="Z216" s="461" t="s">
        <v>703</v>
      </c>
      <c r="AA216" s="461" t="s">
        <v>704</v>
      </c>
      <c r="AB216" s="461"/>
      <c r="AC216" s="461"/>
      <c r="AD216" s="461" t="s">
        <v>705</v>
      </c>
      <c r="AE216" s="461" t="s">
        <v>703</v>
      </c>
      <c r="AF216" s="462" t="s">
        <v>879</v>
      </c>
      <c r="AG216" s="461"/>
      <c r="AH216" s="462" t="s">
        <v>707</v>
      </c>
      <c r="AI216" s="461">
        <v>0</v>
      </c>
      <c r="AJ216" s="461">
        <v>0</v>
      </c>
      <c r="AL216" s="364">
        <v>0</v>
      </c>
      <c r="AM216" s="364">
        <v>0</v>
      </c>
      <c r="AN216" s="364">
        <v>0</v>
      </c>
      <c r="AO216" s="364">
        <v>0</v>
      </c>
      <c r="AP216" s="460">
        <v>0</v>
      </c>
      <c r="AQ216" s="511">
        <v>0</v>
      </c>
      <c r="AR216" s="511">
        <v>0</v>
      </c>
      <c r="AS216" s="511">
        <v>0</v>
      </c>
      <c r="AT216" s="511">
        <v>0</v>
      </c>
      <c r="AU216" s="511">
        <v>0</v>
      </c>
      <c r="AV216" s="511">
        <v>0</v>
      </c>
      <c r="AW216" s="364" t="s">
        <v>1309</v>
      </c>
    </row>
    <row r="217" spans="2:49" x14ac:dyDescent="0.25">
      <c r="B217" s="462">
        <v>2032</v>
      </c>
      <c r="C217" s="466">
        <v>234503</v>
      </c>
      <c r="D217" s="462" t="s">
        <v>701</v>
      </c>
      <c r="E217" s="461" t="s">
        <v>878</v>
      </c>
      <c r="F217" s="462"/>
      <c r="G217" s="461"/>
      <c r="H217" s="461"/>
      <c r="I217" s="461"/>
      <c r="J217" s="461">
        <v>0</v>
      </c>
      <c r="K217" s="461"/>
      <c r="L217" s="461"/>
      <c r="M217" s="461"/>
      <c r="N217" s="465">
        <v>43997</v>
      </c>
      <c r="O217" s="465">
        <v>43997</v>
      </c>
      <c r="P217" s="461"/>
      <c r="Q217" s="462">
        <v>1600</v>
      </c>
      <c r="R217" s="462">
        <v>15250</v>
      </c>
      <c r="S217" s="513">
        <v>14801843.84</v>
      </c>
      <c r="T217" s="462">
        <v>15256</v>
      </c>
      <c r="U217" s="463">
        <v>2384848.42</v>
      </c>
      <c r="V217" s="463">
        <f t="shared" si="73"/>
        <v>12416995.42</v>
      </c>
      <c r="W217" s="464">
        <v>822365.78</v>
      </c>
      <c r="X217" s="462">
        <v>70269</v>
      </c>
      <c r="Y217" s="463">
        <v>82236.58</v>
      </c>
      <c r="Z217" s="461" t="s">
        <v>703</v>
      </c>
      <c r="AA217" s="461" t="s">
        <v>704</v>
      </c>
      <c r="AB217" s="461"/>
      <c r="AC217" s="461"/>
      <c r="AD217" s="461" t="s">
        <v>705</v>
      </c>
      <c r="AE217" s="461" t="s">
        <v>703</v>
      </c>
      <c r="AF217" s="462" t="s">
        <v>877</v>
      </c>
      <c r="AG217" s="461"/>
      <c r="AH217" s="462" t="s">
        <v>707</v>
      </c>
      <c r="AI217" s="461">
        <v>0</v>
      </c>
      <c r="AJ217" s="461">
        <v>0</v>
      </c>
      <c r="AL217" s="364">
        <v>0</v>
      </c>
      <c r="AM217" s="364">
        <v>0</v>
      </c>
      <c r="AN217" s="364">
        <v>0</v>
      </c>
      <c r="AO217" s="364">
        <v>0</v>
      </c>
      <c r="AP217" s="460">
        <v>0</v>
      </c>
      <c r="AQ217" s="511">
        <v>0</v>
      </c>
      <c r="AR217" s="511">
        <v>0</v>
      </c>
      <c r="AS217" s="511">
        <v>0</v>
      </c>
      <c r="AT217" s="511">
        <v>0</v>
      </c>
      <c r="AU217" s="511">
        <v>0</v>
      </c>
      <c r="AV217" s="511">
        <v>0</v>
      </c>
      <c r="AW217" s="364" t="s">
        <v>1309</v>
      </c>
    </row>
    <row r="218" spans="2:49" x14ac:dyDescent="0.25">
      <c r="B218" s="462">
        <v>2032</v>
      </c>
      <c r="C218" s="466">
        <v>234502</v>
      </c>
      <c r="D218" s="462" t="s">
        <v>701</v>
      </c>
      <c r="E218" s="461" t="s">
        <v>876</v>
      </c>
      <c r="F218" s="462"/>
      <c r="G218" s="461"/>
      <c r="H218" s="461"/>
      <c r="I218" s="461"/>
      <c r="J218" s="461">
        <v>0</v>
      </c>
      <c r="K218" s="461"/>
      <c r="L218" s="461"/>
      <c r="M218" s="461"/>
      <c r="N218" s="465">
        <v>43997</v>
      </c>
      <c r="O218" s="465">
        <v>43997</v>
      </c>
      <c r="P218" s="461"/>
      <c r="Q218" s="462">
        <v>1600</v>
      </c>
      <c r="R218" s="462">
        <v>15250</v>
      </c>
      <c r="S218" s="513">
        <v>2587656.14</v>
      </c>
      <c r="T218" s="462">
        <v>15256</v>
      </c>
      <c r="U218" s="463">
        <v>528489.93999999994</v>
      </c>
      <c r="V218" s="463">
        <f t="shared" si="73"/>
        <v>2059166.2000000002</v>
      </c>
      <c r="W218" s="464">
        <v>182235.68</v>
      </c>
      <c r="X218" s="462">
        <v>70269</v>
      </c>
      <c r="Y218" s="463">
        <v>18223.560000000001</v>
      </c>
      <c r="Z218" s="461" t="s">
        <v>703</v>
      </c>
      <c r="AA218" s="461" t="s">
        <v>704</v>
      </c>
      <c r="AB218" s="461"/>
      <c r="AC218" s="461"/>
      <c r="AD218" s="461" t="s">
        <v>705</v>
      </c>
      <c r="AE218" s="461" t="s">
        <v>703</v>
      </c>
      <c r="AF218" s="462" t="s">
        <v>875</v>
      </c>
      <c r="AG218" s="461"/>
      <c r="AH218" s="462" t="s">
        <v>707</v>
      </c>
      <c r="AI218" s="461">
        <v>0</v>
      </c>
      <c r="AJ218" s="461">
        <v>0</v>
      </c>
      <c r="AL218" s="364">
        <v>0</v>
      </c>
      <c r="AM218" s="364">
        <v>0</v>
      </c>
      <c r="AN218" s="364">
        <v>0</v>
      </c>
      <c r="AO218" s="364">
        <v>0</v>
      </c>
      <c r="AP218" s="460">
        <v>0</v>
      </c>
      <c r="AQ218" s="511">
        <v>0</v>
      </c>
      <c r="AR218" s="511">
        <v>0</v>
      </c>
      <c r="AS218" s="511">
        <v>0</v>
      </c>
      <c r="AT218" s="511">
        <v>0</v>
      </c>
      <c r="AU218" s="511">
        <v>0</v>
      </c>
      <c r="AV218" s="511">
        <v>0</v>
      </c>
      <c r="AW218" s="364" t="s">
        <v>1309</v>
      </c>
    </row>
    <row r="219" spans="2:49" x14ac:dyDescent="0.25">
      <c r="B219" s="462">
        <v>2032</v>
      </c>
      <c r="C219" s="466">
        <v>234501</v>
      </c>
      <c r="D219" s="462" t="s">
        <v>701</v>
      </c>
      <c r="E219" s="461" t="s">
        <v>874</v>
      </c>
      <c r="F219" s="462"/>
      <c r="G219" s="461"/>
      <c r="H219" s="461"/>
      <c r="I219" s="461"/>
      <c r="J219" s="461">
        <v>0</v>
      </c>
      <c r="K219" s="461"/>
      <c r="L219" s="461"/>
      <c r="M219" s="461"/>
      <c r="N219" s="465">
        <v>43997</v>
      </c>
      <c r="O219" s="465">
        <v>43997</v>
      </c>
      <c r="P219" s="461"/>
      <c r="Q219" s="462">
        <v>1600</v>
      </c>
      <c r="R219" s="462">
        <v>15250</v>
      </c>
      <c r="S219" s="513">
        <v>572524.75</v>
      </c>
      <c r="T219" s="462">
        <v>15256</v>
      </c>
      <c r="U219" s="463">
        <v>103438.05</v>
      </c>
      <c r="V219" s="463">
        <f t="shared" si="73"/>
        <v>469086.7</v>
      </c>
      <c r="W219" s="464">
        <v>35668.29</v>
      </c>
      <c r="X219" s="462">
        <v>70269</v>
      </c>
      <c r="Y219" s="463">
        <v>3566.83</v>
      </c>
      <c r="Z219" s="461" t="s">
        <v>703</v>
      </c>
      <c r="AA219" s="461" t="s">
        <v>704</v>
      </c>
      <c r="AB219" s="461"/>
      <c r="AC219" s="461"/>
      <c r="AD219" s="461" t="s">
        <v>705</v>
      </c>
      <c r="AE219" s="461" t="s">
        <v>703</v>
      </c>
      <c r="AF219" s="462" t="s">
        <v>873</v>
      </c>
      <c r="AG219" s="461"/>
      <c r="AH219" s="462" t="s">
        <v>707</v>
      </c>
      <c r="AI219" s="461">
        <v>0</v>
      </c>
      <c r="AJ219" s="461">
        <v>0</v>
      </c>
      <c r="AL219" s="364">
        <v>0</v>
      </c>
      <c r="AM219" s="364">
        <v>0</v>
      </c>
      <c r="AN219" s="364">
        <v>0</v>
      </c>
      <c r="AO219" s="364">
        <v>0</v>
      </c>
      <c r="AP219" s="460">
        <v>0</v>
      </c>
      <c r="AQ219" s="511">
        <v>0</v>
      </c>
      <c r="AR219" s="511">
        <v>0</v>
      </c>
      <c r="AS219" s="511">
        <v>0</v>
      </c>
      <c r="AT219" s="511">
        <v>0</v>
      </c>
      <c r="AU219" s="511">
        <v>0</v>
      </c>
      <c r="AV219" s="511">
        <v>0</v>
      </c>
      <c r="AW219" s="364" t="s">
        <v>1309</v>
      </c>
    </row>
    <row r="220" spans="2:49" x14ac:dyDescent="0.25">
      <c r="B220" s="462">
        <v>2032</v>
      </c>
      <c r="C220" s="466">
        <v>234500</v>
      </c>
      <c r="D220" s="462" t="s">
        <v>701</v>
      </c>
      <c r="E220" s="461" t="s">
        <v>872</v>
      </c>
      <c r="F220" s="462"/>
      <c r="G220" s="461"/>
      <c r="H220" s="461"/>
      <c r="I220" s="461"/>
      <c r="J220" s="461">
        <v>0</v>
      </c>
      <c r="K220" s="461"/>
      <c r="L220" s="461"/>
      <c r="M220" s="461"/>
      <c r="N220" s="465">
        <v>43997</v>
      </c>
      <c r="O220" s="465">
        <v>43997</v>
      </c>
      <c r="P220" s="461"/>
      <c r="Q220" s="462">
        <v>1600</v>
      </c>
      <c r="R220" s="462">
        <v>15250</v>
      </c>
      <c r="S220" s="513">
        <v>1918969.89</v>
      </c>
      <c r="T220" s="462">
        <v>15256</v>
      </c>
      <c r="U220" s="463">
        <v>346700.3</v>
      </c>
      <c r="V220" s="463">
        <f t="shared" si="73"/>
        <v>1572269.5899999999</v>
      </c>
      <c r="W220" s="464">
        <v>119551.83</v>
      </c>
      <c r="X220" s="462">
        <v>70269</v>
      </c>
      <c r="Y220" s="463">
        <v>11955.19</v>
      </c>
      <c r="Z220" s="461" t="s">
        <v>703</v>
      </c>
      <c r="AA220" s="461" t="s">
        <v>704</v>
      </c>
      <c r="AB220" s="461"/>
      <c r="AC220" s="461"/>
      <c r="AD220" s="461" t="s">
        <v>705</v>
      </c>
      <c r="AE220" s="461" t="s">
        <v>703</v>
      </c>
      <c r="AF220" s="462" t="s">
        <v>871</v>
      </c>
      <c r="AG220" s="461"/>
      <c r="AH220" s="462" t="s">
        <v>707</v>
      </c>
      <c r="AI220" s="461">
        <v>0</v>
      </c>
      <c r="AJ220" s="461">
        <v>0</v>
      </c>
      <c r="AL220" s="364">
        <v>0</v>
      </c>
      <c r="AM220" s="364">
        <v>0</v>
      </c>
      <c r="AN220" s="364">
        <v>0</v>
      </c>
      <c r="AO220" s="364">
        <v>0</v>
      </c>
      <c r="AP220" s="460">
        <v>0</v>
      </c>
      <c r="AQ220" s="511">
        <v>0</v>
      </c>
      <c r="AR220" s="511">
        <v>0</v>
      </c>
      <c r="AS220" s="511">
        <v>0</v>
      </c>
      <c r="AT220" s="511">
        <v>0</v>
      </c>
      <c r="AU220" s="511">
        <v>0</v>
      </c>
      <c r="AV220" s="511">
        <v>0</v>
      </c>
      <c r="AW220" s="364" t="s">
        <v>1309</v>
      </c>
    </row>
    <row r="221" spans="2:49" x14ac:dyDescent="0.25">
      <c r="B221" s="462">
        <v>2032</v>
      </c>
      <c r="C221" s="466">
        <v>234499</v>
      </c>
      <c r="D221" s="462" t="s">
        <v>701</v>
      </c>
      <c r="E221" s="461" t="s">
        <v>870</v>
      </c>
      <c r="F221" s="462"/>
      <c r="G221" s="461"/>
      <c r="H221" s="461"/>
      <c r="I221" s="461"/>
      <c r="J221" s="461">
        <v>0</v>
      </c>
      <c r="K221" s="461"/>
      <c r="L221" s="461"/>
      <c r="M221" s="461"/>
      <c r="N221" s="465">
        <v>43997</v>
      </c>
      <c r="O221" s="465">
        <v>43997</v>
      </c>
      <c r="P221" s="461"/>
      <c r="Q221" s="462">
        <v>1600</v>
      </c>
      <c r="R221" s="462">
        <v>15250</v>
      </c>
      <c r="S221" s="513">
        <v>6160344.7999999998</v>
      </c>
      <c r="T221" s="462">
        <v>15256</v>
      </c>
      <c r="U221" s="463">
        <v>1221791.46</v>
      </c>
      <c r="V221" s="463">
        <f t="shared" si="73"/>
        <v>4938553.34</v>
      </c>
      <c r="W221" s="464">
        <v>421316.25</v>
      </c>
      <c r="X221" s="462">
        <v>70269</v>
      </c>
      <c r="Y221" s="463">
        <v>42131.62</v>
      </c>
      <c r="Z221" s="461" t="s">
        <v>703</v>
      </c>
      <c r="AA221" s="461" t="s">
        <v>704</v>
      </c>
      <c r="AB221" s="461"/>
      <c r="AC221" s="461"/>
      <c r="AD221" s="461" t="s">
        <v>705</v>
      </c>
      <c r="AE221" s="461" t="s">
        <v>703</v>
      </c>
      <c r="AF221" s="462" t="s">
        <v>869</v>
      </c>
      <c r="AG221" s="461"/>
      <c r="AH221" s="462" t="s">
        <v>707</v>
      </c>
      <c r="AI221" s="461">
        <v>0</v>
      </c>
      <c r="AJ221" s="461">
        <v>0</v>
      </c>
      <c r="AL221" s="364">
        <v>0</v>
      </c>
      <c r="AM221" s="364">
        <v>0</v>
      </c>
      <c r="AN221" s="364">
        <v>0</v>
      </c>
      <c r="AO221" s="364">
        <v>0</v>
      </c>
      <c r="AP221" s="460">
        <v>0</v>
      </c>
      <c r="AQ221" s="511">
        <v>0</v>
      </c>
      <c r="AR221" s="511">
        <v>0</v>
      </c>
      <c r="AS221" s="511">
        <v>0</v>
      </c>
      <c r="AT221" s="511">
        <v>0</v>
      </c>
      <c r="AU221" s="511">
        <v>0</v>
      </c>
      <c r="AV221" s="511">
        <v>0</v>
      </c>
      <c r="AW221" s="364" t="s">
        <v>1309</v>
      </c>
    </row>
    <row r="222" spans="2:49" x14ac:dyDescent="0.25">
      <c r="B222" s="462">
        <v>2032</v>
      </c>
      <c r="C222" s="466">
        <v>234498</v>
      </c>
      <c r="D222" s="462" t="s">
        <v>701</v>
      </c>
      <c r="E222" s="461" t="s">
        <v>868</v>
      </c>
      <c r="F222" s="462"/>
      <c r="G222" s="461"/>
      <c r="H222" s="461"/>
      <c r="I222" s="461"/>
      <c r="J222" s="461">
        <v>0</v>
      </c>
      <c r="K222" s="461"/>
      <c r="L222" s="461"/>
      <c r="M222" s="461"/>
      <c r="N222" s="465">
        <v>43997</v>
      </c>
      <c r="O222" s="465">
        <v>43997</v>
      </c>
      <c r="P222" s="461"/>
      <c r="Q222" s="462">
        <v>1600</v>
      </c>
      <c r="R222" s="462">
        <v>15250</v>
      </c>
      <c r="S222" s="513">
        <v>617594.04</v>
      </c>
      <c r="T222" s="462">
        <v>15256</v>
      </c>
      <c r="U222" s="463">
        <v>140053.85</v>
      </c>
      <c r="V222" s="463">
        <f t="shared" si="73"/>
        <v>477540.19000000006</v>
      </c>
      <c r="W222" s="464">
        <v>44240.32</v>
      </c>
      <c r="X222" s="462">
        <v>70269</v>
      </c>
      <c r="Y222" s="463">
        <v>4424.03</v>
      </c>
      <c r="Z222" s="461" t="s">
        <v>703</v>
      </c>
      <c r="AA222" s="461" t="s">
        <v>704</v>
      </c>
      <c r="AB222" s="461"/>
      <c r="AC222" s="461"/>
      <c r="AD222" s="461" t="s">
        <v>705</v>
      </c>
      <c r="AE222" s="461" t="s">
        <v>703</v>
      </c>
      <c r="AF222" s="462" t="s">
        <v>867</v>
      </c>
      <c r="AG222" s="461"/>
      <c r="AH222" s="462" t="s">
        <v>707</v>
      </c>
      <c r="AI222" s="461">
        <v>0</v>
      </c>
      <c r="AJ222" s="461">
        <v>0</v>
      </c>
      <c r="AL222" s="364">
        <v>0</v>
      </c>
      <c r="AM222" s="364">
        <v>0</v>
      </c>
      <c r="AN222" s="364">
        <v>0</v>
      </c>
      <c r="AO222" s="364">
        <v>0</v>
      </c>
      <c r="AP222" s="460">
        <v>0</v>
      </c>
      <c r="AQ222" s="511">
        <v>0</v>
      </c>
      <c r="AR222" s="511">
        <v>0</v>
      </c>
      <c r="AS222" s="511">
        <v>0</v>
      </c>
      <c r="AT222" s="511">
        <v>0</v>
      </c>
      <c r="AU222" s="511">
        <v>0</v>
      </c>
      <c r="AV222" s="511">
        <v>0</v>
      </c>
      <c r="AW222" s="364" t="s">
        <v>1309</v>
      </c>
    </row>
    <row r="223" spans="2:49" x14ac:dyDescent="0.25">
      <c r="B223" s="462">
        <v>2032</v>
      </c>
      <c r="C223" s="466">
        <v>234497</v>
      </c>
      <c r="D223" s="462" t="s">
        <v>701</v>
      </c>
      <c r="E223" s="461" t="s">
        <v>866</v>
      </c>
      <c r="F223" s="462"/>
      <c r="G223" s="461"/>
      <c r="H223" s="461"/>
      <c r="I223" s="461"/>
      <c r="J223" s="461">
        <v>0</v>
      </c>
      <c r="K223" s="461"/>
      <c r="L223" s="461"/>
      <c r="M223" s="461"/>
      <c r="N223" s="465">
        <v>43997</v>
      </c>
      <c r="O223" s="465">
        <v>43997</v>
      </c>
      <c r="P223" s="461"/>
      <c r="Q223" s="462">
        <v>1100</v>
      </c>
      <c r="R223" s="462">
        <v>15220</v>
      </c>
      <c r="S223" s="513">
        <v>640533.06999999995</v>
      </c>
      <c r="T223" s="462">
        <v>15226</v>
      </c>
      <c r="U223" s="463">
        <v>304112.28000000003</v>
      </c>
      <c r="V223" s="463">
        <f t="shared" si="73"/>
        <v>336420.78999999992</v>
      </c>
      <c r="W223" s="464">
        <v>90090.98</v>
      </c>
      <c r="X223" s="462">
        <v>70264</v>
      </c>
      <c r="Y223" s="463">
        <v>9009.1</v>
      </c>
      <c r="Z223" s="461" t="s">
        <v>703</v>
      </c>
      <c r="AA223" s="461" t="s">
        <v>704</v>
      </c>
      <c r="AB223" s="461"/>
      <c r="AC223" s="461"/>
      <c r="AD223" s="461" t="s">
        <v>705</v>
      </c>
      <c r="AE223" s="461" t="s">
        <v>703</v>
      </c>
      <c r="AF223" s="462" t="s">
        <v>865</v>
      </c>
      <c r="AG223" s="461"/>
      <c r="AH223" s="462" t="s">
        <v>707</v>
      </c>
      <c r="AI223" s="461">
        <v>0</v>
      </c>
      <c r="AJ223" s="461">
        <v>0</v>
      </c>
      <c r="AL223" s="364">
        <v>0</v>
      </c>
      <c r="AM223" s="364">
        <v>0</v>
      </c>
      <c r="AN223" s="364">
        <v>0</v>
      </c>
      <c r="AO223" s="364">
        <v>0</v>
      </c>
      <c r="AP223" s="460">
        <v>0</v>
      </c>
      <c r="AQ223" s="511">
        <v>0</v>
      </c>
      <c r="AR223" s="511">
        <v>0</v>
      </c>
      <c r="AS223" s="511">
        <v>0</v>
      </c>
      <c r="AT223" s="511">
        <v>0</v>
      </c>
      <c r="AU223" s="511">
        <v>0</v>
      </c>
      <c r="AV223" s="511">
        <v>0</v>
      </c>
      <c r="AW223" s="364" t="s">
        <v>1309</v>
      </c>
    </row>
    <row r="224" spans="2:49" x14ac:dyDescent="0.25">
      <c r="B224" s="462">
        <v>2032</v>
      </c>
      <c r="C224" s="466">
        <v>234496</v>
      </c>
      <c r="D224" s="462" t="s">
        <v>701</v>
      </c>
      <c r="E224" s="461" t="s">
        <v>1436</v>
      </c>
      <c r="F224" s="462"/>
      <c r="G224" s="461"/>
      <c r="H224" s="461"/>
      <c r="I224" s="461"/>
      <c r="J224" s="461">
        <v>0</v>
      </c>
      <c r="K224" s="461"/>
      <c r="L224" s="461"/>
      <c r="M224" s="461"/>
      <c r="N224" s="465">
        <v>43997</v>
      </c>
      <c r="O224" s="465">
        <v>43997</v>
      </c>
      <c r="P224" s="461"/>
      <c r="Q224" s="462">
        <v>0</v>
      </c>
      <c r="R224" s="462">
        <v>14000</v>
      </c>
      <c r="S224" s="513">
        <v>3043616</v>
      </c>
      <c r="T224" s="462">
        <v>0</v>
      </c>
      <c r="U224" s="463">
        <v>0</v>
      </c>
      <c r="V224" s="463">
        <f t="shared" si="73"/>
        <v>3043616</v>
      </c>
      <c r="W224" s="464">
        <v>0</v>
      </c>
      <c r="X224" s="462">
        <v>0</v>
      </c>
      <c r="Y224" s="463">
        <v>0</v>
      </c>
      <c r="Z224" s="461" t="s">
        <v>703</v>
      </c>
      <c r="AA224" s="461" t="s">
        <v>704</v>
      </c>
      <c r="AB224" s="461"/>
      <c r="AC224" s="461"/>
      <c r="AD224" s="461" t="s">
        <v>705</v>
      </c>
      <c r="AE224" s="461" t="s">
        <v>703</v>
      </c>
      <c r="AF224" s="462" t="s">
        <v>706</v>
      </c>
      <c r="AG224" s="461"/>
      <c r="AH224" s="462" t="s">
        <v>707</v>
      </c>
      <c r="AI224" s="461">
        <v>0</v>
      </c>
      <c r="AJ224" s="461">
        <v>0</v>
      </c>
      <c r="AL224" s="364">
        <v>0</v>
      </c>
      <c r="AM224" s="364">
        <v>0</v>
      </c>
      <c r="AN224" s="364">
        <v>0</v>
      </c>
      <c r="AO224" s="364">
        <v>0</v>
      </c>
      <c r="AP224" s="460">
        <v>0</v>
      </c>
      <c r="AQ224" s="511">
        <v>0</v>
      </c>
      <c r="AR224" s="511">
        <v>0</v>
      </c>
      <c r="AS224" s="511">
        <v>0</v>
      </c>
      <c r="AT224" s="511">
        <v>0</v>
      </c>
      <c r="AU224" s="511">
        <v>0</v>
      </c>
      <c r="AV224" s="511">
        <v>0</v>
      </c>
      <c r="AW224" s="364" t="s">
        <v>1309</v>
      </c>
    </row>
    <row r="225" spans="2:49" x14ac:dyDescent="0.25">
      <c r="B225" s="462">
        <v>2032</v>
      </c>
      <c r="C225" s="466">
        <v>234495</v>
      </c>
      <c r="D225" s="462" t="s">
        <v>701</v>
      </c>
      <c r="E225" s="461" t="s">
        <v>1435</v>
      </c>
      <c r="F225" s="462"/>
      <c r="G225" s="461"/>
      <c r="H225" s="461"/>
      <c r="I225" s="461"/>
      <c r="J225" s="461">
        <v>0</v>
      </c>
      <c r="K225" s="461"/>
      <c r="L225" s="461"/>
      <c r="M225" s="461"/>
      <c r="N225" s="465">
        <v>43997</v>
      </c>
      <c r="O225" s="465">
        <v>43997</v>
      </c>
      <c r="P225" s="461"/>
      <c r="Q225" s="462">
        <v>2000</v>
      </c>
      <c r="R225" s="462">
        <v>14080</v>
      </c>
      <c r="S225" s="513">
        <v>10656384</v>
      </c>
      <c r="T225" s="462">
        <v>14086</v>
      </c>
      <c r="U225" s="463">
        <v>1287646.3999999999</v>
      </c>
      <c r="V225" s="463">
        <f t="shared" si="73"/>
        <v>9368737.5999999996</v>
      </c>
      <c r="W225" s="464">
        <v>444016</v>
      </c>
      <c r="X225" s="462">
        <v>57260</v>
      </c>
      <c r="Y225" s="463">
        <v>44401.599999999999</v>
      </c>
      <c r="Z225" s="461" t="s">
        <v>703</v>
      </c>
      <c r="AA225" s="461" t="s">
        <v>704</v>
      </c>
      <c r="AB225" s="461"/>
      <c r="AC225" s="461"/>
      <c r="AD225" s="461" t="s">
        <v>705</v>
      </c>
      <c r="AE225" s="461" t="s">
        <v>703</v>
      </c>
      <c r="AF225" s="462" t="s">
        <v>351</v>
      </c>
      <c r="AG225" s="461"/>
      <c r="AH225" s="462" t="s">
        <v>707</v>
      </c>
      <c r="AI225" s="461">
        <v>0</v>
      </c>
      <c r="AJ225" s="461">
        <v>0</v>
      </c>
      <c r="AL225" s="364">
        <v>0</v>
      </c>
      <c r="AM225" s="364">
        <v>0</v>
      </c>
      <c r="AN225" s="364">
        <v>0</v>
      </c>
      <c r="AO225" s="364">
        <v>0</v>
      </c>
      <c r="AP225" s="460">
        <v>0</v>
      </c>
      <c r="AQ225" s="511">
        <v>0</v>
      </c>
      <c r="AR225" s="511">
        <v>0</v>
      </c>
      <c r="AS225" s="511">
        <v>0</v>
      </c>
      <c r="AT225" s="511">
        <v>0</v>
      </c>
      <c r="AU225" s="511">
        <v>0</v>
      </c>
      <c r="AV225" s="511">
        <v>0</v>
      </c>
      <c r="AW225" s="364" t="s">
        <v>1309</v>
      </c>
    </row>
    <row r="226" spans="2:49" x14ac:dyDescent="0.25">
      <c r="B226" s="462">
        <v>2032</v>
      </c>
      <c r="C226" s="466">
        <v>234494</v>
      </c>
      <c r="D226" s="462" t="s">
        <v>701</v>
      </c>
      <c r="E226" s="461" t="s">
        <v>864</v>
      </c>
      <c r="F226" s="462"/>
      <c r="G226" s="461"/>
      <c r="H226" s="461"/>
      <c r="I226" s="461"/>
      <c r="J226" s="461">
        <v>0</v>
      </c>
      <c r="K226" s="461"/>
      <c r="L226" s="461"/>
      <c r="M226" s="461"/>
      <c r="N226" s="465">
        <v>43997</v>
      </c>
      <c r="O226" s="465">
        <v>43997</v>
      </c>
      <c r="P226" s="461"/>
      <c r="Q226" s="462">
        <v>500</v>
      </c>
      <c r="R226" s="462">
        <v>14100</v>
      </c>
      <c r="S226" s="513">
        <v>12500</v>
      </c>
      <c r="T226" s="462">
        <v>14106</v>
      </c>
      <c r="U226" s="463">
        <v>6041.66</v>
      </c>
      <c r="V226" s="463">
        <f t="shared" si="73"/>
        <v>6458.34</v>
      </c>
      <c r="W226" s="464">
        <v>2083.33</v>
      </c>
      <c r="X226" s="462">
        <v>70260</v>
      </c>
      <c r="Y226" s="463">
        <v>208.33</v>
      </c>
      <c r="Z226" s="461" t="s">
        <v>703</v>
      </c>
      <c r="AA226" s="461" t="s">
        <v>704</v>
      </c>
      <c r="AB226" s="461"/>
      <c r="AC226" s="461"/>
      <c r="AD226" s="461" t="s">
        <v>705</v>
      </c>
      <c r="AE226" s="461" t="s">
        <v>703</v>
      </c>
      <c r="AF226" s="462" t="s">
        <v>351</v>
      </c>
      <c r="AG226" s="461"/>
      <c r="AH226" s="462" t="s">
        <v>707</v>
      </c>
      <c r="AI226" s="461">
        <v>0</v>
      </c>
      <c r="AJ226" s="461">
        <v>0</v>
      </c>
      <c r="AL226" s="364">
        <v>0</v>
      </c>
      <c r="AM226" s="364">
        <v>0</v>
      </c>
      <c r="AN226" s="364">
        <v>0</v>
      </c>
      <c r="AO226" s="364">
        <v>0</v>
      </c>
      <c r="AP226" s="460">
        <v>0</v>
      </c>
      <c r="AQ226" s="511">
        <v>0</v>
      </c>
      <c r="AR226" s="511">
        <v>0</v>
      </c>
      <c r="AS226" s="511">
        <v>0</v>
      </c>
      <c r="AT226" s="511">
        <v>0</v>
      </c>
      <c r="AU226" s="511">
        <v>0</v>
      </c>
      <c r="AV226" s="511">
        <v>0</v>
      </c>
      <c r="AW226" s="364" t="s">
        <v>1309</v>
      </c>
    </row>
    <row r="227" spans="2:49" x14ac:dyDescent="0.25">
      <c r="B227" s="462">
        <v>2032</v>
      </c>
      <c r="C227" s="466">
        <v>234493</v>
      </c>
      <c r="D227" s="462" t="s">
        <v>701</v>
      </c>
      <c r="E227" s="461" t="s">
        <v>863</v>
      </c>
      <c r="F227" s="462"/>
      <c r="G227" s="461"/>
      <c r="H227" s="461"/>
      <c r="I227" s="461"/>
      <c r="J227" s="461">
        <v>0</v>
      </c>
      <c r="K227" s="461"/>
      <c r="L227" s="461"/>
      <c r="M227" s="461"/>
      <c r="N227" s="465">
        <v>43997</v>
      </c>
      <c r="O227" s="465">
        <v>43997</v>
      </c>
      <c r="P227" s="461"/>
      <c r="Q227" s="462">
        <v>500</v>
      </c>
      <c r="R227" s="462">
        <v>14070</v>
      </c>
      <c r="S227" s="513">
        <v>12500</v>
      </c>
      <c r="T227" s="462">
        <v>14076</v>
      </c>
      <c r="U227" s="463">
        <v>6041.66</v>
      </c>
      <c r="V227" s="463">
        <f t="shared" si="73"/>
        <v>6458.34</v>
      </c>
      <c r="W227" s="464">
        <v>2083.33</v>
      </c>
      <c r="X227" s="462">
        <v>51260</v>
      </c>
      <c r="Y227" s="463">
        <v>208.33</v>
      </c>
      <c r="Z227" s="461" t="s">
        <v>703</v>
      </c>
      <c r="AA227" s="461" t="s">
        <v>704</v>
      </c>
      <c r="AB227" s="461"/>
      <c r="AC227" s="461"/>
      <c r="AD227" s="461" t="s">
        <v>705</v>
      </c>
      <c r="AE227" s="461" t="s">
        <v>703</v>
      </c>
      <c r="AF227" s="462" t="s">
        <v>351</v>
      </c>
      <c r="AG227" s="461"/>
      <c r="AH227" s="462" t="s">
        <v>707</v>
      </c>
      <c r="AI227" s="461">
        <v>0</v>
      </c>
      <c r="AJ227" s="461">
        <v>0</v>
      </c>
      <c r="AL227" s="364">
        <v>0</v>
      </c>
      <c r="AM227" s="364">
        <v>0</v>
      </c>
      <c r="AN227" s="364">
        <v>0</v>
      </c>
      <c r="AO227" s="364">
        <v>0</v>
      </c>
      <c r="AP227" s="460">
        <v>0</v>
      </c>
      <c r="AQ227" s="511">
        <v>0</v>
      </c>
      <c r="AR227" s="511">
        <v>0</v>
      </c>
      <c r="AS227" s="511">
        <v>0</v>
      </c>
      <c r="AT227" s="511">
        <v>0</v>
      </c>
      <c r="AU227" s="511">
        <v>0</v>
      </c>
      <c r="AV227" s="511">
        <v>0</v>
      </c>
      <c r="AW227" s="364" t="s">
        <v>1309</v>
      </c>
    </row>
    <row r="228" spans="2:49" x14ac:dyDescent="0.25">
      <c r="B228" s="462">
        <v>2032</v>
      </c>
      <c r="C228" s="466">
        <v>234437</v>
      </c>
      <c r="D228" s="462" t="s">
        <v>701</v>
      </c>
      <c r="E228" s="461" t="s">
        <v>862</v>
      </c>
      <c r="F228" s="462">
        <v>4000</v>
      </c>
      <c r="G228" s="461"/>
      <c r="H228" s="461"/>
      <c r="I228" s="461"/>
      <c r="J228" s="461">
        <v>0</v>
      </c>
      <c r="K228" s="461"/>
      <c r="L228" s="461"/>
      <c r="M228" s="461" t="s">
        <v>858</v>
      </c>
      <c r="N228" s="465">
        <v>43997</v>
      </c>
      <c r="O228" s="465">
        <v>43997</v>
      </c>
      <c r="P228" s="461"/>
      <c r="Q228" s="462">
        <v>500</v>
      </c>
      <c r="R228" s="462">
        <v>14050</v>
      </c>
      <c r="S228" s="513">
        <v>64000</v>
      </c>
      <c r="T228" s="462">
        <v>14056</v>
      </c>
      <c r="U228" s="463">
        <v>30933.34</v>
      </c>
      <c r="V228" s="463">
        <f t="shared" si="73"/>
        <v>33066.660000000003</v>
      </c>
      <c r="W228" s="464">
        <v>10666.67</v>
      </c>
      <c r="X228" s="462">
        <v>54260</v>
      </c>
      <c r="Y228" s="463">
        <v>1066.67</v>
      </c>
      <c r="Z228" s="461" t="s">
        <v>703</v>
      </c>
      <c r="AA228" s="461" t="s">
        <v>704</v>
      </c>
      <c r="AB228" s="461"/>
      <c r="AC228" s="461"/>
      <c r="AD228" s="461" t="s">
        <v>705</v>
      </c>
      <c r="AE228" s="461" t="s">
        <v>703</v>
      </c>
      <c r="AF228" s="462" t="s">
        <v>351</v>
      </c>
      <c r="AG228" s="461"/>
      <c r="AH228" s="462" t="s">
        <v>707</v>
      </c>
      <c r="AI228" s="461">
        <v>0</v>
      </c>
      <c r="AJ228" s="461">
        <v>0</v>
      </c>
      <c r="AL228" s="364">
        <v>0</v>
      </c>
      <c r="AM228" s="364">
        <v>0</v>
      </c>
      <c r="AN228" s="364">
        <v>0</v>
      </c>
      <c r="AO228" s="364">
        <v>0</v>
      </c>
      <c r="AP228" s="460">
        <v>0</v>
      </c>
      <c r="AQ228" s="511">
        <v>0</v>
      </c>
      <c r="AR228" s="511">
        <v>0</v>
      </c>
      <c r="AS228" s="511">
        <v>0</v>
      </c>
      <c r="AT228" s="511">
        <v>0</v>
      </c>
      <c r="AU228" s="511">
        <v>0</v>
      </c>
      <c r="AV228" s="511">
        <v>0</v>
      </c>
      <c r="AW228" s="364" t="s">
        <v>1309</v>
      </c>
    </row>
    <row r="229" spans="2:49" x14ac:dyDescent="0.25">
      <c r="B229" s="462">
        <v>2032</v>
      </c>
      <c r="C229" s="466">
        <v>234436</v>
      </c>
      <c r="D229" s="462" t="s">
        <v>701</v>
      </c>
      <c r="E229" s="461" t="s">
        <v>861</v>
      </c>
      <c r="F229" s="462">
        <v>26000</v>
      </c>
      <c r="G229" s="461"/>
      <c r="H229" s="461"/>
      <c r="I229" s="461"/>
      <c r="J229" s="461">
        <v>0</v>
      </c>
      <c r="K229" s="461"/>
      <c r="L229" s="461"/>
      <c r="M229" s="461" t="s">
        <v>858</v>
      </c>
      <c r="N229" s="465">
        <v>43997</v>
      </c>
      <c r="O229" s="465">
        <v>43997</v>
      </c>
      <c r="P229" s="461"/>
      <c r="Q229" s="462">
        <v>500</v>
      </c>
      <c r="R229" s="462">
        <v>14050</v>
      </c>
      <c r="S229" s="513">
        <v>416000</v>
      </c>
      <c r="T229" s="462">
        <v>14056</v>
      </c>
      <c r="U229" s="463">
        <v>201066.66</v>
      </c>
      <c r="V229" s="463">
        <f t="shared" si="73"/>
        <v>214933.34</v>
      </c>
      <c r="W229" s="464">
        <v>69333.33</v>
      </c>
      <c r="X229" s="462">
        <v>54260</v>
      </c>
      <c r="Y229" s="463">
        <v>6933.33</v>
      </c>
      <c r="Z229" s="461" t="s">
        <v>703</v>
      </c>
      <c r="AA229" s="461" t="s">
        <v>704</v>
      </c>
      <c r="AB229" s="461"/>
      <c r="AC229" s="461"/>
      <c r="AD229" s="461" t="s">
        <v>705</v>
      </c>
      <c r="AE229" s="461" t="s">
        <v>703</v>
      </c>
      <c r="AF229" s="462" t="s">
        <v>351</v>
      </c>
      <c r="AG229" s="461"/>
      <c r="AH229" s="462" t="s">
        <v>707</v>
      </c>
      <c r="AI229" s="461">
        <v>0</v>
      </c>
      <c r="AJ229" s="461">
        <v>0</v>
      </c>
      <c r="AL229" s="364">
        <v>0</v>
      </c>
      <c r="AM229" s="364">
        <v>0</v>
      </c>
      <c r="AN229" s="364">
        <v>0</v>
      </c>
      <c r="AO229" s="364">
        <v>0</v>
      </c>
      <c r="AP229" s="460">
        <v>0</v>
      </c>
      <c r="AQ229" s="511">
        <v>0</v>
      </c>
      <c r="AR229" s="511">
        <v>0</v>
      </c>
      <c r="AS229" s="511">
        <v>0</v>
      </c>
      <c r="AT229" s="511">
        <v>0</v>
      </c>
      <c r="AU229" s="511">
        <v>0</v>
      </c>
      <c r="AV229" s="511">
        <v>0</v>
      </c>
      <c r="AW229" s="364" t="s">
        <v>1309</v>
      </c>
    </row>
    <row r="230" spans="2:49" x14ac:dyDescent="0.25">
      <c r="B230" s="462">
        <v>2032</v>
      </c>
      <c r="C230" s="466">
        <v>234435</v>
      </c>
      <c r="D230" s="462" t="s">
        <v>701</v>
      </c>
      <c r="E230" s="461" t="s">
        <v>860</v>
      </c>
      <c r="F230" s="462">
        <v>1500</v>
      </c>
      <c r="G230" s="461"/>
      <c r="H230" s="461"/>
      <c r="I230" s="461"/>
      <c r="J230" s="461">
        <v>0</v>
      </c>
      <c r="K230" s="461"/>
      <c r="L230" s="461"/>
      <c r="M230" s="461" t="s">
        <v>858</v>
      </c>
      <c r="N230" s="465">
        <v>43997</v>
      </c>
      <c r="O230" s="465">
        <v>43997</v>
      </c>
      <c r="P230" s="461"/>
      <c r="Q230" s="462">
        <v>500</v>
      </c>
      <c r="R230" s="462">
        <v>14050</v>
      </c>
      <c r="S230" s="513">
        <v>24000</v>
      </c>
      <c r="T230" s="462">
        <v>14056</v>
      </c>
      <c r="U230" s="463">
        <v>11600</v>
      </c>
      <c r="V230" s="463">
        <f t="shared" si="73"/>
        <v>12400</v>
      </c>
      <c r="W230" s="464">
        <v>4000</v>
      </c>
      <c r="X230" s="462">
        <v>54260</v>
      </c>
      <c r="Y230" s="463">
        <v>400</v>
      </c>
      <c r="Z230" s="461" t="s">
        <v>703</v>
      </c>
      <c r="AA230" s="461" t="s">
        <v>704</v>
      </c>
      <c r="AB230" s="461"/>
      <c r="AC230" s="461"/>
      <c r="AD230" s="461" t="s">
        <v>705</v>
      </c>
      <c r="AE230" s="461" t="s">
        <v>703</v>
      </c>
      <c r="AF230" s="462" t="s">
        <v>351</v>
      </c>
      <c r="AG230" s="461"/>
      <c r="AH230" s="462" t="s">
        <v>707</v>
      </c>
      <c r="AI230" s="461">
        <v>0</v>
      </c>
      <c r="AJ230" s="461">
        <v>0</v>
      </c>
      <c r="AL230" s="364">
        <v>0</v>
      </c>
      <c r="AM230" s="364">
        <v>0</v>
      </c>
      <c r="AN230" s="364">
        <v>0</v>
      </c>
      <c r="AO230" s="364">
        <v>0</v>
      </c>
      <c r="AP230" s="460">
        <v>0</v>
      </c>
      <c r="AQ230" s="511">
        <v>0</v>
      </c>
      <c r="AR230" s="511">
        <v>0</v>
      </c>
      <c r="AS230" s="511">
        <v>0</v>
      </c>
      <c r="AT230" s="511">
        <v>0</v>
      </c>
      <c r="AU230" s="511">
        <v>0</v>
      </c>
      <c r="AV230" s="511">
        <v>0</v>
      </c>
      <c r="AW230" s="364" t="s">
        <v>1309</v>
      </c>
    </row>
    <row r="231" spans="2:49" x14ac:dyDescent="0.25">
      <c r="B231" s="462">
        <v>2032</v>
      </c>
      <c r="C231" s="466">
        <v>234434</v>
      </c>
      <c r="D231" s="462" t="s">
        <v>701</v>
      </c>
      <c r="E231" s="461" t="s">
        <v>859</v>
      </c>
      <c r="F231" s="462">
        <v>500</v>
      </c>
      <c r="G231" s="461"/>
      <c r="H231" s="461"/>
      <c r="I231" s="461"/>
      <c r="J231" s="461">
        <v>0</v>
      </c>
      <c r="K231" s="461"/>
      <c r="L231" s="461"/>
      <c r="M231" s="461" t="s">
        <v>858</v>
      </c>
      <c r="N231" s="465">
        <v>43997</v>
      </c>
      <c r="O231" s="465">
        <v>43997</v>
      </c>
      <c r="P231" s="461"/>
      <c r="Q231" s="462">
        <v>500</v>
      </c>
      <c r="R231" s="462">
        <v>14050</v>
      </c>
      <c r="S231" s="513">
        <v>8000</v>
      </c>
      <c r="T231" s="462">
        <v>14056</v>
      </c>
      <c r="U231" s="463">
        <v>3866.66</v>
      </c>
      <c r="V231" s="463">
        <f t="shared" si="73"/>
        <v>4133.34</v>
      </c>
      <c r="W231" s="464">
        <v>1333.33</v>
      </c>
      <c r="X231" s="462">
        <v>54260</v>
      </c>
      <c r="Y231" s="463">
        <v>133.33000000000001</v>
      </c>
      <c r="Z231" s="461" t="s">
        <v>703</v>
      </c>
      <c r="AA231" s="461" t="s">
        <v>704</v>
      </c>
      <c r="AB231" s="461"/>
      <c r="AC231" s="461"/>
      <c r="AD231" s="461" t="s">
        <v>705</v>
      </c>
      <c r="AE231" s="461" t="s">
        <v>703</v>
      </c>
      <c r="AF231" s="462" t="s">
        <v>351</v>
      </c>
      <c r="AG231" s="461"/>
      <c r="AH231" s="462" t="s">
        <v>707</v>
      </c>
      <c r="AI231" s="461">
        <v>0</v>
      </c>
      <c r="AJ231" s="461">
        <v>0</v>
      </c>
      <c r="AL231" s="364">
        <v>0</v>
      </c>
      <c r="AM231" s="364">
        <v>0</v>
      </c>
      <c r="AN231" s="364">
        <v>0</v>
      </c>
      <c r="AO231" s="364">
        <v>0</v>
      </c>
      <c r="AP231" s="460">
        <v>0</v>
      </c>
      <c r="AQ231" s="511">
        <v>0</v>
      </c>
      <c r="AR231" s="511">
        <v>0</v>
      </c>
      <c r="AS231" s="511">
        <v>0</v>
      </c>
      <c r="AT231" s="511">
        <v>0</v>
      </c>
      <c r="AU231" s="511">
        <v>0</v>
      </c>
      <c r="AV231" s="511">
        <v>0</v>
      </c>
      <c r="AW231" s="364" t="s">
        <v>1309</v>
      </c>
    </row>
    <row r="232" spans="2:49" x14ac:dyDescent="0.25">
      <c r="B232" s="462">
        <v>2032</v>
      </c>
      <c r="C232" s="466">
        <v>234433</v>
      </c>
      <c r="D232" s="462" t="s">
        <v>701</v>
      </c>
      <c r="E232" s="461" t="s">
        <v>857</v>
      </c>
      <c r="F232" s="462">
        <v>120</v>
      </c>
      <c r="G232" s="461"/>
      <c r="H232" s="461"/>
      <c r="I232" s="461"/>
      <c r="J232" s="461">
        <v>0</v>
      </c>
      <c r="K232" s="461"/>
      <c r="L232" s="461"/>
      <c r="M232" s="461" t="s">
        <v>856</v>
      </c>
      <c r="N232" s="465">
        <v>43997</v>
      </c>
      <c r="O232" s="465">
        <v>43997</v>
      </c>
      <c r="P232" s="461"/>
      <c r="Q232" s="462">
        <v>700</v>
      </c>
      <c r="R232" s="462">
        <v>14050</v>
      </c>
      <c r="S232" s="513">
        <v>360000</v>
      </c>
      <c r="T232" s="462">
        <v>14056</v>
      </c>
      <c r="U232" s="463">
        <v>124285.71</v>
      </c>
      <c r="V232" s="463">
        <f t="shared" si="73"/>
        <v>235714.28999999998</v>
      </c>
      <c r="W232" s="464">
        <v>42857.14</v>
      </c>
      <c r="X232" s="462">
        <v>54260</v>
      </c>
      <c r="Y232" s="463">
        <v>4285.71</v>
      </c>
      <c r="Z232" s="461" t="s">
        <v>703</v>
      </c>
      <c r="AA232" s="461" t="s">
        <v>704</v>
      </c>
      <c r="AB232" s="461"/>
      <c r="AC232" s="461"/>
      <c r="AD232" s="461" t="s">
        <v>705</v>
      </c>
      <c r="AE232" s="461" t="s">
        <v>703</v>
      </c>
      <c r="AF232" s="462" t="s">
        <v>351</v>
      </c>
      <c r="AG232" s="461"/>
      <c r="AH232" s="462" t="s">
        <v>707</v>
      </c>
      <c r="AI232" s="461">
        <v>0</v>
      </c>
      <c r="AJ232" s="461">
        <v>0</v>
      </c>
      <c r="AL232" s="364">
        <v>0</v>
      </c>
      <c r="AM232" s="364">
        <v>0</v>
      </c>
      <c r="AN232" s="364">
        <v>0</v>
      </c>
      <c r="AO232" s="364">
        <v>0</v>
      </c>
      <c r="AP232" s="460">
        <v>0</v>
      </c>
      <c r="AQ232" s="511">
        <v>0</v>
      </c>
      <c r="AR232" s="511">
        <v>0</v>
      </c>
      <c r="AS232" s="511">
        <v>0</v>
      </c>
      <c r="AT232" s="511">
        <v>0</v>
      </c>
      <c r="AU232" s="511">
        <v>0</v>
      </c>
      <c r="AV232" s="511">
        <v>0</v>
      </c>
      <c r="AW232" s="364" t="s">
        <v>1309</v>
      </c>
    </row>
    <row r="233" spans="2:49" x14ac:dyDescent="0.25">
      <c r="B233" s="462">
        <v>2032</v>
      </c>
      <c r="C233" s="466">
        <v>234432</v>
      </c>
      <c r="D233" s="462" t="s">
        <v>701</v>
      </c>
      <c r="E233" s="461" t="s">
        <v>855</v>
      </c>
      <c r="F233" s="462">
        <v>114</v>
      </c>
      <c r="G233" s="461"/>
      <c r="H233" s="461"/>
      <c r="I233" s="461"/>
      <c r="J233" s="461">
        <v>0</v>
      </c>
      <c r="K233" s="461"/>
      <c r="L233" s="461"/>
      <c r="M233" s="461" t="s">
        <v>854</v>
      </c>
      <c r="N233" s="465">
        <v>43997</v>
      </c>
      <c r="O233" s="465">
        <v>43997</v>
      </c>
      <c r="P233" s="461"/>
      <c r="Q233" s="462">
        <v>700</v>
      </c>
      <c r="R233" s="462">
        <v>14050</v>
      </c>
      <c r="S233" s="513">
        <v>342000</v>
      </c>
      <c r="T233" s="462">
        <v>14056</v>
      </c>
      <c r="U233" s="463">
        <v>118071.42</v>
      </c>
      <c r="V233" s="463">
        <f t="shared" si="73"/>
        <v>223928.58000000002</v>
      </c>
      <c r="W233" s="464">
        <v>40714.28</v>
      </c>
      <c r="X233" s="462">
        <v>54260</v>
      </c>
      <c r="Y233" s="463">
        <v>4071.42</v>
      </c>
      <c r="Z233" s="461" t="s">
        <v>703</v>
      </c>
      <c r="AA233" s="461" t="s">
        <v>704</v>
      </c>
      <c r="AB233" s="461"/>
      <c r="AC233" s="461"/>
      <c r="AD233" s="461" t="s">
        <v>705</v>
      </c>
      <c r="AE233" s="461" t="s">
        <v>703</v>
      </c>
      <c r="AF233" s="462" t="s">
        <v>351</v>
      </c>
      <c r="AG233" s="461"/>
      <c r="AH233" s="462" t="s">
        <v>707</v>
      </c>
      <c r="AI233" s="461">
        <v>0</v>
      </c>
      <c r="AJ233" s="461">
        <v>0</v>
      </c>
      <c r="AL233" s="364">
        <v>0</v>
      </c>
      <c r="AM233" s="364">
        <v>0</v>
      </c>
      <c r="AN233" s="364">
        <v>0</v>
      </c>
      <c r="AO233" s="364">
        <v>0</v>
      </c>
      <c r="AP233" s="460">
        <v>0</v>
      </c>
      <c r="AQ233" s="511">
        <v>0</v>
      </c>
      <c r="AR233" s="511">
        <v>0</v>
      </c>
      <c r="AS233" s="511">
        <v>0</v>
      </c>
      <c r="AT233" s="511">
        <v>0</v>
      </c>
      <c r="AU233" s="511">
        <v>0</v>
      </c>
      <c r="AV233" s="511">
        <v>0</v>
      </c>
      <c r="AW233" s="364" t="s">
        <v>1309</v>
      </c>
    </row>
    <row r="234" spans="2:49" x14ac:dyDescent="0.25">
      <c r="B234" s="462">
        <v>2032</v>
      </c>
      <c r="C234" s="466">
        <v>234431</v>
      </c>
      <c r="D234" s="462" t="s">
        <v>701</v>
      </c>
      <c r="E234" s="461" t="s">
        <v>853</v>
      </c>
      <c r="F234" s="462">
        <v>22</v>
      </c>
      <c r="G234" s="461"/>
      <c r="H234" s="461"/>
      <c r="I234" s="461"/>
      <c r="J234" s="461">
        <v>0</v>
      </c>
      <c r="K234" s="461"/>
      <c r="L234" s="461"/>
      <c r="M234" s="461" t="s">
        <v>852</v>
      </c>
      <c r="N234" s="465">
        <v>43997</v>
      </c>
      <c r="O234" s="465">
        <v>43997</v>
      </c>
      <c r="P234" s="461"/>
      <c r="Q234" s="462">
        <v>700</v>
      </c>
      <c r="R234" s="462">
        <v>14050</v>
      </c>
      <c r="S234" s="513">
        <v>66000</v>
      </c>
      <c r="T234" s="462">
        <v>14056</v>
      </c>
      <c r="U234" s="463">
        <v>22785.71</v>
      </c>
      <c r="V234" s="463">
        <f t="shared" si="73"/>
        <v>43214.29</v>
      </c>
      <c r="W234" s="464">
        <v>7857.14</v>
      </c>
      <c r="X234" s="462">
        <v>54260</v>
      </c>
      <c r="Y234" s="463">
        <v>785.71</v>
      </c>
      <c r="Z234" s="461" t="s">
        <v>703</v>
      </c>
      <c r="AA234" s="461" t="s">
        <v>704</v>
      </c>
      <c r="AB234" s="461"/>
      <c r="AC234" s="461"/>
      <c r="AD234" s="461" t="s">
        <v>705</v>
      </c>
      <c r="AE234" s="461" t="s">
        <v>703</v>
      </c>
      <c r="AF234" s="462" t="s">
        <v>351</v>
      </c>
      <c r="AG234" s="461"/>
      <c r="AH234" s="462" t="s">
        <v>707</v>
      </c>
      <c r="AI234" s="461">
        <v>0</v>
      </c>
      <c r="AJ234" s="461">
        <v>0</v>
      </c>
      <c r="AL234" s="364">
        <v>0</v>
      </c>
      <c r="AM234" s="364">
        <v>0</v>
      </c>
      <c r="AN234" s="364">
        <v>0</v>
      </c>
      <c r="AO234" s="364">
        <v>0</v>
      </c>
      <c r="AP234" s="460">
        <v>0</v>
      </c>
      <c r="AQ234" s="511">
        <v>0</v>
      </c>
      <c r="AR234" s="511">
        <v>0</v>
      </c>
      <c r="AS234" s="511">
        <v>0</v>
      </c>
      <c r="AT234" s="511">
        <v>0</v>
      </c>
      <c r="AU234" s="511">
        <v>0</v>
      </c>
      <c r="AV234" s="511">
        <v>0</v>
      </c>
      <c r="AW234" s="364" t="s">
        <v>1309</v>
      </c>
    </row>
    <row r="235" spans="2:49" x14ac:dyDescent="0.25">
      <c r="B235" s="462">
        <v>2032</v>
      </c>
      <c r="C235" s="466">
        <v>234430</v>
      </c>
      <c r="D235" s="462" t="s">
        <v>701</v>
      </c>
      <c r="E235" s="461" t="s">
        <v>851</v>
      </c>
      <c r="F235" s="462">
        <v>122</v>
      </c>
      <c r="G235" s="461"/>
      <c r="H235" s="461"/>
      <c r="I235" s="461"/>
      <c r="J235" s="461">
        <v>0</v>
      </c>
      <c r="K235" s="461"/>
      <c r="L235" s="461"/>
      <c r="M235" s="461" t="s">
        <v>850</v>
      </c>
      <c r="N235" s="465">
        <v>43997</v>
      </c>
      <c r="O235" s="465">
        <v>43997</v>
      </c>
      <c r="P235" s="461"/>
      <c r="Q235" s="462">
        <v>700</v>
      </c>
      <c r="R235" s="462">
        <v>14050</v>
      </c>
      <c r="S235" s="513">
        <v>366000</v>
      </c>
      <c r="T235" s="462">
        <v>14056</v>
      </c>
      <c r="U235" s="463">
        <v>126357.15</v>
      </c>
      <c r="V235" s="463">
        <f t="shared" si="73"/>
        <v>239642.85</v>
      </c>
      <c r="W235" s="464">
        <v>43571.43</v>
      </c>
      <c r="X235" s="462">
        <v>54260</v>
      </c>
      <c r="Y235" s="463">
        <v>4357.1400000000003</v>
      </c>
      <c r="Z235" s="461" t="s">
        <v>703</v>
      </c>
      <c r="AA235" s="461" t="s">
        <v>704</v>
      </c>
      <c r="AB235" s="461"/>
      <c r="AC235" s="461"/>
      <c r="AD235" s="461" t="s">
        <v>705</v>
      </c>
      <c r="AE235" s="461" t="s">
        <v>703</v>
      </c>
      <c r="AF235" s="462" t="s">
        <v>351</v>
      </c>
      <c r="AG235" s="461"/>
      <c r="AH235" s="462" t="s">
        <v>707</v>
      </c>
      <c r="AI235" s="461">
        <v>0</v>
      </c>
      <c r="AJ235" s="461">
        <v>0</v>
      </c>
      <c r="AL235" s="364">
        <v>0</v>
      </c>
      <c r="AM235" s="364">
        <v>0</v>
      </c>
      <c r="AN235" s="364">
        <v>0</v>
      </c>
      <c r="AO235" s="364">
        <v>0</v>
      </c>
      <c r="AP235" s="460">
        <v>0</v>
      </c>
      <c r="AQ235" s="511">
        <v>0</v>
      </c>
      <c r="AR235" s="511">
        <v>0</v>
      </c>
      <c r="AS235" s="511">
        <v>0</v>
      </c>
      <c r="AT235" s="511">
        <v>0</v>
      </c>
      <c r="AU235" s="511">
        <v>0</v>
      </c>
      <c r="AV235" s="511">
        <v>0</v>
      </c>
      <c r="AW235" s="364" t="s">
        <v>1309</v>
      </c>
    </row>
    <row r="236" spans="2:49" x14ac:dyDescent="0.25">
      <c r="B236" s="462">
        <v>2032</v>
      </c>
      <c r="C236" s="466">
        <v>234429</v>
      </c>
      <c r="D236" s="462" t="s">
        <v>701</v>
      </c>
      <c r="E236" s="461" t="s">
        <v>849</v>
      </c>
      <c r="F236" s="462">
        <v>160</v>
      </c>
      <c r="G236" s="461"/>
      <c r="H236" s="461"/>
      <c r="I236" s="461"/>
      <c r="J236" s="461">
        <v>0</v>
      </c>
      <c r="K236" s="461"/>
      <c r="L236" s="461"/>
      <c r="M236" s="461" t="s">
        <v>848</v>
      </c>
      <c r="N236" s="465">
        <v>43997</v>
      </c>
      <c r="O236" s="465">
        <v>43997</v>
      </c>
      <c r="P236" s="461"/>
      <c r="Q236" s="462">
        <v>700</v>
      </c>
      <c r="R236" s="462">
        <v>14050</v>
      </c>
      <c r="S236" s="513">
        <v>28800</v>
      </c>
      <c r="T236" s="462">
        <v>14056</v>
      </c>
      <c r="U236" s="463">
        <v>9942.8700000000008</v>
      </c>
      <c r="V236" s="463">
        <f t="shared" si="73"/>
        <v>18857.129999999997</v>
      </c>
      <c r="W236" s="464">
        <v>3428.58</v>
      </c>
      <c r="X236" s="462">
        <v>54260</v>
      </c>
      <c r="Y236" s="463">
        <v>342.86</v>
      </c>
      <c r="Z236" s="461" t="s">
        <v>703</v>
      </c>
      <c r="AA236" s="461" t="s">
        <v>704</v>
      </c>
      <c r="AB236" s="461"/>
      <c r="AC236" s="461"/>
      <c r="AD236" s="461" t="s">
        <v>705</v>
      </c>
      <c r="AE236" s="461" t="s">
        <v>703</v>
      </c>
      <c r="AF236" s="462" t="s">
        <v>351</v>
      </c>
      <c r="AG236" s="461"/>
      <c r="AH236" s="462" t="s">
        <v>707</v>
      </c>
      <c r="AI236" s="461">
        <v>0</v>
      </c>
      <c r="AJ236" s="461">
        <v>0</v>
      </c>
      <c r="AL236" s="364">
        <v>0</v>
      </c>
      <c r="AM236" s="364">
        <v>0</v>
      </c>
      <c r="AN236" s="364">
        <v>0</v>
      </c>
      <c r="AO236" s="364">
        <v>0</v>
      </c>
      <c r="AP236" s="460">
        <v>0</v>
      </c>
      <c r="AQ236" s="511">
        <v>0</v>
      </c>
      <c r="AR236" s="511">
        <v>0</v>
      </c>
      <c r="AS236" s="511">
        <v>0</v>
      </c>
      <c r="AT236" s="511">
        <v>0</v>
      </c>
      <c r="AU236" s="511">
        <v>0</v>
      </c>
      <c r="AV236" s="511">
        <v>0</v>
      </c>
      <c r="AW236" s="364" t="s">
        <v>1309</v>
      </c>
    </row>
    <row r="237" spans="2:49" x14ac:dyDescent="0.25">
      <c r="B237" s="462">
        <v>2032</v>
      </c>
      <c r="C237" s="466">
        <v>234428</v>
      </c>
      <c r="D237" s="462" t="s">
        <v>701</v>
      </c>
      <c r="E237" s="461" t="s">
        <v>847</v>
      </c>
      <c r="F237" s="462">
        <v>57</v>
      </c>
      <c r="G237" s="461"/>
      <c r="H237" s="461"/>
      <c r="I237" s="461"/>
      <c r="J237" s="461">
        <v>0</v>
      </c>
      <c r="K237" s="461"/>
      <c r="L237" s="461"/>
      <c r="M237" s="461" t="s">
        <v>846</v>
      </c>
      <c r="N237" s="465">
        <v>43997</v>
      </c>
      <c r="O237" s="465">
        <v>43997</v>
      </c>
      <c r="P237" s="461"/>
      <c r="Q237" s="462">
        <v>700</v>
      </c>
      <c r="R237" s="462">
        <v>14050</v>
      </c>
      <c r="S237" s="513">
        <v>10260</v>
      </c>
      <c r="T237" s="462">
        <v>14056</v>
      </c>
      <c r="U237" s="463">
        <v>3542.15</v>
      </c>
      <c r="V237" s="463">
        <f t="shared" si="73"/>
        <v>6717.85</v>
      </c>
      <c r="W237" s="464">
        <v>1221.43</v>
      </c>
      <c r="X237" s="462">
        <v>54260</v>
      </c>
      <c r="Y237" s="463">
        <v>122.14</v>
      </c>
      <c r="Z237" s="461" t="s">
        <v>703</v>
      </c>
      <c r="AA237" s="461" t="s">
        <v>704</v>
      </c>
      <c r="AB237" s="461"/>
      <c r="AC237" s="461"/>
      <c r="AD237" s="461" t="s">
        <v>705</v>
      </c>
      <c r="AE237" s="461" t="s">
        <v>703</v>
      </c>
      <c r="AF237" s="462" t="s">
        <v>351</v>
      </c>
      <c r="AG237" s="467">
        <v>44408</v>
      </c>
      <c r="AH237" s="462" t="s">
        <v>707</v>
      </c>
      <c r="AI237" s="461">
        <v>3</v>
      </c>
      <c r="AJ237" s="461">
        <v>1710</v>
      </c>
      <c r="AL237" s="364">
        <v>0</v>
      </c>
      <c r="AM237" s="364">
        <v>0</v>
      </c>
      <c r="AN237" s="364">
        <v>0</v>
      </c>
      <c r="AO237" s="364">
        <v>0</v>
      </c>
      <c r="AP237" s="460">
        <v>0</v>
      </c>
      <c r="AQ237" s="511">
        <v>0</v>
      </c>
      <c r="AR237" s="511">
        <v>0</v>
      </c>
      <c r="AS237" s="511">
        <v>0</v>
      </c>
      <c r="AT237" s="511">
        <v>0</v>
      </c>
      <c r="AU237" s="511">
        <v>0</v>
      </c>
      <c r="AV237" s="511">
        <v>0</v>
      </c>
      <c r="AW237" s="364" t="s">
        <v>1309</v>
      </c>
    </row>
    <row r="238" spans="2:49" x14ac:dyDescent="0.25">
      <c r="B238" s="462">
        <v>2032</v>
      </c>
      <c r="C238" s="466">
        <v>234427</v>
      </c>
      <c r="D238" s="462" t="s">
        <v>701</v>
      </c>
      <c r="E238" s="461" t="s">
        <v>845</v>
      </c>
      <c r="F238" s="462">
        <v>450</v>
      </c>
      <c r="G238" s="461"/>
      <c r="H238" s="461"/>
      <c r="I238" s="461"/>
      <c r="J238" s="461">
        <v>0</v>
      </c>
      <c r="K238" s="461"/>
      <c r="L238" s="461"/>
      <c r="M238" s="461" t="s">
        <v>844</v>
      </c>
      <c r="N238" s="465">
        <v>43997</v>
      </c>
      <c r="O238" s="465">
        <v>43997</v>
      </c>
      <c r="P238" s="461"/>
      <c r="Q238" s="462">
        <v>700</v>
      </c>
      <c r="R238" s="462">
        <v>14050</v>
      </c>
      <c r="S238" s="513">
        <v>81000</v>
      </c>
      <c r="T238" s="462">
        <v>14056</v>
      </c>
      <c r="U238" s="463">
        <v>27964.29</v>
      </c>
      <c r="V238" s="463">
        <f t="shared" si="73"/>
        <v>53035.71</v>
      </c>
      <c r="W238" s="464">
        <v>9642.86</v>
      </c>
      <c r="X238" s="462">
        <v>54260</v>
      </c>
      <c r="Y238" s="463">
        <v>964.29</v>
      </c>
      <c r="Z238" s="461" t="s">
        <v>703</v>
      </c>
      <c r="AA238" s="461" t="s">
        <v>704</v>
      </c>
      <c r="AB238" s="461"/>
      <c r="AC238" s="461"/>
      <c r="AD238" s="461" t="s">
        <v>705</v>
      </c>
      <c r="AE238" s="461" t="s">
        <v>703</v>
      </c>
      <c r="AF238" s="462" t="s">
        <v>351</v>
      </c>
      <c r="AG238" s="467">
        <v>44408</v>
      </c>
      <c r="AH238" s="462" t="s">
        <v>707</v>
      </c>
      <c r="AI238" s="461">
        <v>1</v>
      </c>
      <c r="AJ238" s="461">
        <v>13500</v>
      </c>
      <c r="AL238" s="364">
        <v>0</v>
      </c>
      <c r="AM238" s="364">
        <v>0</v>
      </c>
      <c r="AN238" s="364">
        <v>0</v>
      </c>
      <c r="AO238" s="364">
        <v>0</v>
      </c>
      <c r="AP238" s="460">
        <v>0</v>
      </c>
      <c r="AQ238" s="511">
        <v>0</v>
      </c>
      <c r="AR238" s="511">
        <v>0</v>
      </c>
      <c r="AS238" s="511">
        <v>0</v>
      </c>
      <c r="AT238" s="511">
        <v>0</v>
      </c>
      <c r="AU238" s="511">
        <v>0</v>
      </c>
      <c r="AV238" s="511">
        <v>0</v>
      </c>
      <c r="AW238" s="364" t="s">
        <v>1309</v>
      </c>
    </row>
    <row r="239" spans="2:49" x14ac:dyDescent="0.25">
      <c r="B239" s="462">
        <v>2032</v>
      </c>
      <c r="C239" s="466">
        <v>234426</v>
      </c>
      <c r="D239" s="462" t="s">
        <v>701</v>
      </c>
      <c r="E239" s="461" t="s">
        <v>843</v>
      </c>
      <c r="F239" s="462">
        <v>96</v>
      </c>
      <c r="G239" s="461"/>
      <c r="H239" s="461"/>
      <c r="I239" s="461"/>
      <c r="J239" s="461">
        <v>0</v>
      </c>
      <c r="K239" s="461"/>
      <c r="L239" s="461"/>
      <c r="M239" s="461" t="s">
        <v>842</v>
      </c>
      <c r="N239" s="465">
        <v>43997</v>
      </c>
      <c r="O239" s="465">
        <v>43997</v>
      </c>
      <c r="P239" s="461"/>
      <c r="Q239" s="462">
        <v>700</v>
      </c>
      <c r="R239" s="462">
        <v>14050</v>
      </c>
      <c r="S239" s="513">
        <v>17280</v>
      </c>
      <c r="T239" s="462">
        <v>14056</v>
      </c>
      <c r="U239" s="463">
        <v>5965.71</v>
      </c>
      <c r="V239" s="463">
        <f t="shared" si="73"/>
        <v>11314.29</v>
      </c>
      <c r="W239" s="464">
        <v>2057.14</v>
      </c>
      <c r="X239" s="462">
        <v>54260</v>
      </c>
      <c r="Y239" s="463">
        <v>205.71</v>
      </c>
      <c r="Z239" s="461" t="s">
        <v>703</v>
      </c>
      <c r="AA239" s="461" t="s">
        <v>704</v>
      </c>
      <c r="AB239" s="461"/>
      <c r="AC239" s="461"/>
      <c r="AD239" s="461" t="s">
        <v>705</v>
      </c>
      <c r="AE239" s="461" t="s">
        <v>703</v>
      </c>
      <c r="AF239" s="462" t="s">
        <v>351</v>
      </c>
      <c r="AG239" s="467">
        <v>44408</v>
      </c>
      <c r="AH239" s="462" t="s">
        <v>707</v>
      </c>
      <c r="AI239" s="461">
        <v>1</v>
      </c>
      <c r="AJ239" s="461">
        <v>2880</v>
      </c>
      <c r="AL239" s="364">
        <v>0</v>
      </c>
      <c r="AM239" s="364">
        <v>0</v>
      </c>
      <c r="AN239" s="364">
        <v>0</v>
      </c>
      <c r="AO239" s="364">
        <v>0</v>
      </c>
      <c r="AP239" s="460">
        <v>0</v>
      </c>
      <c r="AQ239" s="511">
        <v>0</v>
      </c>
      <c r="AR239" s="511">
        <v>0</v>
      </c>
      <c r="AS239" s="511">
        <v>0</v>
      </c>
      <c r="AT239" s="511">
        <v>0</v>
      </c>
      <c r="AU239" s="511">
        <v>0</v>
      </c>
      <c r="AV239" s="511">
        <v>0</v>
      </c>
      <c r="AW239" s="364" t="s">
        <v>1309</v>
      </c>
    </row>
    <row r="240" spans="2:49" x14ac:dyDescent="0.25">
      <c r="B240" s="462">
        <v>2032</v>
      </c>
      <c r="C240" s="466">
        <v>234425</v>
      </c>
      <c r="D240" s="462" t="s">
        <v>701</v>
      </c>
      <c r="E240" s="461" t="s">
        <v>841</v>
      </c>
      <c r="F240" s="462">
        <v>98</v>
      </c>
      <c r="G240" s="461"/>
      <c r="H240" s="461"/>
      <c r="I240" s="461"/>
      <c r="J240" s="461">
        <v>0</v>
      </c>
      <c r="K240" s="461"/>
      <c r="L240" s="461"/>
      <c r="M240" s="461" t="s">
        <v>840</v>
      </c>
      <c r="N240" s="465">
        <v>43997</v>
      </c>
      <c r="O240" s="465">
        <v>43997</v>
      </c>
      <c r="P240" s="461"/>
      <c r="Q240" s="462">
        <v>700</v>
      </c>
      <c r="R240" s="462">
        <v>14050</v>
      </c>
      <c r="S240" s="513">
        <v>17640</v>
      </c>
      <c r="T240" s="462">
        <v>14056</v>
      </c>
      <c r="U240" s="463">
        <v>6090</v>
      </c>
      <c r="V240" s="463">
        <f t="shared" si="73"/>
        <v>11550</v>
      </c>
      <c r="W240" s="464">
        <v>2100</v>
      </c>
      <c r="X240" s="462">
        <v>54260</v>
      </c>
      <c r="Y240" s="463">
        <v>210</v>
      </c>
      <c r="Z240" s="461" t="s">
        <v>703</v>
      </c>
      <c r="AA240" s="461" t="s">
        <v>704</v>
      </c>
      <c r="AB240" s="461"/>
      <c r="AC240" s="461"/>
      <c r="AD240" s="461" t="s">
        <v>705</v>
      </c>
      <c r="AE240" s="461" t="s">
        <v>703</v>
      </c>
      <c r="AF240" s="462" t="s">
        <v>351</v>
      </c>
      <c r="AG240" s="467">
        <v>44408</v>
      </c>
      <c r="AH240" s="462" t="s">
        <v>707</v>
      </c>
      <c r="AI240" s="461">
        <v>1</v>
      </c>
      <c r="AJ240" s="461">
        <v>2940</v>
      </c>
      <c r="AL240" s="364">
        <v>0</v>
      </c>
      <c r="AM240" s="364">
        <v>0</v>
      </c>
      <c r="AN240" s="364">
        <v>0</v>
      </c>
      <c r="AO240" s="364">
        <v>0</v>
      </c>
      <c r="AP240" s="460">
        <v>0</v>
      </c>
      <c r="AQ240" s="511">
        <v>0</v>
      </c>
      <c r="AR240" s="511">
        <v>0</v>
      </c>
      <c r="AS240" s="511">
        <v>0</v>
      </c>
      <c r="AT240" s="511">
        <v>0</v>
      </c>
      <c r="AU240" s="511">
        <v>0</v>
      </c>
      <c r="AV240" s="511">
        <v>0</v>
      </c>
      <c r="AW240" s="364" t="s">
        <v>1309</v>
      </c>
    </row>
    <row r="241" spans="2:49" x14ac:dyDescent="0.25">
      <c r="B241" s="462">
        <v>2032</v>
      </c>
      <c r="C241" s="466">
        <v>234424</v>
      </c>
      <c r="D241" s="462" t="s">
        <v>701</v>
      </c>
      <c r="E241" s="461" t="s">
        <v>839</v>
      </c>
      <c r="F241" s="462">
        <v>34</v>
      </c>
      <c r="G241" s="461"/>
      <c r="H241" s="461"/>
      <c r="I241" s="461"/>
      <c r="J241" s="461">
        <v>0</v>
      </c>
      <c r="K241" s="461"/>
      <c r="L241" s="461"/>
      <c r="M241" s="461" t="s">
        <v>838</v>
      </c>
      <c r="N241" s="465">
        <v>43997</v>
      </c>
      <c r="O241" s="465">
        <v>43997</v>
      </c>
      <c r="P241" s="461"/>
      <c r="Q241" s="462">
        <v>700</v>
      </c>
      <c r="R241" s="462">
        <v>14050</v>
      </c>
      <c r="S241" s="513">
        <v>6120</v>
      </c>
      <c r="T241" s="462">
        <v>14056</v>
      </c>
      <c r="U241" s="463">
        <v>2112.87</v>
      </c>
      <c r="V241" s="463">
        <f t="shared" si="73"/>
        <v>4007.13</v>
      </c>
      <c r="W241" s="464">
        <v>728.58</v>
      </c>
      <c r="X241" s="462">
        <v>54260</v>
      </c>
      <c r="Y241" s="463">
        <v>72.86</v>
      </c>
      <c r="Z241" s="461" t="s">
        <v>703</v>
      </c>
      <c r="AA241" s="461" t="s">
        <v>704</v>
      </c>
      <c r="AB241" s="461"/>
      <c r="AC241" s="461"/>
      <c r="AD241" s="461" t="s">
        <v>705</v>
      </c>
      <c r="AE241" s="461" t="s">
        <v>703</v>
      </c>
      <c r="AF241" s="462" t="s">
        <v>351</v>
      </c>
      <c r="AG241" s="467">
        <v>44408</v>
      </c>
      <c r="AH241" s="462" t="s">
        <v>707</v>
      </c>
      <c r="AI241" s="461">
        <v>1</v>
      </c>
      <c r="AJ241" s="461">
        <v>1020</v>
      </c>
      <c r="AL241" s="364">
        <v>0</v>
      </c>
      <c r="AM241" s="364">
        <v>0</v>
      </c>
      <c r="AN241" s="364">
        <v>0</v>
      </c>
      <c r="AO241" s="364">
        <v>0</v>
      </c>
      <c r="AP241" s="460">
        <v>0</v>
      </c>
      <c r="AQ241" s="511">
        <v>0</v>
      </c>
      <c r="AR241" s="511">
        <v>0</v>
      </c>
      <c r="AS241" s="511">
        <v>0</v>
      </c>
      <c r="AT241" s="511">
        <v>0</v>
      </c>
      <c r="AU241" s="511">
        <v>0</v>
      </c>
      <c r="AV241" s="511">
        <v>0</v>
      </c>
      <c r="AW241" s="364" t="s">
        <v>1309</v>
      </c>
    </row>
    <row r="242" spans="2:49" x14ac:dyDescent="0.25">
      <c r="B242" s="462">
        <v>2032</v>
      </c>
      <c r="C242" s="466">
        <v>234355</v>
      </c>
      <c r="D242" s="462" t="s">
        <v>701</v>
      </c>
      <c r="E242" s="461" t="s">
        <v>837</v>
      </c>
      <c r="F242" s="462"/>
      <c r="G242" s="461"/>
      <c r="H242" s="461" t="s">
        <v>836</v>
      </c>
      <c r="I242" s="461"/>
      <c r="J242" s="461">
        <v>2004</v>
      </c>
      <c r="K242" s="461" t="s">
        <v>835</v>
      </c>
      <c r="L242" s="461"/>
      <c r="M242" s="461" t="s">
        <v>834</v>
      </c>
      <c r="N242" s="465">
        <v>43997</v>
      </c>
      <c r="O242" s="465">
        <v>43997</v>
      </c>
      <c r="P242" s="461"/>
      <c r="Q242" s="462">
        <v>0</v>
      </c>
      <c r="R242" s="462">
        <v>14040</v>
      </c>
      <c r="S242" s="513">
        <v>0</v>
      </c>
      <c r="T242" s="462">
        <v>14046</v>
      </c>
      <c r="U242" s="463">
        <v>0</v>
      </c>
      <c r="V242" s="463">
        <f t="shared" si="73"/>
        <v>0</v>
      </c>
      <c r="W242" s="464">
        <v>0</v>
      </c>
      <c r="X242" s="462">
        <v>51260</v>
      </c>
      <c r="Y242" s="463">
        <v>0</v>
      </c>
      <c r="Z242" s="461" t="s">
        <v>703</v>
      </c>
      <c r="AA242" s="461" t="s">
        <v>704</v>
      </c>
      <c r="AB242" s="461"/>
      <c r="AC242" s="461">
        <v>100</v>
      </c>
      <c r="AD242" s="461" t="s">
        <v>705</v>
      </c>
      <c r="AE242" s="461" t="s">
        <v>703</v>
      </c>
      <c r="AF242" s="462" t="s">
        <v>706</v>
      </c>
      <c r="AG242" s="461"/>
      <c r="AH242" s="462" t="s">
        <v>707</v>
      </c>
      <c r="AI242" s="461">
        <v>0</v>
      </c>
      <c r="AJ242" s="461">
        <v>0</v>
      </c>
      <c r="AL242" s="364">
        <v>0</v>
      </c>
      <c r="AM242" s="364">
        <v>0</v>
      </c>
      <c r="AN242" s="364">
        <v>0</v>
      </c>
      <c r="AO242" s="364">
        <v>0</v>
      </c>
      <c r="AP242" s="460">
        <v>0</v>
      </c>
      <c r="AQ242" s="511">
        <v>0</v>
      </c>
      <c r="AR242" s="511">
        <v>0</v>
      </c>
      <c r="AS242" s="511">
        <v>0</v>
      </c>
      <c r="AT242" s="511">
        <v>0</v>
      </c>
      <c r="AU242" s="511">
        <v>0</v>
      </c>
      <c r="AV242" s="511">
        <v>0</v>
      </c>
      <c r="AW242" s="364" t="s">
        <v>1309</v>
      </c>
    </row>
    <row r="243" spans="2:49" x14ac:dyDescent="0.25">
      <c r="B243" s="462">
        <v>2032</v>
      </c>
      <c r="C243" s="466">
        <v>234352</v>
      </c>
      <c r="D243" s="462" t="s">
        <v>701</v>
      </c>
      <c r="E243" s="461" t="s">
        <v>833</v>
      </c>
      <c r="F243" s="462"/>
      <c r="G243" s="461"/>
      <c r="H243" s="461" t="s">
        <v>832</v>
      </c>
      <c r="I243" s="461"/>
      <c r="J243" s="461">
        <v>2010</v>
      </c>
      <c r="K243" s="461" t="s">
        <v>831</v>
      </c>
      <c r="L243" s="461" t="s">
        <v>831</v>
      </c>
      <c r="M243" s="461" t="s">
        <v>830</v>
      </c>
      <c r="N243" s="465">
        <v>43997</v>
      </c>
      <c r="O243" s="465">
        <v>43997</v>
      </c>
      <c r="P243" s="461"/>
      <c r="Q243" s="462">
        <v>300</v>
      </c>
      <c r="R243" s="462">
        <v>14040</v>
      </c>
      <c r="S243" s="513">
        <v>4000</v>
      </c>
      <c r="T243" s="462">
        <v>14046</v>
      </c>
      <c r="U243" s="463">
        <v>3222.2</v>
      </c>
      <c r="V243" s="463">
        <f t="shared" si="73"/>
        <v>777.80000000000018</v>
      </c>
      <c r="W243" s="464">
        <v>1111.0999999999999</v>
      </c>
      <c r="X243" s="462">
        <v>51260</v>
      </c>
      <c r="Y243" s="463">
        <v>111.11</v>
      </c>
      <c r="Z243" s="461" t="s">
        <v>703</v>
      </c>
      <c r="AA243" s="461" t="s">
        <v>704</v>
      </c>
      <c r="AB243" s="461"/>
      <c r="AC243" s="461">
        <v>47</v>
      </c>
      <c r="AD243" s="461" t="s">
        <v>705</v>
      </c>
      <c r="AE243" s="461" t="s">
        <v>703</v>
      </c>
      <c r="AF243" s="462" t="s">
        <v>351</v>
      </c>
      <c r="AG243" s="461"/>
      <c r="AH243" s="462" t="s">
        <v>707</v>
      </c>
      <c r="AI243" s="461">
        <v>0</v>
      </c>
      <c r="AJ243" s="461">
        <v>0</v>
      </c>
      <c r="AL243" s="364">
        <v>0</v>
      </c>
      <c r="AM243" s="364">
        <v>0</v>
      </c>
      <c r="AN243" s="364">
        <v>0</v>
      </c>
      <c r="AO243" s="364">
        <v>0</v>
      </c>
      <c r="AP243" s="460">
        <v>0</v>
      </c>
      <c r="AQ243" s="511">
        <v>0</v>
      </c>
      <c r="AR243" s="511">
        <v>0</v>
      </c>
      <c r="AS243" s="511">
        <v>0</v>
      </c>
      <c r="AT243" s="511">
        <v>0</v>
      </c>
      <c r="AU243" s="511">
        <v>0</v>
      </c>
      <c r="AV243" s="511">
        <v>0</v>
      </c>
      <c r="AW243" s="364" t="s">
        <v>1309</v>
      </c>
    </row>
    <row r="244" spans="2:49" x14ac:dyDescent="0.25">
      <c r="B244" s="462">
        <v>2032</v>
      </c>
      <c r="C244" s="466">
        <v>234349</v>
      </c>
      <c r="D244" s="462" t="s">
        <v>701</v>
      </c>
      <c r="E244" s="461" t="s">
        <v>827</v>
      </c>
      <c r="F244" s="462"/>
      <c r="G244" s="461"/>
      <c r="H244" s="461" t="s">
        <v>829</v>
      </c>
      <c r="I244" s="461"/>
      <c r="J244" s="461">
        <v>2017</v>
      </c>
      <c r="K244" s="461" t="s">
        <v>762</v>
      </c>
      <c r="L244" s="461" t="s">
        <v>762</v>
      </c>
      <c r="M244" s="461" t="s">
        <v>818</v>
      </c>
      <c r="N244" s="465">
        <v>43997</v>
      </c>
      <c r="O244" s="465">
        <v>43997</v>
      </c>
      <c r="P244" s="461"/>
      <c r="Q244" s="462">
        <v>700</v>
      </c>
      <c r="R244" s="462">
        <v>14040</v>
      </c>
      <c r="S244" s="513">
        <v>22500</v>
      </c>
      <c r="T244" s="462">
        <v>14046</v>
      </c>
      <c r="U244" s="463">
        <v>7767.87</v>
      </c>
      <c r="V244" s="463">
        <f t="shared" si="73"/>
        <v>14732.130000000001</v>
      </c>
      <c r="W244" s="464">
        <v>2678.58</v>
      </c>
      <c r="X244" s="462">
        <v>51260</v>
      </c>
      <c r="Y244" s="463">
        <v>267.86</v>
      </c>
      <c r="Z244" s="461" t="s">
        <v>703</v>
      </c>
      <c r="AA244" s="461" t="s">
        <v>704</v>
      </c>
      <c r="AB244" s="461"/>
      <c r="AC244" s="461">
        <v>5</v>
      </c>
      <c r="AD244" s="461" t="s">
        <v>705</v>
      </c>
      <c r="AE244" s="461" t="s">
        <v>703</v>
      </c>
      <c r="AF244" s="462" t="s">
        <v>351</v>
      </c>
      <c r="AG244" s="461"/>
      <c r="AH244" s="462" t="s">
        <v>707</v>
      </c>
      <c r="AI244" s="461">
        <v>0</v>
      </c>
      <c r="AJ244" s="461">
        <v>0</v>
      </c>
      <c r="AL244" s="364">
        <v>0</v>
      </c>
      <c r="AM244" s="364">
        <v>0</v>
      </c>
      <c r="AN244" s="364">
        <v>0</v>
      </c>
      <c r="AO244" s="364">
        <v>0</v>
      </c>
      <c r="AP244" s="460">
        <v>0</v>
      </c>
      <c r="AQ244" s="511">
        <v>0</v>
      </c>
      <c r="AR244" s="511">
        <v>0</v>
      </c>
      <c r="AS244" s="511">
        <v>0</v>
      </c>
      <c r="AT244" s="511">
        <v>0</v>
      </c>
      <c r="AU244" s="511">
        <v>0</v>
      </c>
      <c r="AV244" s="511">
        <v>0</v>
      </c>
      <c r="AW244" s="364" t="s">
        <v>1309</v>
      </c>
    </row>
    <row r="245" spans="2:49" x14ac:dyDescent="0.25">
      <c r="B245" s="462">
        <v>2032</v>
      </c>
      <c r="C245" s="466">
        <v>234348</v>
      </c>
      <c r="D245" s="462" t="s">
        <v>701</v>
      </c>
      <c r="E245" s="461" t="s">
        <v>827</v>
      </c>
      <c r="F245" s="462"/>
      <c r="G245" s="461"/>
      <c r="H245" s="461" t="s">
        <v>828</v>
      </c>
      <c r="I245" s="461"/>
      <c r="J245" s="461">
        <v>2017</v>
      </c>
      <c r="K245" s="461" t="s">
        <v>762</v>
      </c>
      <c r="L245" s="461" t="s">
        <v>762</v>
      </c>
      <c r="M245" s="461" t="s">
        <v>818</v>
      </c>
      <c r="N245" s="465">
        <v>43997</v>
      </c>
      <c r="O245" s="465">
        <v>43997</v>
      </c>
      <c r="P245" s="461"/>
      <c r="Q245" s="462">
        <v>700</v>
      </c>
      <c r="R245" s="462">
        <v>14040</v>
      </c>
      <c r="S245" s="513">
        <v>22500</v>
      </c>
      <c r="T245" s="462">
        <v>14046</v>
      </c>
      <c r="U245" s="463">
        <v>7767.87</v>
      </c>
      <c r="V245" s="463">
        <f t="shared" si="73"/>
        <v>14732.130000000001</v>
      </c>
      <c r="W245" s="464">
        <v>2678.58</v>
      </c>
      <c r="X245" s="462">
        <v>51260</v>
      </c>
      <c r="Y245" s="463">
        <v>267.86</v>
      </c>
      <c r="Z245" s="461" t="s">
        <v>703</v>
      </c>
      <c r="AA245" s="461" t="s">
        <v>704</v>
      </c>
      <c r="AB245" s="461"/>
      <c r="AC245" s="461">
        <v>30</v>
      </c>
      <c r="AD245" s="461" t="s">
        <v>705</v>
      </c>
      <c r="AE245" s="461" t="s">
        <v>703</v>
      </c>
      <c r="AF245" s="462" t="s">
        <v>351</v>
      </c>
      <c r="AG245" s="461"/>
      <c r="AH245" s="462" t="s">
        <v>707</v>
      </c>
      <c r="AI245" s="461">
        <v>0</v>
      </c>
      <c r="AJ245" s="461">
        <v>0</v>
      </c>
      <c r="AL245" s="364">
        <v>0</v>
      </c>
      <c r="AM245" s="364">
        <v>0</v>
      </c>
      <c r="AN245" s="364">
        <v>0</v>
      </c>
      <c r="AO245" s="364">
        <v>0</v>
      </c>
      <c r="AP245" s="460">
        <v>0</v>
      </c>
      <c r="AQ245" s="511">
        <v>0</v>
      </c>
      <c r="AR245" s="511">
        <v>0</v>
      </c>
      <c r="AS245" s="511">
        <v>0</v>
      </c>
      <c r="AT245" s="511">
        <v>0</v>
      </c>
      <c r="AU245" s="511">
        <v>0</v>
      </c>
      <c r="AV245" s="511">
        <v>0</v>
      </c>
      <c r="AW245" s="364" t="s">
        <v>1309</v>
      </c>
    </row>
    <row r="246" spans="2:49" x14ac:dyDescent="0.25">
      <c r="B246" s="462">
        <v>2032</v>
      </c>
      <c r="C246" s="466">
        <v>234347</v>
      </c>
      <c r="D246" s="462" t="s">
        <v>701</v>
      </c>
      <c r="E246" s="461" t="s">
        <v>827</v>
      </c>
      <c r="F246" s="462"/>
      <c r="G246" s="461"/>
      <c r="H246" s="461" t="s">
        <v>826</v>
      </c>
      <c r="I246" s="461"/>
      <c r="J246" s="461">
        <v>2017</v>
      </c>
      <c r="K246" s="461" t="s">
        <v>762</v>
      </c>
      <c r="L246" s="461" t="s">
        <v>762</v>
      </c>
      <c r="M246" s="461" t="s">
        <v>818</v>
      </c>
      <c r="N246" s="465">
        <v>43997</v>
      </c>
      <c r="O246" s="465">
        <v>43997</v>
      </c>
      <c r="P246" s="461"/>
      <c r="Q246" s="462">
        <v>700</v>
      </c>
      <c r="R246" s="462">
        <v>14040</v>
      </c>
      <c r="S246" s="513">
        <v>22500</v>
      </c>
      <c r="T246" s="462">
        <v>14046</v>
      </c>
      <c r="U246" s="463">
        <v>7767.87</v>
      </c>
      <c r="V246" s="463">
        <f t="shared" si="73"/>
        <v>14732.130000000001</v>
      </c>
      <c r="W246" s="464">
        <v>2678.58</v>
      </c>
      <c r="X246" s="462">
        <v>51260</v>
      </c>
      <c r="Y246" s="463">
        <v>267.86</v>
      </c>
      <c r="Z246" s="461" t="s">
        <v>703</v>
      </c>
      <c r="AA246" s="461" t="s">
        <v>704</v>
      </c>
      <c r="AB246" s="461"/>
      <c r="AC246" s="461">
        <v>23</v>
      </c>
      <c r="AD246" s="461" t="s">
        <v>705</v>
      </c>
      <c r="AE246" s="461" t="s">
        <v>703</v>
      </c>
      <c r="AF246" s="462" t="s">
        <v>351</v>
      </c>
      <c r="AG246" s="461"/>
      <c r="AH246" s="462" t="s">
        <v>707</v>
      </c>
      <c r="AI246" s="461">
        <v>0</v>
      </c>
      <c r="AJ246" s="461">
        <v>0</v>
      </c>
      <c r="AL246" s="364">
        <v>0</v>
      </c>
      <c r="AM246" s="364">
        <v>0</v>
      </c>
      <c r="AN246" s="364">
        <v>0</v>
      </c>
      <c r="AO246" s="364">
        <v>0</v>
      </c>
      <c r="AP246" s="460">
        <v>0</v>
      </c>
      <c r="AQ246" s="511">
        <v>0</v>
      </c>
      <c r="AR246" s="511">
        <v>0</v>
      </c>
      <c r="AS246" s="511">
        <v>0</v>
      </c>
      <c r="AT246" s="511">
        <v>0</v>
      </c>
      <c r="AU246" s="511">
        <v>0</v>
      </c>
      <c r="AV246" s="511">
        <v>0</v>
      </c>
      <c r="AW246" s="364" t="s">
        <v>1309</v>
      </c>
    </row>
    <row r="247" spans="2:49" x14ac:dyDescent="0.25">
      <c r="B247" s="462">
        <v>2032</v>
      </c>
      <c r="C247" s="466">
        <v>234346</v>
      </c>
      <c r="D247" s="462" t="s">
        <v>701</v>
      </c>
      <c r="E247" s="461" t="s">
        <v>825</v>
      </c>
      <c r="F247" s="462"/>
      <c r="G247" s="461"/>
      <c r="H247" s="461" t="s">
        <v>824</v>
      </c>
      <c r="I247" s="461"/>
      <c r="J247" s="461">
        <v>2012</v>
      </c>
      <c r="K247" s="461" t="s">
        <v>762</v>
      </c>
      <c r="L247" s="461" t="s">
        <v>762</v>
      </c>
      <c r="M247" s="461" t="s">
        <v>818</v>
      </c>
      <c r="N247" s="465">
        <v>43997</v>
      </c>
      <c r="O247" s="465">
        <v>43997</v>
      </c>
      <c r="P247" s="461"/>
      <c r="Q247" s="462">
        <v>300</v>
      </c>
      <c r="R247" s="462">
        <v>14040</v>
      </c>
      <c r="S247" s="513">
        <v>7500</v>
      </c>
      <c r="T247" s="462">
        <v>14046</v>
      </c>
      <c r="U247" s="463">
        <v>6041.66</v>
      </c>
      <c r="V247" s="463">
        <f t="shared" si="73"/>
        <v>1458.3400000000001</v>
      </c>
      <c r="W247" s="464">
        <v>2083.33</v>
      </c>
      <c r="X247" s="462">
        <v>51260</v>
      </c>
      <c r="Y247" s="463">
        <v>208.33</v>
      </c>
      <c r="Z247" s="461" t="s">
        <v>703</v>
      </c>
      <c r="AA247" s="461" t="s">
        <v>704</v>
      </c>
      <c r="AB247" s="461"/>
      <c r="AC247" s="461">
        <v>41</v>
      </c>
      <c r="AD247" s="461" t="s">
        <v>705</v>
      </c>
      <c r="AE247" s="461" t="s">
        <v>703</v>
      </c>
      <c r="AF247" s="462" t="s">
        <v>351</v>
      </c>
      <c r="AG247" s="461"/>
      <c r="AH247" s="462" t="s">
        <v>707</v>
      </c>
      <c r="AI247" s="461">
        <v>0</v>
      </c>
      <c r="AJ247" s="461">
        <v>0</v>
      </c>
      <c r="AL247" s="364">
        <v>0</v>
      </c>
      <c r="AM247" s="364">
        <v>0</v>
      </c>
      <c r="AN247" s="364">
        <v>0</v>
      </c>
      <c r="AO247" s="364">
        <v>0</v>
      </c>
      <c r="AP247" s="460">
        <v>0</v>
      </c>
      <c r="AQ247" s="511">
        <v>0</v>
      </c>
      <c r="AR247" s="511">
        <v>0</v>
      </c>
      <c r="AS247" s="511">
        <v>0</v>
      </c>
      <c r="AT247" s="511">
        <v>0</v>
      </c>
      <c r="AU247" s="511">
        <v>0</v>
      </c>
      <c r="AV247" s="511">
        <v>0</v>
      </c>
      <c r="AW247" s="364" t="s">
        <v>1309</v>
      </c>
    </row>
    <row r="248" spans="2:49" x14ac:dyDescent="0.25">
      <c r="B248" s="462">
        <v>2032</v>
      </c>
      <c r="C248" s="466">
        <v>234345</v>
      </c>
      <c r="D248" s="462" t="s">
        <v>701</v>
      </c>
      <c r="E248" s="461" t="s">
        <v>822</v>
      </c>
      <c r="F248" s="462"/>
      <c r="G248" s="461"/>
      <c r="H248" s="461" t="s">
        <v>823</v>
      </c>
      <c r="I248" s="461"/>
      <c r="J248" s="461">
        <v>2010</v>
      </c>
      <c r="K248" s="461" t="s">
        <v>762</v>
      </c>
      <c r="L248" s="461" t="s">
        <v>762</v>
      </c>
      <c r="M248" s="461" t="s">
        <v>818</v>
      </c>
      <c r="N248" s="465">
        <v>43997</v>
      </c>
      <c r="O248" s="465">
        <v>43997</v>
      </c>
      <c r="P248" s="461"/>
      <c r="Q248" s="462">
        <v>300</v>
      </c>
      <c r="R248" s="462">
        <v>14040</v>
      </c>
      <c r="S248" s="513">
        <v>5000</v>
      </c>
      <c r="T248" s="462">
        <v>14046</v>
      </c>
      <c r="U248" s="463">
        <v>4027.78</v>
      </c>
      <c r="V248" s="463">
        <f t="shared" si="73"/>
        <v>972.2199999999998</v>
      </c>
      <c r="W248" s="464">
        <v>1388.89</v>
      </c>
      <c r="X248" s="462">
        <v>51260</v>
      </c>
      <c r="Y248" s="463">
        <v>138.88999999999999</v>
      </c>
      <c r="Z248" s="461" t="s">
        <v>703</v>
      </c>
      <c r="AA248" s="461" t="s">
        <v>704</v>
      </c>
      <c r="AB248" s="461"/>
      <c r="AC248" s="461">
        <v>13</v>
      </c>
      <c r="AD248" s="461" t="s">
        <v>705</v>
      </c>
      <c r="AE248" s="461" t="s">
        <v>703</v>
      </c>
      <c r="AF248" s="462" t="s">
        <v>351</v>
      </c>
      <c r="AG248" s="461"/>
      <c r="AH248" s="462" t="s">
        <v>707</v>
      </c>
      <c r="AI248" s="461">
        <v>0</v>
      </c>
      <c r="AJ248" s="461">
        <v>0</v>
      </c>
      <c r="AL248" s="364">
        <v>0</v>
      </c>
      <c r="AM248" s="364">
        <v>0</v>
      </c>
      <c r="AN248" s="364">
        <v>0</v>
      </c>
      <c r="AO248" s="364">
        <v>0</v>
      </c>
      <c r="AP248" s="460">
        <v>0</v>
      </c>
      <c r="AQ248" s="511">
        <v>0</v>
      </c>
      <c r="AR248" s="511">
        <v>0</v>
      </c>
      <c r="AS248" s="511">
        <v>0</v>
      </c>
      <c r="AT248" s="511">
        <v>0</v>
      </c>
      <c r="AU248" s="511">
        <v>0</v>
      </c>
      <c r="AV248" s="511">
        <v>0</v>
      </c>
      <c r="AW248" s="364" t="s">
        <v>1309</v>
      </c>
    </row>
    <row r="249" spans="2:49" x14ac:dyDescent="0.25">
      <c r="B249" s="462">
        <v>2032</v>
      </c>
      <c r="C249" s="466">
        <v>234344</v>
      </c>
      <c r="D249" s="462" t="s">
        <v>701</v>
      </c>
      <c r="E249" s="461" t="s">
        <v>822</v>
      </c>
      <c r="F249" s="462"/>
      <c r="G249" s="461"/>
      <c r="H249" s="461" t="s">
        <v>821</v>
      </c>
      <c r="I249" s="461"/>
      <c r="J249" s="461">
        <v>2010</v>
      </c>
      <c r="K249" s="461" t="s">
        <v>762</v>
      </c>
      <c r="L249" s="461" t="s">
        <v>762</v>
      </c>
      <c r="M249" s="461" t="s">
        <v>818</v>
      </c>
      <c r="N249" s="465">
        <v>43997</v>
      </c>
      <c r="O249" s="465">
        <v>43997</v>
      </c>
      <c r="P249" s="461"/>
      <c r="Q249" s="462">
        <v>300</v>
      </c>
      <c r="R249" s="462">
        <v>14040</v>
      </c>
      <c r="S249" s="513">
        <v>5000</v>
      </c>
      <c r="T249" s="462">
        <v>14046</v>
      </c>
      <c r="U249" s="463">
        <v>4027.78</v>
      </c>
      <c r="V249" s="463">
        <f t="shared" si="73"/>
        <v>972.2199999999998</v>
      </c>
      <c r="W249" s="464">
        <v>1388.89</v>
      </c>
      <c r="X249" s="462">
        <v>51260</v>
      </c>
      <c r="Y249" s="463">
        <v>138.88999999999999</v>
      </c>
      <c r="Z249" s="461" t="s">
        <v>703</v>
      </c>
      <c r="AA249" s="461" t="s">
        <v>704</v>
      </c>
      <c r="AB249" s="461"/>
      <c r="AC249" s="461">
        <v>2</v>
      </c>
      <c r="AD249" s="461" t="s">
        <v>705</v>
      </c>
      <c r="AE249" s="461" t="s">
        <v>703</v>
      </c>
      <c r="AF249" s="462" t="s">
        <v>351</v>
      </c>
      <c r="AG249" s="461"/>
      <c r="AH249" s="462" t="s">
        <v>707</v>
      </c>
      <c r="AI249" s="461">
        <v>0</v>
      </c>
      <c r="AJ249" s="461">
        <v>0</v>
      </c>
      <c r="AL249" s="364">
        <v>0</v>
      </c>
      <c r="AM249" s="364">
        <v>0</v>
      </c>
      <c r="AN249" s="364">
        <v>0</v>
      </c>
      <c r="AO249" s="364">
        <v>0</v>
      </c>
      <c r="AP249" s="460">
        <v>0</v>
      </c>
      <c r="AQ249" s="511">
        <v>0</v>
      </c>
      <c r="AR249" s="511">
        <v>0</v>
      </c>
      <c r="AS249" s="511">
        <v>0</v>
      </c>
      <c r="AT249" s="511">
        <v>0</v>
      </c>
      <c r="AU249" s="511">
        <v>0</v>
      </c>
      <c r="AV249" s="511">
        <v>0</v>
      </c>
      <c r="AW249" s="364" t="s">
        <v>1309</v>
      </c>
    </row>
    <row r="250" spans="2:49" x14ac:dyDescent="0.25">
      <c r="B250" s="462">
        <v>2032</v>
      </c>
      <c r="C250" s="466">
        <v>234342</v>
      </c>
      <c r="D250" s="462" t="s">
        <v>701</v>
      </c>
      <c r="E250" s="461" t="s">
        <v>820</v>
      </c>
      <c r="F250" s="462"/>
      <c r="G250" s="461"/>
      <c r="H250" s="461" t="s">
        <v>819</v>
      </c>
      <c r="I250" s="461"/>
      <c r="J250" s="461">
        <v>2003</v>
      </c>
      <c r="K250" s="461" t="s">
        <v>762</v>
      </c>
      <c r="L250" s="461" t="s">
        <v>762</v>
      </c>
      <c r="M250" s="461" t="s">
        <v>818</v>
      </c>
      <c r="N250" s="465">
        <v>43997</v>
      </c>
      <c r="O250" s="465">
        <v>43997</v>
      </c>
      <c r="P250" s="461"/>
      <c r="Q250" s="462">
        <v>0</v>
      </c>
      <c r="R250" s="462">
        <v>14040</v>
      </c>
      <c r="S250" s="513">
        <v>0</v>
      </c>
      <c r="T250" s="462">
        <v>14046</v>
      </c>
      <c r="U250" s="463">
        <v>0</v>
      </c>
      <c r="V250" s="463">
        <f t="shared" si="73"/>
        <v>0</v>
      </c>
      <c r="W250" s="464">
        <v>0</v>
      </c>
      <c r="X250" s="462">
        <v>51260</v>
      </c>
      <c r="Y250" s="463">
        <v>0</v>
      </c>
      <c r="Z250" s="461" t="s">
        <v>703</v>
      </c>
      <c r="AA250" s="461" t="s">
        <v>704</v>
      </c>
      <c r="AB250" s="461"/>
      <c r="AC250" s="461">
        <v>21</v>
      </c>
      <c r="AD250" s="461" t="s">
        <v>705</v>
      </c>
      <c r="AE250" s="461" t="s">
        <v>703</v>
      </c>
      <c r="AF250" s="462" t="s">
        <v>706</v>
      </c>
      <c r="AG250" s="461"/>
      <c r="AH250" s="462" t="s">
        <v>707</v>
      </c>
      <c r="AI250" s="461">
        <v>0</v>
      </c>
      <c r="AJ250" s="461">
        <v>0</v>
      </c>
      <c r="AL250" s="364">
        <v>0</v>
      </c>
      <c r="AM250" s="364">
        <v>0</v>
      </c>
      <c r="AN250" s="364">
        <v>0</v>
      </c>
      <c r="AO250" s="364">
        <v>0</v>
      </c>
      <c r="AP250" s="460">
        <v>0</v>
      </c>
      <c r="AQ250" s="511">
        <v>0</v>
      </c>
      <c r="AR250" s="511">
        <v>0</v>
      </c>
      <c r="AS250" s="511">
        <v>0</v>
      </c>
      <c r="AT250" s="511">
        <v>0</v>
      </c>
      <c r="AU250" s="511">
        <v>0</v>
      </c>
      <c r="AV250" s="511">
        <v>0</v>
      </c>
      <c r="AW250" s="364" t="s">
        <v>1309</v>
      </c>
    </row>
    <row r="251" spans="2:49" x14ac:dyDescent="0.25">
      <c r="B251" s="462">
        <v>2032</v>
      </c>
      <c r="C251" s="466">
        <v>234329</v>
      </c>
      <c r="D251" s="462" t="s">
        <v>701</v>
      </c>
      <c r="E251" s="461" t="s">
        <v>1434</v>
      </c>
      <c r="F251" s="462"/>
      <c r="G251" s="461"/>
      <c r="H251" s="461" t="s">
        <v>1433</v>
      </c>
      <c r="I251" s="461"/>
      <c r="J251" s="461">
        <v>2019</v>
      </c>
      <c r="K251" s="461" t="s">
        <v>765</v>
      </c>
      <c r="L251" s="461" t="s">
        <v>799</v>
      </c>
      <c r="M251" s="461" t="s">
        <v>798</v>
      </c>
      <c r="N251" s="465">
        <v>43997</v>
      </c>
      <c r="O251" s="465">
        <v>43997</v>
      </c>
      <c r="P251" s="461"/>
      <c r="Q251" s="462">
        <v>900</v>
      </c>
      <c r="R251" s="462">
        <v>14040</v>
      </c>
      <c r="S251" s="513">
        <v>225000</v>
      </c>
      <c r="T251" s="462">
        <v>14046</v>
      </c>
      <c r="U251" s="463">
        <v>60416.66</v>
      </c>
      <c r="V251" s="463">
        <f t="shared" si="73"/>
        <v>164583.34</v>
      </c>
      <c r="W251" s="464">
        <v>20833.330000000002</v>
      </c>
      <c r="X251" s="462">
        <v>51260</v>
      </c>
      <c r="Y251" s="463">
        <v>2083.33</v>
      </c>
      <c r="Z251" s="461" t="s">
        <v>703</v>
      </c>
      <c r="AA251" s="461" t="s">
        <v>704</v>
      </c>
      <c r="AB251" s="461"/>
      <c r="AC251" s="461">
        <v>7</v>
      </c>
      <c r="AD251" s="461" t="s">
        <v>705</v>
      </c>
      <c r="AE251" s="461" t="s">
        <v>703</v>
      </c>
      <c r="AF251" s="462" t="s">
        <v>351</v>
      </c>
      <c r="AG251" s="461"/>
      <c r="AH251" s="462" t="s">
        <v>707</v>
      </c>
      <c r="AI251" s="461">
        <v>0</v>
      </c>
      <c r="AJ251" s="461">
        <v>0</v>
      </c>
      <c r="AL251" s="364">
        <v>0</v>
      </c>
      <c r="AM251" s="364">
        <v>0</v>
      </c>
      <c r="AN251" s="364">
        <v>0</v>
      </c>
      <c r="AO251" s="364">
        <v>0</v>
      </c>
      <c r="AP251" s="460">
        <v>0</v>
      </c>
      <c r="AQ251" s="511">
        <v>0</v>
      </c>
      <c r="AR251" s="511">
        <v>0</v>
      </c>
      <c r="AS251" s="511">
        <v>0</v>
      </c>
      <c r="AT251" s="511">
        <v>0</v>
      </c>
      <c r="AU251" s="511">
        <v>0</v>
      </c>
      <c r="AV251" s="511">
        <v>0</v>
      </c>
      <c r="AW251" s="364" t="s">
        <v>1309</v>
      </c>
    </row>
    <row r="252" spans="2:49" x14ac:dyDescent="0.25">
      <c r="B252" s="462">
        <v>2032</v>
      </c>
      <c r="C252" s="466">
        <v>234328</v>
      </c>
      <c r="D252" s="462" t="s">
        <v>701</v>
      </c>
      <c r="E252" s="461" t="s">
        <v>817</v>
      </c>
      <c r="F252" s="462"/>
      <c r="G252" s="461"/>
      <c r="H252" s="461" t="s">
        <v>816</v>
      </c>
      <c r="I252" s="461"/>
      <c r="J252" s="461">
        <v>2018</v>
      </c>
      <c r="K252" s="461" t="s">
        <v>765</v>
      </c>
      <c r="L252" s="461" t="s">
        <v>799</v>
      </c>
      <c r="M252" s="461" t="s">
        <v>798</v>
      </c>
      <c r="N252" s="465">
        <v>43997</v>
      </c>
      <c r="O252" s="465">
        <v>43997</v>
      </c>
      <c r="P252" s="461"/>
      <c r="Q252" s="462">
        <v>800</v>
      </c>
      <c r="R252" s="462">
        <v>14040</v>
      </c>
      <c r="S252" s="513">
        <v>185000</v>
      </c>
      <c r="T252" s="462">
        <v>14046</v>
      </c>
      <c r="U252" s="463">
        <v>55885.41</v>
      </c>
      <c r="V252" s="463">
        <f t="shared" si="73"/>
        <v>129114.59</v>
      </c>
      <c r="W252" s="464">
        <v>19270.830000000002</v>
      </c>
      <c r="X252" s="462">
        <v>51260</v>
      </c>
      <c r="Y252" s="463">
        <v>1927.08</v>
      </c>
      <c r="Z252" s="461" t="s">
        <v>703</v>
      </c>
      <c r="AA252" s="461" t="s">
        <v>704</v>
      </c>
      <c r="AB252" s="461"/>
      <c r="AC252" s="461">
        <v>26</v>
      </c>
      <c r="AD252" s="461" t="s">
        <v>705</v>
      </c>
      <c r="AE252" s="461" t="s">
        <v>703</v>
      </c>
      <c r="AF252" s="462" t="s">
        <v>351</v>
      </c>
      <c r="AG252" s="461"/>
      <c r="AH252" s="462" t="s">
        <v>707</v>
      </c>
      <c r="AI252" s="461">
        <v>0</v>
      </c>
      <c r="AJ252" s="461">
        <v>0</v>
      </c>
      <c r="AL252" s="364">
        <v>0</v>
      </c>
      <c r="AM252" s="364">
        <v>0</v>
      </c>
      <c r="AN252" s="364">
        <v>0</v>
      </c>
      <c r="AO252" s="364">
        <v>0</v>
      </c>
      <c r="AP252" s="460">
        <v>0</v>
      </c>
      <c r="AQ252" s="511">
        <v>0</v>
      </c>
      <c r="AR252" s="511">
        <v>0</v>
      </c>
      <c r="AS252" s="511">
        <v>0</v>
      </c>
      <c r="AT252" s="511">
        <v>0</v>
      </c>
      <c r="AU252" s="511">
        <v>0</v>
      </c>
      <c r="AV252" s="511">
        <v>0</v>
      </c>
      <c r="AW252" s="364" t="s">
        <v>1309</v>
      </c>
    </row>
    <row r="253" spans="2:49" x14ac:dyDescent="0.25">
      <c r="B253" s="462">
        <v>2032</v>
      </c>
      <c r="C253" s="466">
        <v>234327</v>
      </c>
      <c r="D253" s="462" t="s">
        <v>701</v>
      </c>
      <c r="E253" s="461" t="s">
        <v>786</v>
      </c>
      <c r="F253" s="462"/>
      <c r="G253" s="461"/>
      <c r="H253" s="461" t="s">
        <v>815</v>
      </c>
      <c r="I253" s="461"/>
      <c r="J253" s="461">
        <v>2004</v>
      </c>
      <c r="K253" s="461" t="s">
        <v>765</v>
      </c>
      <c r="L253" s="461"/>
      <c r="M253" s="461" t="s">
        <v>779</v>
      </c>
      <c r="N253" s="465">
        <v>43997</v>
      </c>
      <c r="O253" s="465">
        <v>43997</v>
      </c>
      <c r="P253" s="461"/>
      <c r="Q253" s="462">
        <v>0</v>
      </c>
      <c r="R253" s="462">
        <v>14040</v>
      </c>
      <c r="S253" s="513">
        <v>0</v>
      </c>
      <c r="T253" s="462">
        <v>14046</v>
      </c>
      <c r="U253" s="463">
        <v>0</v>
      </c>
      <c r="V253" s="463">
        <f t="shared" si="73"/>
        <v>0</v>
      </c>
      <c r="W253" s="464">
        <v>0</v>
      </c>
      <c r="X253" s="462">
        <v>51260</v>
      </c>
      <c r="Y253" s="463">
        <v>0</v>
      </c>
      <c r="Z253" s="461" t="s">
        <v>703</v>
      </c>
      <c r="AA253" s="461" t="s">
        <v>704</v>
      </c>
      <c r="AB253" s="461"/>
      <c r="AC253" s="461">
        <v>14</v>
      </c>
      <c r="AD253" s="461" t="s">
        <v>705</v>
      </c>
      <c r="AE253" s="461" t="s">
        <v>703</v>
      </c>
      <c r="AF253" s="462" t="s">
        <v>706</v>
      </c>
      <c r="AG253" s="461"/>
      <c r="AH253" s="462" t="s">
        <v>707</v>
      </c>
      <c r="AI253" s="461">
        <v>0</v>
      </c>
      <c r="AJ253" s="461">
        <v>0</v>
      </c>
      <c r="AL253" s="364">
        <v>0</v>
      </c>
      <c r="AM253" s="364">
        <v>0</v>
      </c>
      <c r="AN253" s="364">
        <v>0</v>
      </c>
      <c r="AO253" s="364">
        <v>0</v>
      </c>
      <c r="AP253" s="460">
        <v>0</v>
      </c>
      <c r="AQ253" s="511">
        <v>0</v>
      </c>
      <c r="AR253" s="511">
        <v>0</v>
      </c>
      <c r="AS253" s="511">
        <v>0</v>
      </c>
      <c r="AT253" s="511">
        <v>0</v>
      </c>
      <c r="AU253" s="511">
        <v>0</v>
      </c>
      <c r="AV253" s="511">
        <v>0</v>
      </c>
      <c r="AW253" s="364" t="s">
        <v>1309</v>
      </c>
    </row>
    <row r="254" spans="2:49" x14ac:dyDescent="0.25">
      <c r="B254" s="462">
        <v>2032</v>
      </c>
      <c r="C254" s="466">
        <v>234326</v>
      </c>
      <c r="D254" s="462" t="s">
        <v>701</v>
      </c>
      <c r="E254" s="461" t="s">
        <v>814</v>
      </c>
      <c r="F254" s="462"/>
      <c r="G254" s="461"/>
      <c r="H254" s="461" t="s">
        <v>813</v>
      </c>
      <c r="I254" s="461"/>
      <c r="J254" s="461">
        <v>2016</v>
      </c>
      <c r="K254" s="461" t="s">
        <v>765</v>
      </c>
      <c r="L254" s="461" t="s">
        <v>799</v>
      </c>
      <c r="M254" s="461" t="s">
        <v>798</v>
      </c>
      <c r="N254" s="465">
        <v>43997</v>
      </c>
      <c r="O254" s="465">
        <v>43997</v>
      </c>
      <c r="P254" s="461"/>
      <c r="Q254" s="462">
        <v>600</v>
      </c>
      <c r="R254" s="462">
        <v>14040</v>
      </c>
      <c r="S254" s="513">
        <v>155000</v>
      </c>
      <c r="T254" s="462">
        <v>14046</v>
      </c>
      <c r="U254" s="463">
        <v>62430.559999999998</v>
      </c>
      <c r="V254" s="463">
        <f t="shared" si="73"/>
        <v>92569.44</v>
      </c>
      <c r="W254" s="464">
        <v>21527.78</v>
      </c>
      <c r="X254" s="462">
        <v>51260</v>
      </c>
      <c r="Y254" s="463">
        <v>2152.7800000000002</v>
      </c>
      <c r="Z254" s="461" t="s">
        <v>703</v>
      </c>
      <c r="AA254" s="461" t="s">
        <v>704</v>
      </c>
      <c r="AB254" s="461"/>
      <c r="AC254" s="461">
        <v>4</v>
      </c>
      <c r="AD254" s="461" t="s">
        <v>705</v>
      </c>
      <c r="AE254" s="461" t="s">
        <v>703</v>
      </c>
      <c r="AF254" s="462" t="s">
        <v>351</v>
      </c>
      <c r="AG254" s="461"/>
      <c r="AH254" s="462" t="s">
        <v>707</v>
      </c>
      <c r="AI254" s="461">
        <v>0</v>
      </c>
      <c r="AJ254" s="461">
        <v>0</v>
      </c>
      <c r="AL254" s="364">
        <v>0</v>
      </c>
      <c r="AM254" s="364">
        <v>0</v>
      </c>
      <c r="AN254" s="364">
        <v>0</v>
      </c>
      <c r="AO254" s="364">
        <v>0</v>
      </c>
      <c r="AP254" s="460">
        <v>0</v>
      </c>
      <c r="AQ254" s="511">
        <v>0</v>
      </c>
      <c r="AR254" s="511">
        <v>0</v>
      </c>
      <c r="AS254" s="511">
        <v>0</v>
      </c>
      <c r="AT254" s="511">
        <v>0</v>
      </c>
      <c r="AU254" s="511">
        <v>0</v>
      </c>
      <c r="AV254" s="511">
        <v>0</v>
      </c>
      <c r="AW254" s="364" t="s">
        <v>1309</v>
      </c>
    </row>
    <row r="255" spans="2:49" x14ac:dyDescent="0.25">
      <c r="B255" s="462">
        <v>2032</v>
      </c>
      <c r="C255" s="466">
        <v>234325</v>
      </c>
      <c r="D255" s="462" t="s">
        <v>701</v>
      </c>
      <c r="E255" s="461" t="s">
        <v>811</v>
      </c>
      <c r="F255" s="462"/>
      <c r="G255" s="461"/>
      <c r="H255" s="461" t="s">
        <v>812</v>
      </c>
      <c r="I255" s="461"/>
      <c r="J255" s="461">
        <v>2013</v>
      </c>
      <c r="K255" s="461" t="s">
        <v>765</v>
      </c>
      <c r="L255" s="461" t="s">
        <v>799</v>
      </c>
      <c r="M255" s="461" t="s">
        <v>798</v>
      </c>
      <c r="N255" s="465">
        <v>43997</v>
      </c>
      <c r="O255" s="465">
        <v>43997</v>
      </c>
      <c r="P255" s="461"/>
      <c r="Q255" s="462">
        <v>300</v>
      </c>
      <c r="R255" s="462">
        <v>14040</v>
      </c>
      <c r="S255" s="513">
        <v>95000</v>
      </c>
      <c r="T255" s="462">
        <v>14046</v>
      </c>
      <c r="U255" s="463">
        <v>76527.78</v>
      </c>
      <c r="V255" s="463">
        <f t="shared" si="73"/>
        <v>18472.22</v>
      </c>
      <c r="W255" s="464">
        <v>26388.89</v>
      </c>
      <c r="X255" s="462">
        <v>51260</v>
      </c>
      <c r="Y255" s="463">
        <v>2638.89</v>
      </c>
      <c r="Z255" s="461" t="s">
        <v>703</v>
      </c>
      <c r="AA255" s="461" t="s">
        <v>704</v>
      </c>
      <c r="AB255" s="461"/>
      <c r="AC255" s="461">
        <v>28</v>
      </c>
      <c r="AD255" s="461" t="s">
        <v>705</v>
      </c>
      <c r="AE255" s="461" t="s">
        <v>703</v>
      </c>
      <c r="AF255" s="462" t="s">
        <v>351</v>
      </c>
      <c r="AG255" s="461"/>
      <c r="AH255" s="462" t="s">
        <v>707</v>
      </c>
      <c r="AI255" s="461">
        <v>0</v>
      </c>
      <c r="AJ255" s="461">
        <v>0</v>
      </c>
      <c r="AL255" s="364">
        <v>0</v>
      </c>
      <c r="AM255" s="364">
        <v>0</v>
      </c>
      <c r="AN255" s="364">
        <v>0</v>
      </c>
      <c r="AO255" s="364">
        <v>0</v>
      </c>
      <c r="AP255" s="460">
        <v>0</v>
      </c>
      <c r="AQ255" s="511">
        <v>0</v>
      </c>
      <c r="AR255" s="511">
        <v>0</v>
      </c>
      <c r="AS255" s="511">
        <v>0</v>
      </c>
      <c r="AT255" s="511">
        <v>0</v>
      </c>
      <c r="AU255" s="511">
        <v>0</v>
      </c>
      <c r="AV255" s="511">
        <v>0</v>
      </c>
      <c r="AW255" s="364" t="s">
        <v>1309</v>
      </c>
    </row>
    <row r="256" spans="2:49" x14ac:dyDescent="0.25">
      <c r="B256" s="462">
        <v>2032</v>
      </c>
      <c r="C256" s="466">
        <v>234324</v>
      </c>
      <c r="D256" s="462" t="s">
        <v>701</v>
      </c>
      <c r="E256" s="461" t="s">
        <v>811</v>
      </c>
      <c r="F256" s="462"/>
      <c r="G256" s="461"/>
      <c r="H256" s="461" t="s">
        <v>810</v>
      </c>
      <c r="I256" s="461"/>
      <c r="J256" s="461">
        <v>2013</v>
      </c>
      <c r="K256" s="461" t="s">
        <v>765</v>
      </c>
      <c r="L256" s="461" t="s">
        <v>799</v>
      </c>
      <c r="M256" s="461" t="s">
        <v>798</v>
      </c>
      <c r="N256" s="465">
        <v>43997</v>
      </c>
      <c r="O256" s="465">
        <v>43997</v>
      </c>
      <c r="P256" s="461"/>
      <c r="Q256" s="462">
        <v>300</v>
      </c>
      <c r="R256" s="462">
        <v>14040</v>
      </c>
      <c r="S256" s="513">
        <v>95000</v>
      </c>
      <c r="T256" s="462">
        <v>14046</v>
      </c>
      <c r="U256" s="463">
        <v>76527.78</v>
      </c>
      <c r="V256" s="463">
        <f t="shared" si="73"/>
        <v>18472.22</v>
      </c>
      <c r="W256" s="464">
        <v>26388.89</v>
      </c>
      <c r="X256" s="462">
        <v>51260</v>
      </c>
      <c r="Y256" s="463">
        <v>2638.89</v>
      </c>
      <c r="Z256" s="461" t="s">
        <v>703</v>
      </c>
      <c r="AA256" s="461" t="s">
        <v>704</v>
      </c>
      <c r="AB256" s="461"/>
      <c r="AC256" s="461">
        <v>19</v>
      </c>
      <c r="AD256" s="461" t="s">
        <v>705</v>
      </c>
      <c r="AE256" s="461" t="s">
        <v>703</v>
      </c>
      <c r="AF256" s="462" t="s">
        <v>351</v>
      </c>
      <c r="AG256" s="461"/>
      <c r="AH256" s="462" t="s">
        <v>707</v>
      </c>
      <c r="AI256" s="461">
        <v>0</v>
      </c>
      <c r="AJ256" s="461">
        <v>0</v>
      </c>
      <c r="AL256" s="364">
        <v>0</v>
      </c>
      <c r="AM256" s="364">
        <v>0</v>
      </c>
      <c r="AN256" s="364">
        <v>0</v>
      </c>
      <c r="AO256" s="364">
        <v>0</v>
      </c>
      <c r="AP256" s="460">
        <v>0</v>
      </c>
      <c r="AQ256" s="511">
        <v>0</v>
      </c>
      <c r="AR256" s="511">
        <v>0</v>
      </c>
      <c r="AS256" s="511">
        <v>0</v>
      </c>
      <c r="AT256" s="511">
        <v>0</v>
      </c>
      <c r="AU256" s="511">
        <v>0</v>
      </c>
      <c r="AV256" s="511">
        <v>0</v>
      </c>
      <c r="AW256" s="364" t="s">
        <v>1309</v>
      </c>
    </row>
    <row r="257" spans="2:49" x14ac:dyDescent="0.25">
      <c r="B257" s="462">
        <v>2032</v>
      </c>
      <c r="C257" s="466">
        <v>234323</v>
      </c>
      <c r="D257" s="462" t="s">
        <v>701</v>
      </c>
      <c r="E257" s="461" t="s">
        <v>808</v>
      </c>
      <c r="F257" s="462"/>
      <c r="G257" s="461"/>
      <c r="H257" s="461" t="s">
        <v>809</v>
      </c>
      <c r="I257" s="461"/>
      <c r="J257" s="461">
        <v>2012</v>
      </c>
      <c r="K257" s="461" t="s">
        <v>765</v>
      </c>
      <c r="L257" s="461" t="s">
        <v>799</v>
      </c>
      <c r="M257" s="461" t="s">
        <v>798</v>
      </c>
      <c r="N257" s="465">
        <v>43997</v>
      </c>
      <c r="O257" s="465">
        <v>43997</v>
      </c>
      <c r="P257" s="461"/>
      <c r="Q257" s="462">
        <v>300</v>
      </c>
      <c r="R257" s="462">
        <v>14040</v>
      </c>
      <c r="S257" s="513">
        <v>80000</v>
      </c>
      <c r="T257" s="462">
        <v>14046</v>
      </c>
      <c r="U257" s="463">
        <v>64444.42</v>
      </c>
      <c r="V257" s="463">
        <f t="shared" si="73"/>
        <v>15555.580000000002</v>
      </c>
      <c r="W257" s="464">
        <v>22222.22</v>
      </c>
      <c r="X257" s="462">
        <v>51260</v>
      </c>
      <c r="Y257" s="463">
        <v>2222.2199999999998</v>
      </c>
      <c r="Z257" s="461" t="s">
        <v>703</v>
      </c>
      <c r="AA257" s="461" t="s">
        <v>704</v>
      </c>
      <c r="AB257" s="461"/>
      <c r="AC257" s="461">
        <v>18</v>
      </c>
      <c r="AD257" s="461" t="s">
        <v>705</v>
      </c>
      <c r="AE257" s="461" t="s">
        <v>703</v>
      </c>
      <c r="AF257" s="462" t="s">
        <v>351</v>
      </c>
      <c r="AG257" s="461"/>
      <c r="AH257" s="462" t="s">
        <v>707</v>
      </c>
      <c r="AI257" s="461">
        <v>0</v>
      </c>
      <c r="AJ257" s="461">
        <v>0</v>
      </c>
      <c r="AL257" s="364">
        <v>0</v>
      </c>
      <c r="AM257" s="364">
        <v>0</v>
      </c>
      <c r="AN257" s="364">
        <v>0</v>
      </c>
      <c r="AO257" s="364">
        <v>0</v>
      </c>
      <c r="AP257" s="460">
        <v>0</v>
      </c>
      <c r="AQ257" s="511">
        <v>0</v>
      </c>
      <c r="AR257" s="511">
        <v>0</v>
      </c>
      <c r="AS257" s="511">
        <v>0</v>
      </c>
      <c r="AT257" s="511">
        <v>0</v>
      </c>
      <c r="AU257" s="511">
        <v>0</v>
      </c>
      <c r="AV257" s="511">
        <v>0</v>
      </c>
      <c r="AW257" s="364" t="s">
        <v>1309</v>
      </c>
    </row>
    <row r="258" spans="2:49" x14ac:dyDescent="0.25">
      <c r="B258" s="462">
        <v>2032</v>
      </c>
      <c r="C258" s="466">
        <v>234322</v>
      </c>
      <c r="D258" s="462" t="s">
        <v>701</v>
      </c>
      <c r="E258" s="461" t="s">
        <v>808</v>
      </c>
      <c r="F258" s="462"/>
      <c r="G258" s="461"/>
      <c r="H258" s="461" t="s">
        <v>807</v>
      </c>
      <c r="I258" s="461"/>
      <c r="J258" s="461">
        <v>2012</v>
      </c>
      <c r="K258" s="461" t="s">
        <v>765</v>
      </c>
      <c r="L258" s="461" t="s">
        <v>799</v>
      </c>
      <c r="M258" s="461" t="s">
        <v>798</v>
      </c>
      <c r="N258" s="465">
        <v>43997</v>
      </c>
      <c r="O258" s="465">
        <v>43997</v>
      </c>
      <c r="P258" s="461"/>
      <c r="Q258" s="462">
        <v>300</v>
      </c>
      <c r="R258" s="462">
        <v>14040</v>
      </c>
      <c r="S258" s="513">
        <v>80000</v>
      </c>
      <c r="T258" s="462">
        <v>14046</v>
      </c>
      <c r="U258" s="463">
        <v>64444.42</v>
      </c>
      <c r="V258" s="463">
        <f t="shared" si="73"/>
        <v>15555.580000000002</v>
      </c>
      <c r="W258" s="464">
        <v>22222.22</v>
      </c>
      <c r="X258" s="462">
        <v>51260</v>
      </c>
      <c r="Y258" s="463">
        <v>2222.2199999999998</v>
      </c>
      <c r="Z258" s="461" t="s">
        <v>703</v>
      </c>
      <c r="AA258" s="461" t="s">
        <v>704</v>
      </c>
      <c r="AB258" s="461"/>
      <c r="AC258" s="461">
        <v>16</v>
      </c>
      <c r="AD258" s="461" t="s">
        <v>705</v>
      </c>
      <c r="AE258" s="461" t="s">
        <v>703</v>
      </c>
      <c r="AF258" s="462" t="s">
        <v>351</v>
      </c>
      <c r="AG258" s="461"/>
      <c r="AH258" s="462" t="s">
        <v>707</v>
      </c>
      <c r="AI258" s="461">
        <v>0</v>
      </c>
      <c r="AJ258" s="461">
        <v>0</v>
      </c>
      <c r="AL258" s="364">
        <v>0</v>
      </c>
      <c r="AM258" s="364">
        <v>0</v>
      </c>
      <c r="AN258" s="364">
        <v>0</v>
      </c>
      <c r="AO258" s="364">
        <v>0</v>
      </c>
      <c r="AP258" s="460">
        <v>0</v>
      </c>
      <c r="AQ258" s="511">
        <v>0</v>
      </c>
      <c r="AR258" s="511">
        <v>0</v>
      </c>
      <c r="AS258" s="511">
        <v>0</v>
      </c>
      <c r="AT258" s="511">
        <v>0</v>
      </c>
      <c r="AU258" s="511">
        <v>0</v>
      </c>
      <c r="AV258" s="511">
        <v>0</v>
      </c>
      <c r="AW258" s="364" t="s">
        <v>1309</v>
      </c>
    </row>
    <row r="259" spans="2:49" x14ac:dyDescent="0.25">
      <c r="B259" s="462">
        <v>2032</v>
      </c>
      <c r="C259" s="466">
        <v>234321</v>
      </c>
      <c r="D259" s="462" t="s">
        <v>701</v>
      </c>
      <c r="E259" s="461" t="s">
        <v>805</v>
      </c>
      <c r="F259" s="462"/>
      <c r="G259" s="461"/>
      <c r="H259" s="461" t="s">
        <v>806</v>
      </c>
      <c r="I259" s="461"/>
      <c r="J259" s="461">
        <v>2011</v>
      </c>
      <c r="K259" s="461" t="s">
        <v>765</v>
      </c>
      <c r="L259" s="461" t="s">
        <v>799</v>
      </c>
      <c r="M259" s="461" t="s">
        <v>798</v>
      </c>
      <c r="N259" s="465">
        <v>43997</v>
      </c>
      <c r="O259" s="465">
        <v>43997</v>
      </c>
      <c r="P259" s="461"/>
      <c r="Q259" s="462">
        <v>300</v>
      </c>
      <c r="R259" s="462">
        <v>14040</v>
      </c>
      <c r="S259" s="513">
        <v>67500</v>
      </c>
      <c r="T259" s="462">
        <v>14046</v>
      </c>
      <c r="U259" s="463">
        <v>54375</v>
      </c>
      <c r="V259" s="463">
        <f t="shared" si="73"/>
        <v>13125</v>
      </c>
      <c r="W259" s="464">
        <v>18750</v>
      </c>
      <c r="X259" s="462">
        <v>51260</v>
      </c>
      <c r="Y259" s="463">
        <v>1875</v>
      </c>
      <c r="Z259" s="461" t="s">
        <v>703</v>
      </c>
      <c r="AA259" s="461" t="s">
        <v>704</v>
      </c>
      <c r="AB259" s="461"/>
      <c r="AC259" s="461">
        <v>17</v>
      </c>
      <c r="AD259" s="461" t="s">
        <v>705</v>
      </c>
      <c r="AE259" s="461" t="s">
        <v>703</v>
      </c>
      <c r="AF259" s="462" t="s">
        <v>351</v>
      </c>
      <c r="AG259" s="461"/>
      <c r="AH259" s="462" t="s">
        <v>707</v>
      </c>
      <c r="AI259" s="461">
        <v>0</v>
      </c>
      <c r="AJ259" s="461">
        <v>0</v>
      </c>
      <c r="AL259" s="364">
        <v>0</v>
      </c>
      <c r="AM259" s="364">
        <v>0</v>
      </c>
      <c r="AN259" s="364">
        <v>0</v>
      </c>
      <c r="AO259" s="364">
        <v>0</v>
      </c>
      <c r="AP259" s="460">
        <v>0</v>
      </c>
      <c r="AQ259" s="511">
        <v>0</v>
      </c>
      <c r="AR259" s="511">
        <v>0</v>
      </c>
      <c r="AS259" s="511">
        <v>0</v>
      </c>
      <c r="AT259" s="511">
        <v>0</v>
      </c>
      <c r="AU259" s="511">
        <v>0</v>
      </c>
      <c r="AV259" s="511">
        <v>0</v>
      </c>
      <c r="AW259" s="364" t="s">
        <v>1309</v>
      </c>
    </row>
    <row r="260" spans="2:49" x14ac:dyDescent="0.25">
      <c r="B260" s="462">
        <v>2032</v>
      </c>
      <c r="C260" s="466">
        <v>234320</v>
      </c>
      <c r="D260" s="462" t="s">
        <v>701</v>
      </c>
      <c r="E260" s="461" t="s">
        <v>805</v>
      </c>
      <c r="F260" s="462"/>
      <c r="G260" s="461"/>
      <c r="H260" s="461" t="s">
        <v>804</v>
      </c>
      <c r="I260" s="461"/>
      <c r="J260" s="461">
        <v>2011</v>
      </c>
      <c r="K260" s="461" t="s">
        <v>765</v>
      </c>
      <c r="L260" s="461" t="s">
        <v>799</v>
      </c>
      <c r="M260" s="461" t="s">
        <v>798</v>
      </c>
      <c r="N260" s="465">
        <v>43997</v>
      </c>
      <c r="O260" s="465">
        <v>43997</v>
      </c>
      <c r="P260" s="461"/>
      <c r="Q260" s="462">
        <v>300</v>
      </c>
      <c r="R260" s="462">
        <v>14040</v>
      </c>
      <c r="S260" s="513">
        <v>67500</v>
      </c>
      <c r="T260" s="462">
        <v>14046</v>
      </c>
      <c r="U260" s="463">
        <v>54375</v>
      </c>
      <c r="V260" s="463">
        <f t="shared" si="73"/>
        <v>13125</v>
      </c>
      <c r="W260" s="464">
        <v>18750</v>
      </c>
      <c r="X260" s="462">
        <v>51260</v>
      </c>
      <c r="Y260" s="463">
        <v>1875</v>
      </c>
      <c r="Z260" s="461" t="s">
        <v>703</v>
      </c>
      <c r="AA260" s="461" t="s">
        <v>704</v>
      </c>
      <c r="AB260" s="461"/>
      <c r="AC260" s="461">
        <v>15</v>
      </c>
      <c r="AD260" s="461" t="s">
        <v>705</v>
      </c>
      <c r="AE260" s="461" t="s">
        <v>703</v>
      </c>
      <c r="AF260" s="462" t="s">
        <v>351</v>
      </c>
      <c r="AG260" s="461"/>
      <c r="AH260" s="462" t="s">
        <v>707</v>
      </c>
      <c r="AI260" s="461">
        <v>0</v>
      </c>
      <c r="AJ260" s="461">
        <v>0</v>
      </c>
      <c r="AL260" s="364">
        <v>0</v>
      </c>
      <c r="AM260" s="364">
        <v>0</v>
      </c>
      <c r="AN260" s="364">
        <v>0</v>
      </c>
      <c r="AO260" s="364">
        <v>0</v>
      </c>
      <c r="AP260" s="460">
        <v>0</v>
      </c>
      <c r="AQ260" s="511">
        <v>0</v>
      </c>
      <c r="AR260" s="511">
        <v>0</v>
      </c>
      <c r="AS260" s="511">
        <v>0</v>
      </c>
      <c r="AT260" s="511">
        <v>0</v>
      </c>
      <c r="AU260" s="511">
        <v>0</v>
      </c>
      <c r="AV260" s="511">
        <v>0</v>
      </c>
      <c r="AW260" s="364" t="s">
        <v>1309</v>
      </c>
    </row>
    <row r="261" spans="2:49" x14ac:dyDescent="0.25">
      <c r="B261" s="462">
        <v>2032</v>
      </c>
      <c r="C261" s="466">
        <v>234319</v>
      </c>
      <c r="D261" s="462" t="s">
        <v>701</v>
      </c>
      <c r="E261" s="461" t="s">
        <v>803</v>
      </c>
      <c r="F261" s="462"/>
      <c r="G261" s="461"/>
      <c r="H261" s="461" t="s">
        <v>802</v>
      </c>
      <c r="I261" s="461"/>
      <c r="J261" s="461">
        <v>2008</v>
      </c>
      <c r="K261" s="461" t="s">
        <v>765</v>
      </c>
      <c r="L261" s="461" t="s">
        <v>799</v>
      </c>
      <c r="M261" s="461" t="s">
        <v>798</v>
      </c>
      <c r="N261" s="465">
        <v>43997</v>
      </c>
      <c r="O261" s="465">
        <v>43997</v>
      </c>
      <c r="P261" s="461"/>
      <c r="Q261" s="462">
        <v>300</v>
      </c>
      <c r="R261" s="462">
        <v>14040</v>
      </c>
      <c r="S261" s="513">
        <v>2500</v>
      </c>
      <c r="T261" s="462">
        <v>14046</v>
      </c>
      <c r="U261" s="463">
        <v>2013.88</v>
      </c>
      <c r="V261" s="463">
        <f t="shared" si="73"/>
        <v>486.11999999999989</v>
      </c>
      <c r="W261" s="464">
        <v>694.44</v>
      </c>
      <c r="X261" s="462">
        <v>51260</v>
      </c>
      <c r="Y261" s="463">
        <v>69.44</v>
      </c>
      <c r="Z261" s="461" t="s">
        <v>703</v>
      </c>
      <c r="AA261" s="461" t="s">
        <v>704</v>
      </c>
      <c r="AB261" s="461"/>
      <c r="AC261" s="461">
        <v>10</v>
      </c>
      <c r="AD261" s="461" t="s">
        <v>705</v>
      </c>
      <c r="AE261" s="461" t="s">
        <v>703</v>
      </c>
      <c r="AF261" s="462" t="s">
        <v>351</v>
      </c>
      <c r="AG261" s="461"/>
      <c r="AH261" s="462" t="s">
        <v>707</v>
      </c>
      <c r="AI261" s="461">
        <v>0</v>
      </c>
      <c r="AJ261" s="461">
        <v>0</v>
      </c>
      <c r="AL261" s="364">
        <v>0</v>
      </c>
      <c r="AM261" s="364">
        <v>0</v>
      </c>
      <c r="AN261" s="364">
        <v>0</v>
      </c>
      <c r="AO261" s="364">
        <v>0</v>
      </c>
      <c r="AP261" s="460">
        <v>0</v>
      </c>
      <c r="AQ261" s="511">
        <v>0</v>
      </c>
      <c r="AR261" s="511">
        <v>0</v>
      </c>
      <c r="AS261" s="511">
        <v>0</v>
      </c>
      <c r="AT261" s="511">
        <v>0</v>
      </c>
      <c r="AU261" s="511">
        <v>0</v>
      </c>
      <c r="AV261" s="511">
        <v>0</v>
      </c>
      <c r="AW261" s="364" t="s">
        <v>1309</v>
      </c>
    </row>
    <row r="262" spans="2:49" x14ac:dyDescent="0.25">
      <c r="B262" s="462">
        <v>2032</v>
      </c>
      <c r="C262" s="466">
        <v>234318</v>
      </c>
      <c r="D262" s="462" t="s">
        <v>701</v>
      </c>
      <c r="E262" s="461" t="s">
        <v>801</v>
      </c>
      <c r="F262" s="462"/>
      <c r="G262" s="461"/>
      <c r="H262" s="461" t="s">
        <v>800</v>
      </c>
      <c r="I262" s="461"/>
      <c r="J262" s="461">
        <v>2002</v>
      </c>
      <c r="K262" s="461" t="s">
        <v>765</v>
      </c>
      <c r="L262" s="461" t="s">
        <v>799</v>
      </c>
      <c r="M262" s="461" t="s">
        <v>798</v>
      </c>
      <c r="N262" s="465">
        <v>43997</v>
      </c>
      <c r="O262" s="465">
        <v>43997</v>
      </c>
      <c r="P262" s="461"/>
      <c r="Q262" s="462">
        <v>0</v>
      </c>
      <c r="R262" s="462">
        <v>14040</v>
      </c>
      <c r="S262" s="513">
        <v>0</v>
      </c>
      <c r="T262" s="462">
        <v>14046</v>
      </c>
      <c r="U262" s="463">
        <v>0</v>
      </c>
      <c r="V262" s="463">
        <f t="shared" si="73"/>
        <v>0</v>
      </c>
      <c r="W262" s="464">
        <v>0</v>
      </c>
      <c r="X262" s="462">
        <v>51260</v>
      </c>
      <c r="Y262" s="463">
        <v>0</v>
      </c>
      <c r="Z262" s="461" t="s">
        <v>703</v>
      </c>
      <c r="AA262" s="461" t="s">
        <v>704</v>
      </c>
      <c r="AB262" s="461"/>
      <c r="AC262" s="461">
        <v>3</v>
      </c>
      <c r="AD262" s="461" t="s">
        <v>705</v>
      </c>
      <c r="AE262" s="461" t="s">
        <v>703</v>
      </c>
      <c r="AF262" s="462" t="s">
        <v>706</v>
      </c>
      <c r="AG262" s="461"/>
      <c r="AH262" s="462" t="s">
        <v>707</v>
      </c>
      <c r="AI262" s="461">
        <v>0</v>
      </c>
      <c r="AJ262" s="461">
        <v>0</v>
      </c>
      <c r="AL262" s="364">
        <v>0</v>
      </c>
      <c r="AM262" s="364">
        <v>0</v>
      </c>
      <c r="AN262" s="364">
        <v>0</v>
      </c>
      <c r="AO262" s="364">
        <v>0</v>
      </c>
      <c r="AP262" s="460">
        <v>0</v>
      </c>
      <c r="AQ262" s="511">
        <v>0</v>
      </c>
      <c r="AR262" s="511">
        <v>0</v>
      </c>
      <c r="AS262" s="511">
        <v>0</v>
      </c>
      <c r="AT262" s="511">
        <v>0</v>
      </c>
      <c r="AU262" s="511">
        <v>0</v>
      </c>
      <c r="AV262" s="511">
        <v>0</v>
      </c>
      <c r="AW262" s="364" t="s">
        <v>1309</v>
      </c>
    </row>
    <row r="263" spans="2:49" x14ac:dyDescent="0.25">
      <c r="B263" s="462">
        <v>2032</v>
      </c>
      <c r="C263" s="466">
        <v>234317</v>
      </c>
      <c r="D263" s="462" t="s">
        <v>701</v>
      </c>
      <c r="E263" s="461" t="s">
        <v>797</v>
      </c>
      <c r="F263" s="462"/>
      <c r="G263" s="461"/>
      <c r="H263" s="461" t="s">
        <v>796</v>
      </c>
      <c r="I263" s="461"/>
      <c r="J263" s="461">
        <v>2020</v>
      </c>
      <c r="K263" s="461" t="s">
        <v>765</v>
      </c>
      <c r="L263" s="461"/>
      <c r="M263" s="461" t="s">
        <v>779</v>
      </c>
      <c r="N263" s="465">
        <v>43997</v>
      </c>
      <c r="O263" s="465">
        <v>43997</v>
      </c>
      <c r="P263" s="461"/>
      <c r="Q263" s="462">
        <v>1000</v>
      </c>
      <c r="R263" s="462">
        <v>14040</v>
      </c>
      <c r="S263" s="513">
        <v>190000</v>
      </c>
      <c r="T263" s="462">
        <v>14046</v>
      </c>
      <c r="U263" s="463">
        <v>45916.66</v>
      </c>
      <c r="V263" s="463">
        <f t="shared" si="73"/>
        <v>144083.34</v>
      </c>
      <c r="W263" s="464">
        <v>15833.33</v>
      </c>
      <c r="X263" s="462">
        <v>51260</v>
      </c>
      <c r="Y263" s="463">
        <v>1583.33</v>
      </c>
      <c r="Z263" s="461" t="s">
        <v>703</v>
      </c>
      <c r="AA263" s="461" t="s">
        <v>704</v>
      </c>
      <c r="AB263" s="461"/>
      <c r="AC263" s="461">
        <v>9</v>
      </c>
      <c r="AD263" s="461" t="s">
        <v>705</v>
      </c>
      <c r="AE263" s="461" t="s">
        <v>703</v>
      </c>
      <c r="AF263" s="462" t="s">
        <v>351</v>
      </c>
      <c r="AG263" s="461"/>
      <c r="AH263" s="462" t="s">
        <v>707</v>
      </c>
      <c r="AI263" s="461">
        <v>0</v>
      </c>
      <c r="AJ263" s="461">
        <v>0</v>
      </c>
      <c r="AL263" s="364">
        <v>0</v>
      </c>
      <c r="AM263" s="364">
        <v>0</v>
      </c>
      <c r="AN263" s="364">
        <v>0</v>
      </c>
      <c r="AO263" s="364">
        <v>0</v>
      </c>
      <c r="AP263" s="460">
        <v>0</v>
      </c>
      <c r="AQ263" s="511">
        <v>0</v>
      </c>
      <c r="AR263" s="511">
        <v>0</v>
      </c>
      <c r="AS263" s="511">
        <v>0</v>
      </c>
      <c r="AT263" s="511">
        <v>0</v>
      </c>
      <c r="AU263" s="511">
        <v>0</v>
      </c>
      <c r="AV263" s="511">
        <v>0</v>
      </c>
      <c r="AW263" s="364" t="s">
        <v>1309</v>
      </c>
    </row>
    <row r="264" spans="2:49" x14ac:dyDescent="0.25">
      <c r="B264" s="462">
        <v>2032</v>
      </c>
      <c r="C264" s="466">
        <v>234316</v>
      </c>
      <c r="D264" s="462" t="s">
        <v>701</v>
      </c>
      <c r="E264" s="461" t="s">
        <v>794</v>
      </c>
      <c r="F264" s="462"/>
      <c r="G264" s="461"/>
      <c r="H264" s="461" t="s">
        <v>795</v>
      </c>
      <c r="I264" s="461"/>
      <c r="J264" s="461">
        <v>2019</v>
      </c>
      <c r="K264" s="461" t="s">
        <v>765</v>
      </c>
      <c r="L264" s="461"/>
      <c r="M264" s="461" t="s">
        <v>779</v>
      </c>
      <c r="N264" s="465">
        <v>43997</v>
      </c>
      <c r="O264" s="465">
        <v>43997</v>
      </c>
      <c r="P264" s="461"/>
      <c r="Q264" s="462">
        <v>900</v>
      </c>
      <c r="R264" s="462">
        <v>14040</v>
      </c>
      <c r="S264" s="513">
        <v>172500</v>
      </c>
      <c r="T264" s="462">
        <v>14046</v>
      </c>
      <c r="U264" s="463">
        <v>46319.45</v>
      </c>
      <c r="V264" s="463">
        <f t="shared" si="73"/>
        <v>126180.55</v>
      </c>
      <c r="W264" s="464">
        <v>15972.23</v>
      </c>
      <c r="X264" s="462">
        <v>51260</v>
      </c>
      <c r="Y264" s="463">
        <v>1597.23</v>
      </c>
      <c r="Z264" s="461" t="s">
        <v>703</v>
      </c>
      <c r="AA264" s="461" t="s">
        <v>704</v>
      </c>
      <c r="AB264" s="461"/>
      <c r="AC264" s="461">
        <v>71</v>
      </c>
      <c r="AD264" s="461" t="s">
        <v>705</v>
      </c>
      <c r="AE264" s="461" t="s">
        <v>703</v>
      </c>
      <c r="AF264" s="462" t="s">
        <v>351</v>
      </c>
      <c r="AG264" s="461"/>
      <c r="AH264" s="462" t="s">
        <v>707</v>
      </c>
      <c r="AI264" s="461">
        <v>0</v>
      </c>
      <c r="AJ264" s="461">
        <v>0</v>
      </c>
      <c r="AL264" s="364">
        <v>0</v>
      </c>
      <c r="AM264" s="364">
        <v>0</v>
      </c>
      <c r="AN264" s="364">
        <v>0</v>
      </c>
      <c r="AO264" s="364">
        <v>0</v>
      </c>
      <c r="AP264" s="460">
        <v>0</v>
      </c>
      <c r="AQ264" s="511">
        <v>0</v>
      </c>
      <c r="AR264" s="511">
        <v>0</v>
      </c>
      <c r="AS264" s="511">
        <v>0</v>
      </c>
      <c r="AT264" s="511">
        <v>0</v>
      </c>
      <c r="AU264" s="511">
        <v>0</v>
      </c>
      <c r="AV264" s="511">
        <v>0</v>
      </c>
      <c r="AW264" s="364" t="s">
        <v>1309</v>
      </c>
    </row>
    <row r="265" spans="2:49" x14ac:dyDescent="0.25">
      <c r="B265" s="462">
        <v>2032</v>
      </c>
      <c r="C265" s="466">
        <v>234315</v>
      </c>
      <c r="D265" s="462" t="s">
        <v>701</v>
      </c>
      <c r="E265" s="461" t="s">
        <v>794</v>
      </c>
      <c r="F265" s="462"/>
      <c r="G265" s="461"/>
      <c r="H265" s="461" t="s">
        <v>793</v>
      </c>
      <c r="I265" s="461"/>
      <c r="J265" s="461">
        <v>2019</v>
      </c>
      <c r="K265" s="461" t="s">
        <v>765</v>
      </c>
      <c r="L265" s="461"/>
      <c r="M265" s="461" t="s">
        <v>779</v>
      </c>
      <c r="N265" s="465">
        <v>43997</v>
      </c>
      <c r="O265" s="465">
        <v>43997</v>
      </c>
      <c r="P265" s="461"/>
      <c r="Q265" s="462">
        <v>900</v>
      </c>
      <c r="R265" s="462">
        <v>14040</v>
      </c>
      <c r="S265" s="513">
        <v>172500</v>
      </c>
      <c r="T265" s="462">
        <v>14046</v>
      </c>
      <c r="U265" s="463">
        <v>46319.45</v>
      </c>
      <c r="V265" s="463">
        <f t="shared" si="73"/>
        <v>126180.55</v>
      </c>
      <c r="W265" s="464">
        <v>15972.23</v>
      </c>
      <c r="X265" s="462">
        <v>51260</v>
      </c>
      <c r="Y265" s="463">
        <v>1597.23</v>
      </c>
      <c r="Z265" s="461" t="s">
        <v>703</v>
      </c>
      <c r="AA265" s="461" t="s">
        <v>704</v>
      </c>
      <c r="AB265" s="461"/>
      <c r="AC265" s="461">
        <v>70</v>
      </c>
      <c r="AD265" s="461" t="s">
        <v>705</v>
      </c>
      <c r="AE265" s="461" t="s">
        <v>703</v>
      </c>
      <c r="AF265" s="462" t="s">
        <v>351</v>
      </c>
      <c r="AG265" s="461"/>
      <c r="AH265" s="462" t="s">
        <v>707</v>
      </c>
      <c r="AI265" s="461">
        <v>0</v>
      </c>
      <c r="AJ265" s="461">
        <v>0</v>
      </c>
      <c r="AL265" s="364">
        <v>0</v>
      </c>
      <c r="AM265" s="364">
        <v>0</v>
      </c>
      <c r="AN265" s="364">
        <v>0</v>
      </c>
      <c r="AO265" s="364">
        <v>0</v>
      </c>
      <c r="AP265" s="460">
        <v>0</v>
      </c>
      <c r="AQ265" s="511">
        <v>0</v>
      </c>
      <c r="AR265" s="511">
        <v>0</v>
      </c>
      <c r="AS265" s="511">
        <v>0</v>
      </c>
      <c r="AT265" s="511">
        <v>0</v>
      </c>
      <c r="AU265" s="511">
        <v>0</v>
      </c>
      <c r="AV265" s="511">
        <v>0</v>
      </c>
      <c r="AW265" s="364" t="s">
        <v>1309</v>
      </c>
    </row>
    <row r="266" spans="2:49" x14ac:dyDescent="0.25">
      <c r="B266" s="462">
        <v>2032</v>
      </c>
      <c r="C266" s="466">
        <v>234314</v>
      </c>
      <c r="D266" s="462" t="s">
        <v>701</v>
      </c>
      <c r="E266" s="461" t="s">
        <v>792</v>
      </c>
      <c r="F266" s="462"/>
      <c r="G266" s="461"/>
      <c r="H266" s="461" t="s">
        <v>791</v>
      </c>
      <c r="I266" s="461"/>
      <c r="J266" s="461">
        <v>2013</v>
      </c>
      <c r="K266" s="461" t="s">
        <v>765</v>
      </c>
      <c r="L266" s="461"/>
      <c r="M266" s="461" t="s">
        <v>779</v>
      </c>
      <c r="N266" s="465">
        <v>43997</v>
      </c>
      <c r="O266" s="465">
        <v>43997</v>
      </c>
      <c r="P266" s="461"/>
      <c r="Q266" s="462">
        <v>300</v>
      </c>
      <c r="R266" s="462">
        <v>14040</v>
      </c>
      <c r="S266" s="513">
        <v>90000</v>
      </c>
      <c r="T266" s="462">
        <v>14046</v>
      </c>
      <c r="U266" s="463">
        <v>72500</v>
      </c>
      <c r="V266" s="463">
        <f t="shared" si="73"/>
        <v>17500</v>
      </c>
      <c r="W266" s="464">
        <v>25000</v>
      </c>
      <c r="X266" s="462">
        <v>51260</v>
      </c>
      <c r="Y266" s="463">
        <v>2500</v>
      </c>
      <c r="Z266" s="461" t="s">
        <v>703</v>
      </c>
      <c r="AA266" s="461" t="s">
        <v>704</v>
      </c>
      <c r="AB266" s="461"/>
      <c r="AC266" s="461">
        <v>25</v>
      </c>
      <c r="AD266" s="461" t="s">
        <v>705</v>
      </c>
      <c r="AE266" s="461" t="s">
        <v>703</v>
      </c>
      <c r="AF266" s="462" t="s">
        <v>351</v>
      </c>
      <c r="AG266" s="461"/>
      <c r="AH266" s="462" t="s">
        <v>707</v>
      </c>
      <c r="AI266" s="461">
        <v>0</v>
      </c>
      <c r="AJ266" s="461">
        <v>0</v>
      </c>
      <c r="AL266" s="364">
        <v>0</v>
      </c>
      <c r="AM266" s="364">
        <v>0</v>
      </c>
      <c r="AN266" s="364">
        <v>0</v>
      </c>
      <c r="AO266" s="364">
        <v>0</v>
      </c>
      <c r="AP266" s="460">
        <v>0</v>
      </c>
      <c r="AQ266" s="511">
        <v>0</v>
      </c>
      <c r="AR266" s="511">
        <v>0</v>
      </c>
      <c r="AS266" s="511">
        <v>0</v>
      </c>
      <c r="AT266" s="511">
        <v>0</v>
      </c>
      <c r="AU266" s="511">
        <v>0</v>
      </c>
      <c r="AV266" s="511">
        <v>0</v>
      </c>
      <c r="AW266" s="364" t="s">
        <v>1309</v>
      </c>
    </row>
    <row r="267" spans="2:49" x14ac:dyDescent="0.25">
      <c r="B267" s="462">
        <v>2032</v>
      </c>
      <c r="C267" s="466">
        <v>234313</v>
      </c>
      <c r="D267" s="462" t="s">
        <v>701</v>
      </c>
      <c r="E267" s="461" t="s">
        <v>790</v>
      </c>
      <c r="F267" s="462"/>
      <c r="G267" s="461"/>
      <c r="H267" s="461" t="s">
        <v>789</v>
      </c>
      <c r="I267" s="461"/>
      <c r="J267" s="461">
        <v>2012</v>
      </c>
      <c r="K267" s="461" t="s">
        <v>765</v>
      </c>
      <c r="L267" s="461"/>
      <c r="M267" s="461" t="s">
        <v>779</v>
      </c>
      <c r="N267" s="465">
        <v>43997</v>
      </c>
      <c r="O267" s="465">
        <v>43997</v>
      </c>
      <c r="P267" s="461"/>
      <c r="Q267" s="462">
        <v>300</v>
      </c>
      <c r="R267" s="462">
        <v>14040</v>
      </c>
      <c r="S267" s="513">
        <v>82500</v>
      </c>
      <c r="T267" s="462">
        <v>14046</v>
      </c>
      <c r="U267" s="463">
        <v>66458.34</v>
      </c>
      <c r="V267" s="463">
        <f t="shared" si="73"/>
        <v>16041.660000000003</v>
      </c>
      <c r="W267" s="464">
        <v>22916.67</v>
      </c>
      <c r="X267" s="462">
        <v>51260</v>
      </c>
      <c r="Y267" s="463">
        <v>2291.67</v>
      </c>
      <c r="Z267" s="461" t="s">
        <v>703</v>
      </c>
      <c r="AA267" s="461" t="s">
        <v>704</v>
      </c>
      <c r="AB267" s="461"/>
      <c r="AC267" s="461">
        <v>27</v>
      </c>
      <c r="AD267" s="461" t="s">
        <v>705</v>
      </c>
      <c r="AE267" s="461" t="s">
        <v>703</v>
      </c>
      <c r="AF267" s="462" t="s">
        <v>351</v>
      </c>
      <c r="AG267" s="461"/>
      <c r="AH267" s="462" t="s">
        <v>707</v>
      </c>
      <c r="AI267" s="461">
        <v>0</v>
      </c>
      <c r="AJ267" s="461">
        <v>0</v>
      </c>
      <c r="AL267" s="364">
        <v>0</v>
      </c>
      <c r="AM267" s="364">
        <v>0</v>
      </c>
      <c r="AN267" s="364">
        <v>0</v>
      </c>
      <c r="AO267" s="364">
        <v>0</v>
      </c>
      <c r="AP267" s="460">
        <v>0</v>
      </c>
      <c r="AQ267" s="511">
        <v>0</v>
      </c>
      <c r="AR267" s="511">
        <v>0</v>
      </c>
      <c r="AS267" s="511">
        <v>0</v>
      </c>
      <c r="AT267" s="511">
        <v>0</v>
      </c>
      <c r="AU267" s="511">
        <v>0</v>
      </c>
      <c r="AV267" s="511">
        <v>0</v>
      </c>
      <c r="AW267" s="364" t="s">
        <v>1309</v>
      </c>
    </row>
    <row r="268" spans="2:49" x14ac:dyDescent="0.25">
      <c r="B268" s="462">
        <v>2032</v>
      </c>
      <c r="C268" s="466">
        <v>234312</v>
      </c>
      <c r="D268" s="462" t="s">
        <v>701</v>
      </c>
      <c r="E268" s="461" t="s">
        <v>788</v>
      </c>
      <c r="F268" s="462"/>
      <c r="G268" s="461"/>
      <c r="H268" s="461" t="s">
        <v>787</v>
      </c>
      <c r="I268" s="461"/>
      <c r="J268" s="461">
        <v>2009</v>
      </c>
      <c r="K268" s="461" t="s">
        <v>765</v>
      </c>
      <c r="L268" s="461"/>
      <c r="M268" s="461" t="s">
        <v>779</v>
      </c>
      <c r="N268" s="465">
        <v>43997</v>
      </c>
      <c r="O268" s="465">
        <v>43997</v>
      </c>
      <c r="P268" s="461"/>
      <c r="Q268" s="462">
        <v>300</v>
      </c>
      <c r="R268" s="462">
        <v>14040</v>
      </c>
      <c r="S268" s="513">
        <v>65000</v>
      </c>
      <c r="T268" s="462">
        <v>14046</v>
      </c>
      <c r="U268" s="463">
        <v>52361.120000000003</v>
      </c>
      <c r="V268" s="463">
        <f t="shared" si="73"/>
        <v>12638.879999999997</v>
      </c>
      <c r="W268" s="464">
        <v>18055.560000000001</v>
      </c>
      <c r="X268" s="462">
        <v>51260</v>
      </c>
      <c r="Y268" s="463">
        <v>1805.56</v>
      </c>
      <c r="Z268" s="461" t="s">
        <v>703</v>
      </c>
      <c r="AA268" s="461" t="s">
        <v>704</v>
      </c>
      <c r="AB268" s="461"/>
      <c r="AC268" s="461">
        <v>40</v>
      </c>
      <c r="AD268" s="461" t="s">
        <v>705</v>
      </c>
      <c r="AE268" s="461" t="s">
        <v>703</v>
      </c>
      <c r="AF268" s="462" t="s">
        <v>351</v>
      </c>
      <c r="AG268" s="461"/>
      <c r="AH268" s="462" t="s">
        <v>707</v>
      </c>
      <c r="AI268" s="461">
        <v>0</v>
      </c>
      <c r="AJ268" s="461">
        <v>0</v>
      </c>
      <c r="AL268" s="364">
        <v>0</v>
      </c>
      <c r="AM268" s="364">
        <v>0</v>
      </c>
      <c r="AN268" s="364">
        <v>0</v>
      </c>
      <c r="AO268" s="364">
        <v>0</v>
      </c>
      <c r="AP268" s="460">
        <v>0</v>
      </c>
      <c r="AQ268" s="511">
        <v>0</v>
      </c>
      <c r="AR268" s="511">
        <v>0</v>
      </c>
      <c r="AS268" s="511">
        <v>0</v>
      </c>
      <c r="AT268" s="511">
        <v>0</v>
      </c>
      <c r="AU268" s="511">
        <v>0</v>
      </c>
      <c r="AV268" s="511">
        <v>0</v>
      </c>
      <c r="AW268" s="364" t="s">
        <v>1309</v>
      </c>
    </row>
    <row r="269" spans="2:49" x14ac:dyDescent="0.25">
      <c r="B269" s="462">
        <v>2032</v>
      </c>
      <c r="C269" s="466">
        <v>234311</v>
      </c>
      <c r="D269" s="462" t="s">
        <v>701</v>
      </c>
      <c r="E269" s="461" t="s">
        <v>786</v>
      </c>
      <c r="F269" s="462"/>
      <c r="G269" s="461"/>
      <c r="H269" s="461" t="s">
        <v>785</v>
      </c>
      <c r="I269" s="461"/>
      <c r="J269" s="461">
        <v>2004</v>
      </c>
      <c r="K269" s="461" t="s">
        <v>765</v>
      </c>
      <c r="L269" s="461"/>
      <c r="M269" s="461" t="s">
        <v>779</v>
      </c>
      <c r="N269" s="465">
        <v>43997</v>
      </c>
      <c r="O269" s="465">
        <v>43997</v>
      </c>
      <c r="P269" s="461"/>
      <c r="Q269" s="462">
        <v>0</v>
      </c>
      <c r="R269" s="462">
        <v>14040</v>
      </c>
      <c r="S269" s="513">
        <v>0</v>
      </c>
      <c r="T269" s="462">
        <v>14046</v>
      </c>
      <c r="U269" s="463">
        <v>0</v>
      </c>
      <c r="V269" s="463">
        <f t="shared" si="73"/>
        <v>0</v>
      </c>
      <c r="W269" s="464">
        <v>0</v>
      </c>
      <c r="X269" s="462">
        <v>51260</v>
      </c>
      <c r="Y269" s="463">
        <v>0</v>
      </c>
      <c r="Z269" s="461" t="s">
        <v>703</v>
      </c>
      <c r="AA269" s="461" t="s">
        <v>704</v>
      </c>
      <c r="AB269" s="461"/>
      <c r="AC269" s="461">
        <v>11</v>
      </c>
      <c r="AD269" s="461" t="s">
        <v>705</v>
      </c>
      <c r="AE269" s="461" t="s">
        <v>703</v>
      </c>
      <c r="AF269" s="462" t="s">
        <v>706</v>
      </c>
      <c r="AG269" s="461"/>
      <c r="AH269" s="462" t="s">
        <v>707</v>
      </c>
      <c r="AI269" s="461">
        <v>0</v>
      </c>
      <c r="AJ269" s="461">
        <v>0</v>
      </c>
      <c r="AL269" s="364">
        <v>0</v>
      </c>
      <c r="AM269" s="364">
        <v>0</v>
      </c>
      <c r="AN269" s="364">
        <v>0</v>
      </c>
      <c r="AO269" s="364">
        <v>0</v>
      </c>
      <c r="AP269" s="460">
        <v>0</v>
      </c>
      <c r="AQ269" s="511">
        <v>0</v>
      </c>
      <c r="AR269" s="511">
        <v>0</v>
      </c>
      <c r="AS269" s="511">
        <v>0</v>
      </c>
      <c r="AT269" s="511">
        <v>0</v>
      </c>
      <c r="AU269" s="511">
        <v>0</v>
      </c>
      <c r="AV269" s="511">
        <v>0</v>
      </c>
      <c r="AW269" s="364" t="s">
        <v>1309</v>
      </c>
    </row>
    <row r="270" spans="2:49" x14ac:dyDescent="0.25">
      <c r="B270" s="462">
        <v>2032</v>
      </c>
      <c r="C270" s="466">
        <v>234310</v>
      </c>
      <c r="D270" s="462" t="s">
        <v>701</v>
      </c>
      <c r="E270" s="461" t="s">
        <v>783</v>
      </c>
      <c r="F270" s="462"/>
      <c r="G270" s="461"/>
      <c r="H270" s="461" t="s">
        <v>784</v>
      </c>
      <c r="I270" s="461"/>
      <c r="J270" s="461">
        <v>2003</v>
      </c>
      <c r="K270" s="461" t="s">
        <v>765</v>
      </c>
      <c r="L270" s="461"/>
      <c r="M270" s="461" t="s">
        <v>779</v>
      </c>
      <c r="N270" s="465">
        <v>43997</v>
      </c>
      <c r="O270" s="465">
        <v>43997</v>
      </c>
      <c r="P270" s="461"/>
      <c r="Q270" s="462">
        <v>0</v>
      </c>
      <c r="R270" s="462">
        <v>14040</v>
      </c>
      <c r="S270" s="513">
        <v>0</v>
      </c>
      <c r="T270" s="462">
        <v>14046</v>
      </c>
      <c r="U270" s="463">
        <v>0</v>
      </c>
      <c r="V270" s="463">
        <f t="shared" si="73"/>
        <v>0</v>
      </c>
      <c r="W270" s="464">
        <v>0</v>
      </c>
      <c r="X270" s="462">
        <v>51260</v>
      </c>
      <c r="Y270" s="463">
        <v>0</v>
      </c>
      <c r="Z270" s="461" t="s">
        <v>703</v>
      </c>
      <c r="AA270" s="461" t="s">
        <v>704</v>
      </c>
      <c r="AB270" s="461"/>
      <c r="AC270" s="461">
        <v>45</v>
      </c>
      <c r="AD270" s="461" t="s">
        <v>705</v>
      </c>
      <c r="AE270" s="461" t="s">
        <v>703</v>
      </c>
      <c r="AF270" s="462" t="s">
        <v>706</v>
      </c>
      <c r="AG270" s="461"/>
      <c r="AH270" s="462" t="s">
        <v>707</v>
      </c>
      <c r="AI270" s="461">
        <v>0</v>
      </c>
      <c r="AJ270" s="461">
        <v>0</v>
      </c>
      <c r="AL270" s="364">
        <v>0</v>
      </c>
      <c r="AM270" s="364">
        <v>0</v>
      </c>
      <c r="AN270" s="364">
        <v>0</v>
      </c>
      <c r="AO270" s="364">
        <v>0</v>
      </c>
      <c r="AP270" s="460">
        <v>0</v>
      </c>
      <c r="AQ270" s="511">
        <v>0</v>
      </c>
      <c r="AR270" s="511">
        <v>0</v>
      </c>
      <c r="AS270" s="511">
        <v>0</v>
      </c>
      <c r="AT270" s="511">
        <v>0</v>
      </c>
      <c r="AU270" s="511">
        <v>0</v>
      </c>
      <c r="AV270" s="511">
        <v>0</v>
      </c>
      <c r="AW270" s="364" t="s">
        <v>1309</v>
      </c>
    </row>
    <row r="271" spans="2:49" x14ac:dyDescent="0.25">
      <c r="B271" s="462">
        <v>2032</v>
      </c>
      <c r="C271" s="466">
        <v>234309</v>
      </c>
      <c r="D271" s="462" t="s">
        <v>701</v>
      </c>
      <c r="E271" s="461" t="s">
        <v>783</v>
      </c>
      <c r="F271" s="462"/>
      <c r="G271" s="461"/>
      <c r="H271" s="461" t="s">
        <v>782</v>
      </c>
      <c r="I271" s="461"/>
      <c r="J271" s="461">
        <v>2003</v>
      </c>
      <c r="K271" s="461" t="s">
        <v>765</v>
      </c>
      <c r="L271" s="461"/>
      <c r="M271" s="461" t="s">
        <v>779</v>
      </c>
      <c r="N271" s="465">
        <v>43997</v>
      </c>
      <c r="O271" s="465">
        <v>43997</v>
      </c>
      <c r="P271" s="461"/>
      <c r="Q271" s="462">
        <v>0</v>
      </c>
      <c r="R271" s="462">
        <v>14040</v>
      </c>
      <c r="S271" s="513">
        <v>0</v>
      </c>
      <c r="T271" s="462">
        <v>14046</v>
      </c>
      <c r="U271" s="463">
        <v>0</v>
      </c>
      <c r="V271" s="463">
        <f t="shared" si="73"/>
        <v>0</v>
      </c>
      <c r="W271" s="464">
        <v>0</v>
      </c>
      <c r="X271" s="462">
        <v>51260</v>
      </c>
      <c r="Y271" s="463">
        <v>0</v>
      </c>
      <c r="Z271" s="461" t="s">
        <v>703</v>
      </c>
      <c r="AA271" s="461" t="s">
        <v>704</v>
      </c>
      <c r="AB271" s="461"/>
      <c r="AC271" s="461">
        <v>44</v>
      </c>
      <c r="AD271" s="461" t="s">
        <v>705</v>
      </c>
      <c r="AE271" s="461" t="s">
        <v>703</v>
      </c>
      <c r="AF271" s="462" t="s">
        <v>706</v>
      </c>
      <c r="AG271" s="461"/>
      <c r="AH271" s="462" t="s">
        <v>707</v>
      </c>
      <c r="AI271" s="461">
        <v>0</v>
      </c>
      <c r="AJ271" s="461">
        <v>0</v>
      </c>
      <c r="AL271" s="364">
        <v>0</v>
      </c>
      <c r="AM271" s="364">
        <v>0</v>
      </c>
      <c r="AN271" s="364">
        <v>0</v>
      </c>
      <c r="AO271" s="364">
        <v>0</v>
      </c>
      <c r="AP271" s="460">
        <v>0</v>
      </c>
      <c r="AQ271" s="511">
        <v>0</v>
      </c>
      <c r="AR271" s="511">
        <v>0</v>
      </c>
      <c r="AS271" s="511">
        <v>0</v>
      </c>
      <c r="AT271" s="511">
        <v>0</v>
      </c>
      <c r="AU271" s="511">
        <v>0</v>
      </c>
      <c r="AV271" s="511">
        <v>0</v>
      </c>
      <c r="AW271" s="364" t="s">
        <v>1309</v>
      </c>
    </row>
    <row r="272" spans="2:49" x14ac:dyDescent="0.25">
      <c r="B272" s="462">
        <v>2032</v>
      </c>
      <c r="C272" s="466">
        <v>234308</v>
      </c>
      <c r="D272" s="462" t="s">
        <v>701</v>
      </c>
      <c r="E272" s="461" t="s">
        <v>781</v>
      </c>
      <c r="F272" s="462"/>
      <c r="G272" s="461"/>
      <c r="H272" s="461" t="s">
        <v>780</v>
      </c>
      <c r="I272" s="461"/>
      <c r="J272" s="461">
        <v>1993</v>
      </c>
      <c r="K272" s="461" t="s">
        <v>765</v>
      </c>
      <c r="L272" s="461"/>
      <c r="M272" s="461" t="s">
        <v>779</v>
      </c>
      <c r="N272" s="465">
        <v>43997</v>
      </c>
      <c r="O272" s="465">
        <v>43997</v>
      </c>
      <c r="P272" s="461"/>
      <c r="Q272" s="462">
        <v>0</v>
      </c>
      <c r="R272" s="462">
        <v>14040</v>
      </c>
      <c r="S272" s="513">
        <v>0</v>
      </c>
      <c r="T272" s="462">
        <v>14046</v>
      </c>
      <c r="U272" s="463">
        <v>0</v>
      </c>
      <c r="V272" s="463">
        <f t="shared" si="73"/>
        <v>0</v>
      </c>
      <c r="W272" s="464">
        <v>0</v>
      </c>
      <c r="X272" s="462">
        <v>51260</v>
      </c>
      <c r="Y272" s="463">
        <v>0</v>
      </c>
      <c r="Z272" s="461" t="s">
        <v>703</v>
      </c>
      <c r="AA272" s="461" t="s">
        <v>704</v>
      </c>
      <c r="AB272" s="461"/>
      <c r="AC272" s="461">
        <v>12</v>
      </c>
      <c r="AD272" s="461" t="s">
        <v>705</v>
      </c>
      <c r="AE272" s="461" t="s">
        <v>703</v>
      </c>
      <c r="AF272" s="462" t="s">
        <v>706</v>
      </c>
      <c r="AG272" s="461"/>
      <c r="AH272" s="462" t="s">
        <v>707</v>
      </c>
      <c r="AI272" s="461">
        <v>0</v>
      </c>
      <c r="AJ272" s="461">
        <v>0</v>
      </c>
      <c r="AL272" s="364">
        <v>0</v>
      </c>
      <c r="AM272" s="364">
        <v>0</v>
      </c>
      <c r="AN272" s="364">
        <v>0</v>
      </c>
      <c r="AO272" s="364">
        <v>0</v>
      </c>
      <c r="AP272" s="460">
        <v>0</v>
      </c>
      <c r="AQ272" s="511">
        <v>0</v>
      </c>
      <c r="AR272" s="511">
        <v>0</v>
      </c>
      <c r="AS272" s="511">
        <v>0</v>
      </c>
      <c r="AT272" s="511">
        <v>0</v>
      </c>
      <c r="AU272" s="511">
        <v>0</v>
      </c>
      <c r="AV272" s="511">
        <v>0</v>
      </c>
      <c r="AW272" s="364" t="s">
        <v>1309</v>
      </c>
    </row>
    <row r="273" spans="2:49" x14ac:dyDescent="0.25">
      <c r="B273" s="462">
        <v>2032</v>
      </c>
      <c r="C273" s="466">
        <v>234290</v>
      </c>
      <c r="D273" s="462" t="s">
        <v>701</v>
      </c>
      <c r="E273" s="461" t="s">
        <v>778</v>
      </c>
      <c r="F273" s="462"/>
      <c r="G273" s="461"/>
      <c r="H273" s="461" t="s">
        <v>777</v>
      </c>
      <c r="I273" s="461"/>
      <c r="J273" s="461">
        <v>2018</v>
      </c>
      <c r="K273" s="461" t="s">
        <v>765</v>
      </c>
      <c r="L273" s="461"/>
      <c r="M273" s="461" t="s">
        <v>772</v>
      </c>
      <c r="N273" s="465">
        <v>43997</v>
      </c>
      <c r="O273" s="465">
        <v>43997</v>
      </c>
      <c r="P273" s="461"/>
      <c r="Q273" s="462">
        <v>800</v>
      </c>
      <c r="R273" s="462">
        <v>14040</v>
      </c>
      <c r="S273" s="513">
        <v>215000</v>
      </c>
      <c r="T273" s="462">
        <v>14046</v>
      </c>
      <c r="U273" s="463">
        <v>64947.91</v>
      </c>
      <c r="V273" s="463">
        <f t="shared" si="73"/>
        <v>150052.09</v>
      </c>
      <c r="W273" s="464">
        <v>22395.83</v>
      </c>
      <c r="X273" s="462">
        <v>51260</v>
      </c>
      <c r="Y273" s="463">
        <v>2239.58</v>
      </c>
      <c r="Z273" s="461" t="s">
        <v>703</v>
      </c>
      <c r="AA273" s="461" t="s">
        <v>704</v>
      </c>
      <c r="AB273" s="461"/>
      <c r="AC273" s="461">
        <v>6</v>
      </c>
      <c r="AD273" s="461" t="s">
        <v>705</v>
      </c>
      <c r="AE273" s="461" t="s">
        <v>703</v>
      </c>
      <c r="AF273" s="462" t="s">
        <v>351</v>
      </c>
      <c r="AG273" s="461"/>
      <c r="AH273" s="462" t="s">
        <v>707</v>
      </c>
      <c r="AI273" s="461">
        <v>0</v>
      </c>
      <c r="AJ273" s="461">
        <v>0</v>
      </c>
      <c r="AL273" s="364">
        <v>0</v>
      </c>
      <c r="AM273" s="364">
        <v>0</v>
      </c>
      <c r="AN273" s="364">
        <v>0</v>
      </c>
      <c r="AO273" s="364">
        <v>0</v>
      </c>
      <c r="AP273" s="460">
        <v>0</v>
      </c>
      <c r="AQ273" s="511">
        <v>0</v>
      </c>
      <c r="AR273" s="511">
        <v>0</v>
      </c>
      <c r="AS273" s="511">
        <v>0</v>
      </c>
      <c r="AT273" s="511">
        <v>0</v>
      </c>
      <c r="AU273" s="511">
        <v>0</v>
      </c>
      <c r="AV273" s="511">
        <v>0</v>
      </c>
      <c r="AW273" s="364" t="s">
        <v>1309</v>
      </c>
    </row>
    <row r="274" spans="2:49" x14ac:dyDescent="0.25">
      <c r="B274" s="462">
        <v>2032</v>
      </c>
      <c r="C274" s="466">
        <v>234289</v>
      </c>
      <c r="D274" s="462" t="s">
        <v>701</v>
      </c>
      <c r="E274" s="461" t="s">
        <v>776</v>
      </c>
      <c r="F274" s="462"/>
      <c r="G274" s="461"/>
      <c r="H274" s="461" t="s">
        <v>775</v>
      </c>
      <c r="I274" s="461"/>
      <c r="J274" s="461">
        <v>2012</v>
      </c>
      <c r="K274" s="461" t="s">
        <v>765</v>
      </c>
      <c r="L274" s="461"/>
      <c r="M274" s="461" t="s">
        <v>772</v>
      </c>
      <c r="N274" s="465">
        <v>43997</v>
      </c>
      <c r="O274" s="465">
        <v>43997</v>
      </c>
      <c r="P274" s="461"/>
      <c r="Q274" s="462">
        <v>300</v>
      </c>
      <c r="R274" s="462">
        <v>14040</v>
      </c>
      <c r="S274" s="513">
        <v>80000</v>
      </c>
      <c r="T274" s="462">
        <v>14046</v>
      </c>
      <c r="U274" s="463">
        <v>64444.42</v>
      </c>
      <c r="V274" s="463">
        <f t="shared" si="73"/>
        <v>15555.580000000002</v>
      </c>
      <c r="W274" s="464">
        <v>22222.22</v>
      </c>
      <c r="X274" s="462">
        <v>51260</v>
      </c>
      <c r="Y274" s="463">
        <v>2222.2199999999998</v>
      </c>
      <c r="Z274" s="461" t="s">
        <v>703</v>
      </c>
      <c r="AA274" s="461" t="s">
        <v>704</v>
      </c>
      <c r="AB274" s="461"/>
      <c r="AC274" s="461">
        <v>24</v>
      </c>
      <c r="AD274" s="461" t="s">
        <v>705</v>
      </c>
      <c r="AE274" s="461" t="s">
        <v>703</v>
      </c>
      <c r="AF274" s="462" t="s">
        <v>351</v>
      </c>
      <c r="AG274" s="461"/>
      <c r="AH274" s="462" t="s">
        <v>707</v>
      </c>
      <c r="AI274" s="461">
        <v>0</v>
      </c>
      <c r="AJ274" s="461">
        <v>0</v>
      </c>
      <c r="AL274" s="364">
        <v>0</v>
      </c>
      <c r="AM274" s="364">
        <v>0</v>
      </c>
      <c r="AN274" s="364">
        <v>0</v>
      </c>
      <c r="AO274" s="364">
        <v>0</v>
      </c>
      <c r="AP274" s="460">
        <v>0</v>
      </c>
      <c r="AQ274" s="511">
        <v>0</v>
      </c>
      <c r="AR274" s="511">
        <v>0</v>
      </c>
      <c r="AS274" s="511">
        <v>0</v>
      </c>
      <c r="AT274" s="511">
        <v>0</v>
      </c>
      <c r="AU274" s="511">
        <v>0</v>
      </c>
      <c r="AV274" s="511">
        <v>0</v>
      </c>
      <c r="AW274" s="364" t="s">
        <v>1309</v>
      </c>
    </row>
    <row r="275" spans="2:49" x14ac:dyDescent="0.25">
      <c r="B275" s="462">
        <v>2032</v>
      </c>
      <c r="C275" s="466">
        <v>234288</v>
      </c>
      <c r="D275" s="462" t="s">
        <v>701</v>
      </c>
      <c r="E275" s="461" t="s">
        <v>774</v>
      </c>
      <c r="F275" s="462"/>
      <c r="G275" s="461"/>
      <c r="H275" s="461" t="s">
        <v>773</v>
      </c>
      <c r="I275" s="461"/>
      <c r="J275" s="461">
        <v>2007</v>
      </c>
      <c r="K275" s="461" t="s">
        <v>765</v>
      </c>
      <c r="L275" s="461"/>
      <c r="M275" s="461" t="s">
        <v>772</v>
      </c>
      <c r="N275" s="465">
        <v>43997</v>
      </c>
      <c r="O275" s="465">
        <v>43997</v>
      </c>
      <c r="P275" s="461"/>
      <c r="Q275" s="462">
        <v>300</v>
      </c>
      <c r="R275" s="462">
        <v>14040</v>
      </c>
      <c r="S275" s="513">
        <v>2500</v>
      </c>
      <c r="T275" s="462">
        <v>14046</v>
      </c>
      <c r="U275" s="463">
        <v>2013.88</v>
      </c>
      <c r="V275" s="463">
        <f t="shared" si="73"/>
        <v>486.11999999999989</v>
      </c>
      <c r="W275" s="464">
        <v>694.44</v>
      </c>
      <c r="X275" s="462">
        <v>51260</v>
      </c>
      <c r="Y275" s="463">
        <v>69.44</v>
      </c>
      <c r="Z275" s="461" t="s">
        <v>703</v>
      </c>
      <c r="AA275" s="461" t="s">
        <v>704</v>
      </c>
      <c r="AB275" s="461"/>
      <c r="AC275" s="461">
        <v>38</v>
      </c>
      <c r="AD275" s="461" t="s">
        <v>705</v>
      </c>
      <c r="AE275" s="461" t="s">
        <v>703</v>
      </c>
      <c r="AF275" s="462" t="s">
        <v>351</v>
      </c>
      <c r="AG275" s="461"/>
      <c r="AH275" s="462" t="s">
        <v>707</v>
      </c>
      <c r="AI275" s="461">
        <v>0</v>
      </c>
      <c r="AJ275" s="461">
        <v>0</v>
      </c>
      <c r="AL275" s="364">
        <v>0</v>
      </c>
      <c r="AM275" s="364">
        <v>0</v>
      </c>
      <c r="AN275" s="364">
        <v>0</v>
      </c>
      <c r="AO275" s="364">
        <v>0</v>
      </c>
      <c r="AP275" s="460">
        <v>0</v>
      </c>
      <c r="AQ275" s="511">
        <v>0</v>
      </c>
      <c r="AR275" s="511">
        <v>0</v>
      </c>
      <c r="AS275" s="511">
        <v>0</v>
      </c>
      <c r="AT275" s="511">
        <v>0</v>
      </c>
      <c r="AU275" s="511">
        <v>0</v>
      </c>
      <c r="AV275" s="511">
        <v>0</v>
      </c>
      <c r="AW275" s="364" t="s">
        <v>1309</v>
      </c>
    </row>
    <row r="276" spans="2:49" x14ac:dyDescent="0.25">
      <c r="B276" s="462">
        <v>2032</v>
      </c>
      <c r="C276" s="466">
        <v>234287</v>
      </c>
      <c r="D276" s="462" t="s">
        <v>701</v>
      </c>
      <c r="E276" s="461" t="s">
        <v>771</v>
      </c>
      <c r="F276" s="462"/>
      <c r="G276" s="461"/>
      <c r="H276" s="461" t="s">
        <v>770</v>
      </c>
      <c r="I276" s="461"/>
      <c r="J276" s="461">
        <v>2020</v>
      </c>
      <c r="K276" s="461" t="s">
        <v>765</v>
      </c>
      <c r="L276" s="461"/>
      <c r="M276" s="461" t="s">
        <v>761</v>
      </c>
      <c r="N276" s="465">
        <v>43997</v>
      </c>
      <c r="O276" s="465">
        <v>43997</v>
      </c>
      <c r="P276" s="461"/>
      <c r="Q276" s="462">
        <v>1000</v>
      </c>
      <c r="R276" s="462">
        <v>14040</v>
      </c>
      <c r="S276" s="513">
        <v>175000</v>
      </c>
      <c r="T276" s="462">
        <v>14046</v>
      </c>
      <c r="U276" s="463">
        <v>42291.66</v>
      </c>
      <c r="V276" s="463">
        <f t="shared" ref="V276:V280" si="74">S276-U276</f>
        <v>132708.34</v>
      </c>
      <c r="W276" s="464">
        <v>14583.33</v>
      </c>
      <c r="X276" s="462">
        <v>51260</v>
      </c>
      <c r="Y276" s="463">
        <v>1458.33</v>
      </c>
      <c r="Z276" s="461" t="s">
        <v>703</v>
      </c>
      <c r="AA276" s="461" t="s">
        <v>704</v>
      </c>
      <c r="AB276" s="461"/>
      <c r="AC276" s="461">
        <v>35</v>
      </c>
      <c r="AD276" s="461" t="s">
        <v>705</v>
      </c>
      <c r="AE276" s="461" t="s">
        <v>703</v>
      </c>
      <c r="AF276" s="462" t="s">
        <v>351</v>
      </c>
      <c r="AG276" s="461"/>
      <c r="AH276" s="462" t="s">
        <v>707</v>
      </c>
      <c r="AI276" s="461">
        <v>0</v>
      </c>
      <c r="AJ276" s="461">
        <v>0</v>
      </c>
      <c r="AL276" s="364">
        <v>0</v>
      </c>
      <c r="AM276" s="364">
        <v>0</v>
      </c>
      <c r="AN276" s="364">
        <v>0</v>
      </c>
      <c r="AO276" s="364">
        <v>0</v>
      </c>
      <c r="AP276" s="460">
        <v>0</v>
      </c>
      <c r="AQ276" s="511">
        <v>0</v>
      </c>
      <c r="AR276" s="511">
        <v>0</v>
      </c>
      <c r="AS276" s="511">
        <v>0</v>
      </c>
      <c r="AT276" s="511">
        <v>0</v>
      </c>
      <c r="AU276" s="511">
        <v>0</v>
      </c>
      <c r="AV276" s="511">
        <v>0</v>
      </c>
      <c r="AW276" s="364" t="s">
        <v>1309</v>
      </c>
    </row>
    <row r="277" spans="2:49" x14ac:dyDescent="0.25">
      <c r="B277" s="462">
        <v>2032</v>
      </c>
      <c r="C277" s="466">
        <v>234286</v>
      </c>
      <c r="D277" s="462" t="s">
        <v>701</v>
      </c>
      <c r="E277" s="461" t="s">
        <v>769</v>
      </c>
      <c r="F277" s="462"/>
      <c r="G277" s="461"/>
      <c r="H277" s="461" t="s">
        <v>768</v>
      </c>
      <c r="I277" s="461"/>
      <c r="J277" s="461">
        <v>2021</v>
      </c>
      <c r="K277" s="461" t="s">
        <v>765</v>
      </c>
      <c r="L277" s="461"/>
      <c r="M277" s="461" t="s">
        <v>761</v>
      </c>
      <c r="N277" s="465">
        <v>43997</v>
      </c>
      <c r="O277" s="465">
        <v>43997</v>
      </c>
      <c r="P277" s="461"/>
      <c r="Q277" s="462">
        <v>0</v>
      </c>
      <c r="R277" s="462">
        <v>14040</v>
      </c>
      <c r="S277" s="513">
        <v>0</v>
      </c>
      <c r="T277" s="462">
        <v>14046</v>
      </c>
      <c r="U277" s="463">
        <v>0</v>
      </c>
      <c r="V277" s="463">
        <f t="shared" si="74"/>
        <v>0</v>
      </c>
      <c r="W277" s="464">
        <v>0</v>
      </c>
      <c r="X277" s="462">
        <v>51260</v>
      </c>
      <c r="Y277" s="463">
        <v>0</v>
      </c>
      <c r="Z277" s="461" t="s">
        <v>703</v>
      </c>
      <c r="AA277" s="461" t="s">
        <v>704</v>
      </c>
      <c r="AB277" s="461"/>
      <c r="AC277" s="461">
        <v>33</v>
      </c>
      <c r="AD277" s="461" t="s">
        <v>705</v>
      </c>
      <c r="AE277" s="461" t="s">
        <v>703</v>
      </c>
      <c r="AF277" s="462" t="s">
        <v>706</v>
      </c>
      <c r="AG277" s="461"/>
      <c r="AH277" s="462" t="s">
        <v>707</v>
      </c>
      <c r="AI277" s="461">
        <v>0</v>
      </c>
      <c r="AJ277" s="461">
        <v>0</v>
      </c>
      <c r="AL277" s="364">
        <v>0</v>
      </c>
      <c r="AM277" s="364">
        <v>0</v>
      </c>
      <c r="AN277" s="364">
        <v>0</v>
      </c>
      <c r="AO277" s="364">
        <v>0</v>
      </c>
      <c r="AP277" s="460">
        <v>0</v>
      </c>
      <c r="AQ277" s="511">
        <v>0</v>
      </c>
      <c r="AR277" s="511">
        <v>0</v>
      </c>
      <c r="AS277" s="511">
        <v>0</v>
      </c>
      <c r="AT277" s="511">
        <v>0</v>
      </c>
      <c r="AU277" s="511">
        <v>0</v>
      </c>
      <c r="AV277" s="511">
        <v>0</v>
      </c>
      <c r="AW277" s="364" t="s">
        <v>1309</v>
      </c>
    </row>
    <row r="278" spans="2:49" x14ac:dyDescent="0.25">
      <c r="B278" s="462">
        <v>2032</v>
      </c>
      <c r="C278" s="466">
        <v>234285</v>
      </c>
      <c r="D278" s="462" t="s">
        <v>701</v>
      </c>
      <c r="E278" s="461" t="s">
        <v>767</v>
      </c>
      <c r="F278" s="462"/>
      <c r="G278" s="461"/>
      <c r="H278" s="461" t="s">
        <v>766</v>
      </c>
      <c r="I278" s="461"/>
      <c r="J278" s="461">
        <v>2008</v>
      </c>
      <c r="K278" s="461" t="s">
        <v>765</v>
      </c>
      <c r="L278" s="461"/>
      <c r="M278" s="461" t="s">
        <v>761</v>
      </c>
      <c r="N278" s="465">
        <v>43997</v>
      </c>
      <c r="O278" s="465">
        <v>43997</v>
      </c>
      <c r="P278" s="461"/>
      <c r="Q278" s="462">
        <v>0</v>
      </c>
      <c r="R278" s="462">
        <v>14040</v>
      </c>
      <c r="S278" s="513">
        <v>0</v>
      </c>
      <c r="T278" s="462">
        <v>14046</v>
      </c>
      <c r="U278" s="463">
        <v>0</v>
      </c>
      <c r="V278" s="463">
        <f t="shared" si="74"/>
        <v>0</v>
      </c>
      <c r="W278" s="464">
        <v>0</v>
      </c>
      <c r="X278" s="462">
        <v>51260</v>
      </c>
      <c r="Y278" s="463">
        <v>0</v>
      </c>
      <c r="Z278" s="461" t="s">
        <v>703</v>
      </c>
      <c r="AA278" s="461" t="s">
        <v>704</v>
      </c>
      <c r="AB278" s="461"/>
      <c r="AC278" s="461">
        <v>48</v>
      </c>
      <c r="AD278" s="461" t="s">
        <v>705</v>
      </c>
      <c r="AE278" s="461" t="s">
        <v>703</v>
      </c>
      <c r="AF278" s="462" t="s">
        <v>706</v>
      </c>
      <c r="AG278" s="461"/>
      <c r="AH278" s="462" t="s">
        <v>707</v>
      </c>
      <c r="AI278" s="461">
        <v>0</v>
      </c>
      <c r="AJ278" s="461">
        <v>0</v>
      </c>
      <c r="AL278" s="364">
        <v>0</v>
      </c>
      <c r="AM278" s="364">
        <v>0</v>
      </c>
      <c r="AN278" s="364">
        <v>0</v>
      </c>
      <c r="AO278" s="364">
        <v>0</v>
      </c>
      <c r="AP278" s="460">
        <v>0</v>
      </c>
      <c r="AQ278" s="511">
        <v>0</v>
      </c>
      <c r="AR278" s="511">
        <v>0</v>
      </c>
      <c r="AS278" s="511">
        <v>0</v>
      </c>
      <c r="AT278" s="511">
        <v>0</v>
      </c>
      <c r="AU278" s="511">
        <v>0</v>
      </c>
      <c r="AV278" s="511">
        <v>0</v>
      </c>
      <c r="AW278" s="364" t="s">
        <v>1309</v>
      </c>
    </row>
    <row r="279" spans="2:49" x14ac:dyDescent="0.25">
      <c r="B279" s="462">
        <v>2032</v>
      </c>
      <c r="C279" s="466">
        <v>234284</v>
      </c>
      <c r="D279" s="462" t="s">
        <v>701</v>
      </c>
      <c r="E279" s="461" t="s">
        <v>764</v>
      </c>
      <c r="F279" s="462"/>
      <c r="G279" s="461"/>
      <c r="H279" s="461" t="s">
        <v>763</v>
      </c>
      <c r="I279" s="461"/>
      <c r="J279" s="461">
        <v>2013</v>
      </c>
      <c r="K279" s="461" t="s">
        <v>762</v>
      </c>
      <c r="L279" s="461" t="s">
        <v>762</v>
      </c>
      <c r="M279" s="461" t="s">
        <v>761</v>
      </c>
      <c r="N279" s="465">
        <v>43997</v>
      </c>
      <c r="O279" s="465">
        <v>43997</v>
      </c>
      <c r="P279" s="461"/>
      <c r="Q279" s="462">
        <v>300</v>
      </c>
      <c r="R279" s="462">
        <v>14040</v>
      </c>
      <c r="S279" s="513">
        <v>15000</v>
      </c>
      <c r="T279" s="462">
        <v>14046</v>
      </c>
      <c r="U279" s="463">
        <v>12083.34</v>
      </c>
      <c r="V279" s="463">
        <f t="shared" si="74"/>
        <v>2916.66</v>
      </c>
      <c r="W279" s="464">
        <v>4166.67</v>
      </c>
      <c r="X279" s="462">
        <v>51260</v>
      </c>
      <c r="Y279" s="463">
        <v>416.67</v>
      </c>
      <c r="Z279" s="461" t="s">
        <v>703</v>
      </c>
      <c r="AA279" s="461" t="s">
        <v>704</v>
      </c>
      <c r="AB279" s="461"/>
      <c r="AC279" s="461">
        <v>49</v>
      </c>
      <c r="AD279" s="461" t="s">
        <v>705</v>
      </c>
      <c r="AE279" s="461" t="s">
        <v>703</v>
      </c>
      <c r="AF279" s="462" t="s">
        <v>351</v>
      </c>
      <c r="AG279" s="461"/>
      <c r="AH279" s="462" t="s">
        <v>707</v>
      </c>
      <c r="AI279" s="461">
        <v>0</v>
      </c>
      <c r="AJ279" s="461">
        <v>0</v>
      </c>
      <c r="AL279" s="364">
        <v>0</v>
      </c>
      <c r="AM279" s="364">
        <v>0</v>
      </c>
      <c r="AN279" s="364">
        <v>0</v>
      </c>
      <c r="AO279" s="364">
        <v>0</v>
      </c>
      <c r="AP279" s="460">
        <v>0</v>
      </c>
      <c r="AQ279" s="511">
        <v>0</v>
      </c>
      <c r="AR279" s="511">
        <v>0</v>
      </c>
      <c r="AS279" s="511">
        <v>0</v>
      </c>
      <c r="AT279" s="511">
        <v>0</v>
      </c>
      <c r="AU279" s="511">
        <v>0</v>
      </c>
      <c r="AV279" s="511">
        <v>0</v>
      </c>
      <c r="AW279" s="364" t="s">
        <v>1309</v>
      </c>
    </row>
    <row r="280" spans="2:49" x14ac:dyDescent="0.25">
      <c r="B280" s="462">
        <v>2032</v>
      </c>
      <c r="C280" s="466">
        <v>234281</v>
      </c>
      <c r="D280" s="462" t="s">
        <v>701</v>
      </c>
      <c r="E280" s="461" t="s">
        <v>760</v>
      </c>
      <c r="F280" s="462"/>
      <c r="G280" s="461"/>
      <c r="H280" s="461"/>
      <c r="I280" s="461"/>
      <c r="J280" s="461">
        <v>0</v>
      </c>
      <c r="K280" s="461" t="s">
        <v>759</v>
      </c>
      <c r="L280" s="461"/>
      <c r="M280" s="461"/>
      <c r="N280" s="465">
        <v>44006</v>
      </c>
      <c r="O280" s="465">
        <v>44006</v>
      </c>
      <c r="P280" s="461" t="s">
        <v>758</v>
      </c>
      <c r="Q280" s="462">
        <v>1000</v>
      </c>
      <c r="R280" s="462">
        <v>14100</v>
      </c>
      <c r="S280" s="513">
        <v>11440.76</v>
      </c>
      <c r="T280" s="462">
        <v>14106</v>
      </c>
      <c r="U280" s="463">
        <v>2669.52</v>
      </c>
      <c r="V280" s="463">
        <f t="shared" si="74"/>
        <v>8771.24</v>
      </c>
      <c r="W280" s="464">
        <v>953.4</v>
      </c>
      <c r="X280" s="462">
        <v>70260</v>
      </c>
      <c r="Y280" s="463">
        <v>95.34</v>
      </c>
      <c r="Z280" s="461" t="s">
        <v>701</v>
      </c>
      <c r="AA280" s="461"/>
      <c r="AB280" s="461">
        <v>26196</v>
      </c>
      <c r="AC280" s="461"/>
      <c r="AD280" s="461" t="s">
        <v>705</v>
      </c>
      <c r="AE280" s="461" t="s">
        <v>703</v>
      </c>
      <c r="AF280" s="462" t="s">
        <v>351</v>
      </c>
      <c r="AG280" s="461"/>
      <c r="AH280" s="462" t="s">
        <v>707</v>
      </c>
      <c r="AI280" s="461">
        <v>0</v>
      </c>
      <c r="AJ280" s="461">
        <v>0</v>
      </c>
      <c r="AL280" s="364" t="s">
        <v>303</v>
      </c>
      <c r="AM280" s="364">
        <v>6</v>
      </c>
      <c r="AN280" s="364">
        <v>2020</v>
      </c>
      <c r="AO280" s="364">
        <v>2030</v>
      </c>
      <c r="AP280" s="460">
        <v>2030.5</v>
      </c>
      <c r="AQ280" s="511">
        <v>95.339666666666673</v>
      </c>
      <c r="AR280" s="511">
        <v>1144.076</v>
      </c>
      <c r="AS280" s="511">
        <v>1144.076</v>
      </c>
      <c r="AT280" s="511">
        <v>1144.076</v>
      </c>
      <c r="AU280" s="511">
        <v>2288.152</v>
      </c>
      <c r="AV280" s="511">
        <v>9152.6080000000002</v>
      </c>
      <c r="AW280" s="364" t="s">
        <v>339</v>
      </c>
    </row>
  </sheetData>
  <autoFilter ref="B13:AW280" xr:uid="{3B18B4BD-44B4-48B5-8F9C-376533FBA554}"/>
  <mergeCells count="5">
    <mergeCell ref="M9:N9"/>
    <mergeCell ref="M10:N10"/>
    <mergeCell ref="M11:N11"/>
    <mergeCell ref="C10:D10"/>
    <mergeCell ref="F9:J10"/>
  </mergeCells>
  <dataValidations disablePrompts="1" count="1">
    <dataValidation type="list" allowBlank="1" showInputMessage="1" showErrorMessage="1" sqref="S9" xr:uid="{00000000-0002-0000-0100-000000000000}">
      <formula1>"P,C,All"</formula1>
    </dataValidation>
  </dataValidations>
  <pageMargins left="0.7" right="0.7" top="0.75" bottom="0.75" header="0.3" footer="0.3"/>
  <pageSetup scale="60" fitToWidth="2" pageOrder="overThenDown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BA391"/>
  <sheetViews>
    <sheetView showGridLines="0" view="pageBreakPreview" zoomScale="85" zoomScaleNormal="100" zoomScaleSheetLayoutView="85" workbookViewId="0">
      <pane ySplit="11" topLeftCell="A60" activePane="bottomLeft" state="frozen"/>
      <selection activeCell="M65" sqref="M65"/>
      <selection pane="bottomLeft" activeCell="J101" sqref="J101"/>
    </sheetView>
  </sheetViews>
  <sheetFormatPr defaultColWidth="14.6640625" defaultRowHeight="12" outlineLevelRow="1" x14ac:dyDescent="0.2"/>
  <cols>
    <col min="1" max="1" width="17" style="59" customWidth="1"/>
    <col min="2" max="2" width="8.1640625" style="60" customWidth="1"/>
    <col min="3" max="3" width="9.33203125" style="33" customWidth="1"/>
    <col min="4" max="4" width="45.1640625" style="33" bestFit="1" customWidth="1"/>
    <col min="5" max="5" width="15.83203125" style="33" customWidth="1"/>
    <col min="6" max="6" width="11" style="33" bestFit="1" customWidth="1"/>
    <col min="7" max="7" width="15.1640625" style="60" customWidth="1"/>
    <col min="8" max="8" width="1.33203125" style="33" customWidth="1"/>
    <col min="9" max="9" width="10.1640625" style="33" customWidth="1"/>
    <col min="10" max="10" width="7.1640625" style="60" customWidth="1"/>
    <col min="11" max="11" width="9.6640625" style="62" customWidth="1"/>
    <col min="12" max="12" width="10.83203125" style="33" bestFit="1" customWidth="1"/>
    <col min="13" max="14" width="13.33203125" style="33" bestFit="1" customWidth="1"/>
    <col min="15" max="15" width="11.83203125" style="33" customWidth="1"/>
    <col min="16" max="16" width="11.5" style="33" bestFit="1" customWidth="1"/>
    <col min="17" max="17" width="11.6640625" style="33" bestFit="1" customWidth="1"/>
    <col min="18" max="18" width="2.6640625" style="33" customWidth="1"/>
    <col min="19" max="20" width="13.1640625" style="33" bestFit="1" customWidth="1"/>
    <col min="21" max="21" width="12.83203125" style="33" bestFit="1" customWidth="1"/>
    <col min="22" max="253" width="14.6640625" style="33"/>
    <col min="254" max="254" width="17" style="33" customWidth="1"/>
    <col min="255" max="255" width="8.1640625" style="33" customWidth="1"/>
    <col min="256" max="256" width="9.33203125" style="33" customWidth="1"/>
    <col min="257" max="257" width="45.1640625" style="33" bestFit="1" customWidth="1"/>
    <col min="258" max="258" width="9.5" style="33" customWidth="1"/>
    <col min="259" max="259" width="7.1640625" style="33" customWidth="1"/>
    <col min="260" max="260" width="11.6640625" style="33" customWidth="1"/>
    <col min="261" max="261" width="1.33203125" style="33" customWidth="1"/>
    <col min="262" max="262" width="10.1640625" style="33" customWidth="1"/>
    <col min="263" max="263" width="7.1640625" style="33" customWidth="1"/>
    <col min="264" max="264" width="9.6640625" style="33" customWidth="1"/>
    <col min="265" max="265" width="10.83203125" style="33" bestFit="1" customWidth="1"/>
    <col min="266" max="267" width="13.33203125" style="33" bestFit="1" customWidth="1"/>
    <col min="268" max="268" width="11.83203125" style="33" customWidth="1"/>
    <col min="269" max="269" width="11.5" style="33" bestFit="1" customWidth="1"/>
    <col min="270" max="270" width="11.6640625" style="33" bestFit="1" customWidth="1"/>
    <col min="271" max="271" width="2.6640625" style="33" customWidth="1"/>
    <col min="272" max="273" width="13.1640625" style="33" bestFit="1" customWidth="1"/>
    <col min="274" max="274" width="12.83203125" style="33" bestFit="1" customWidth="1"/>
    <col min="275" max="275" width="14.6640625" style="33"/>
    <col min="276" max="276" width="11.6640625" style="33" bestFit="1" customWidth="1"/>
    <col min="277" max="277" width="12.83203125" style="33" bestFit="1" customWidth="1"/>
    <col min="278" max="509" width="14.6640625" style="33"/>
    <col min="510" max="510" width="17" style="33" customWidth="1"/>
    <col min="511" max="511" width="8.1640625" style="33" customWidth="1"/>
    <col min="512" max="512" width="9.33203125" style="33" customWidth="1"/>
    <col min="513" max="513" width="45.1640625" style="33" bestFit="1" customWidth="1"/>
    <col min="514" max="514" width="9.5" style="33" customWidth="1"/>
    <col min="515" max="515" width="7.1640625" style="33" customWidth="1"/>
    <col min="516" max="516" width="11.6640625" style="33" customWidth="1"/>
    <col min="517" max="517" width="1.33203125" style="33" customWidth="1"/>
    <col min="518" max="518" width="10.1640625" style="33" customWidth="1"/>
    <col min="519" max="519" width="7.1640625" style="33" customWidth="1"/>
    <col min="520" max="520" width="9.6640625" style="33" customWidth="1"/>
    <col min="521" max="521" width="10.83203125" style="33" bestFit="1" customWidth="1"/>
    <col min="522" max="523" width="13.33203125" style="33" bestFit="1" customWidth="1"/>
    <col min="524" max="524" width="11.83203125" style="33" customWidth="1"/>
    <col min="525" max="525" width="11.5" style="33" bestFit="1" customWidth="1"/>
    <col min="526" max="526" width="11.6640625" style="33" bestFit="1" customWidth="1"/>
    <col min="527" max="527" width="2.6640625" style="33" customWidth="1"/>
    <col min="528" max="529" width="13.1640625" style="33" bestFit="1" customWidth="1"/>
    <col min="530" max="530" width="12.83203125" style="33" bestFit="1" customWidth="1"/>
    <col min="531" max="531" width="14.6640625" style="33"/>
    <col min="532" max="532" width="11.6640625" style="33" bestFit="1" customWidth="1"/>
    <col min="533" max="533" width="12.83203125" style="33" bestFit="1" customWidth="1"/>
    <col min="534" max="765" width="14.6640625" style="33"/>
    <col min="766" max="766" width="17" style="33" customWidth="1"/>
    <col min="767" max="767" width="8.1640625" style="33" customWidth="1"/>
    <col min="768" max="768" width="9.33203125" style="33" customWidth="1"/>
    <col min="769" max="769" width="45.1640625" style="33" bestFit="1" customWidth="1"/>
    <col min="770" max="770" width="9.5" style="33" customWidth="1"/>
    <col min="771" max="771" width="7.1640625" style="33" customWidth="1"/>
    <col min="772" max="772" width="11.6640625" style="33" customWidth="1"/>
    <col min="773" max="773" width="1.33203125" style="33" customWidth="1"/>
    <col min="774" max="774" width="10.1640625" style="33" customWidth="1"/>
    <col min="775" max="775" width="7.1640625" style="33" customWidth="1"/>
    <col min="776" max="776" width="9.6640625" style="33" customWidth="1"/>
    <col min="777" max="777" width="10.83203125" style="33" bestFit="1" customWidth="1"/>
    <col min="778" max="779" width="13.33203125" style="33" bestFit="1" customWidth="1"/>
    <col min="780" max="780" width="11.83203125" style="33" customWidth="1"/>
    <col min="781" max="781" width="11.5" style="33" bestFit="1" customWidth="1"/>
    <col min="782" max="782" width="11.6640625" style="33" bestFit="1" customWidth="1"/>
    <col min="783" max="783" width="2.6640625" style="33" customWidth="1"/>
    <col min="784" max="785" width="13.1640625" style="33" bestFit="1" customWidth="1"/>
    <col min="786" max="786" width="12.83203125" style="33" bestFit="1" customWidth="1"/>
    <col min="787" max="787" width="14.6640625" style="33"/>
    <col min="788" max="788" width="11.6640625" style="33" bestFit="1" customWidth="1"/>
    <col min="789" max="789" width="12.83203125" style="33" bestFit="1" customWidth="1"/>
    <col min="790" max="1021" width="14.6640625" style="33"/>
    <col min="1022" max="1022" width="17" style="33" customWidth="1"/>
    <col min="1023" max="1023" width="8.1640625" style="33" customWidth="1"/>
    <col min="1024" max="1024" width="9.33203125" style="33" customWidth="1"/>
    <col min="1025" max="1025" width="45.1640625" style="33" bestFit="1" customWidth="1"/>
    <col min="1026" max="1026" width="9.5" style="33" customWidth="1"/>
    <col min="1027" max="1027" width="7.1640625" style="33" customWidth="1"/>
    <col min="1028" max="1028" width="11.6640625" style="33" customWidth="1"/>
    <col min="1029" max="1029" width="1.33203125" style="33" customWidth="1"/>
    <col min="1030" max="1030" width="10.1640625" style="33" customWidth="1"/>
    <col min="1031" max="1031" width="7.1640625" style="33" customWidth="1"/>
    <col min="1032" max="1032" width="9.6640625" style="33" customWidth="1"/>
    <col min="1033" max="1033" width="10.83203125" style="33" bestFit="1" customWidth="1"/>
    <col min="1034" max="1035" width="13.33203125" style="33" bestFit="1" customWidth="1"/>
    <col min="1036" max="1036" width="11.83203125" style="33" customWidth="1"/>
    <col min="1037" max="1037" width="11.5" style="33" bestFit="1" customWidth="1"/>
    <col min="1038" max="1038" width="11.6640625" style="33" bestFit="1" customWidth="1"/>
    <col min="1039" max="1039" width="2.6640625" style="33" customWidth="1"/>
    <col min="1040" max="1041" width="13.1640625" style="33" bestFit="1" customWidth="1"/>
    <col min="1042" max="1042" width="12.83203125" style="33" bestFit="1" customWidth="1"/>
    <col min="1043" max="1043" width="14.6640625" style="33"/>
    <col min="1044" max="1044" width="11.6640625" style="33" bestFit="1" customWidth="1"/>
    <col min="1045" max="1045" width="12.83203125" style="33" bestFit="1" customWidth="1"/>
    <col min="1046" max="1277" width="14.6640625" style="33"/>
    <col min="1278" max="1278" width="17" style="33" customWidth="1"/>
    <col min="1279" max="1279" width="8.1640625" style="33" customWidth="1"/>
    <col min="1280" max="1280" width="9.33203125" style="33" customWidth="1"/>
    <col min="1281" max="1281" width="45.1640625" style="33" bestFit="1" customWidth="1"/>
    <col min="1282" max="1282" width="9.5" style="33" customWidth="1"/>
    <col min="1283" max="1283" width="7.1640625" style="33" customWidth="1"/>
    <col min="1284" max="1284" width="11.6640625" style="33" customWidth="1"/>
    <col min="1285" max="1285" width="1.33203125" style="33" customWidth="1"/>
    <col min="1286" max="1286" width="10.1640625" style="33" customWidth="1"/>
    <col min="1287" max="1287" width="7.1640625" style="33" customWidth="1"/>
    <col min="1288" max="1288" width="9.6640625" style="33" customWidth="1"/>
    <col min="1289" max="1289" width="10.83203125" style="33" bestFit="1" customWidth="1"/>
    <col min="1290" max="1291" width="13.33203125" style="33" bestFit="1" customWidth="1"/>
    <col min="1292" max="1292" width="11.83203125" style="33" customWidth="1"/>
    <col min="1293" max="1293" width="11.5" style="33" bestFit="1" customWidth="1"/>
    <col min="1294" max="1294" width="11.6640625" style="33" bestFit="1" customWidth="1"/>
    <col min="1295" max="1295" width="2.6640625" style="33" customWidth="1"/>
    <col min="1296" max="1297" width="13.1640625" style="33" bestFit="1" customWidth="1"/>
    <col min="1298" max="1298" width="12.83203125" style="33" bestFit="1" customWidth="1"/>
    <col min="1299" max="1299" width="14.6640625" style="33"/>
    <col min="1300" max="1300" width="11.6640625" style="33" bestFit="1" customWidth="1"/>
    <col min="1301" max="1301" width="12.83203125" style="33" bestFit="1" customWidth="1"/>
    <col min="1302" max="1533" width="14.6640625" style="33"/>
    <col min="1534" max="1534" width="17" style="33" customWidth="1"/>
    <col min="1535" max="1535" width="8.1640625" style="33" customWidth="1"/>
    <col min="1536" max="1536" width="9.33203125" style="33" customWidth="1"/>
    <col min="1537" max="1537" width="45.1640625" style="33" bestFit="1" customWidth="1"/>
    <col min="1538" max="1538" width="9.5" style="33" customWidth="1"/>
    <col min="1539" max="1539" width="7.1640625" style="33" customWidth="1"/>
    <col min="1540" max="1540" width="11.6640625" style="33" customWidth="1"/>
    <col min="1541" max="1541" width="1.33203125" style="33" customWidth="1"/>
    <col min="1542" max="1542" width="10.1640625" style="33" customWidth="1"/>
    <col min="1543" max="1543" width="7.1640625" style="33" customWidth="1"/>
    <col min="1544" max="1544" width="9.6640625" style="33" customWidth="1"/>
    <col min="1545" max="1545" width="10.83203125" style="33" bestFit="1" customWidth="1"/>
    <col min="1546" max="1547" width="13.33203125" style="33" bestFit="1" customWidth="1"/>
    <col min="1548" max="1548" width="11.83203125" style="33" customWidth="1"/>
    <col min="1549" max="1549" width="11.5" style="33" bestFit="1" customWidth="1"/>
    <col min="1550" max="1550" width="11.6640625" style="33" bestFit="1" customWidth="1"/>
    <col min="1551" max="1551" width="2.6640625" style="33" customWidth="1"/>
    <col min="1552" max="1553" width="13.1640625" style="33" bestFit="1" customWidth="1"/>
    <col min="1554" max="1554" width="12.83203125" style="33" bestFit="1" customWidth="1"/>
    <col min="1555" max="1555" width="14.6640625" style="33"/>
    <col min="1556" max="1556" width="11.6640625" style="33" bestFit="1" customWidth="1"/>
    <col min="1557" max="1557" width="12.83203125" style="33" bestFit="1" customWidth="1"/>
    <col min="1558" max="1789" width="14.6640625" style="33"/>
    <col min="1790" max="1790" width="17" style="33" customWidth="1"/>
    <col min="1791" max="1791" width="8.1640625" style="33" customWidth="1"/>
    <col min="1792" max="1792" width="9.33203125" style="33" customWidth="1"/>
    <col min="1793" max="1793" width="45.1640625" style="33" bestFit="1" customWidth="1"/>
    <col min="1794" max="1794" width="9.5" style="33" customWidth="1"/>
    <col min="1795" max="1795" width="7.1640625" style="33" customWidth="1"/>
    <col min="1796" max="1796" width="11.6640625" style="33" customWidth="1"/>
    <col min="1797" max="1797" width="1.33203125" style="33" customWidth="1"/>
    <col min="1798" max="1798" width="10.1640625" style="33" customWidth="1"/>
    <col min="1799" max="1799" width="7.1640625" style="33" customWidth="1"/>
    <col min="1800" max="1800" width="9.6640625" style="33" customWidth="1"/>
    <col min="1801" max="1801" width="10.83203125" style="33" bestFit="1" customWidth="1"/>
    <col min="1802" max="1803" width="13.33203125" style="33" bestFit="1" customWidth="1"/>
    <col min="1804" max="1804" width="11.83203125" style="33" customWidth="1"/>
    <col min="1805" max="1805" width="11.5" style="33" bestFit="1" customWidth="1"/>
    <col min="1806" max="1806" width="11.6640625" style="33" bestFit="1" customWidth="1"/>
    <col min="1807" max="1807" width="2.6640625" style="33" customWidth="1"/>
    <col min="1808" max="1809" width="13.1640625" style="33" bestFit="1" customWidth="1"/>
    <col min="1810" max="1810" width="12.83203125" style="33" bestFit="1" customWidth="1"/>
    <col min="1811" max="1811" width="14.6640625" style="33"/>
    <col min="1812" max="1812" width="11.6640625" style="33" bestFit="1" customWidth="1"/>
    <col min="1813" max="1813" width="12.83203125" style="33" bestFit="1" customWidth="1"/>
    <col min="1814" max="2045" width="14.6640625" style="33"/>
    <col min="2046" max="2046" width="17" style="33" customWidth="1"/>
    <col min="2047" max="2047" width="8.1640625" style="33" customWidth="1"/>
    <col min="2048" max="2048" width="9.33203125" style="33" customWidth="1"/>
    <col min="2049" max="2049" width="45.1640625" style="33" bestFit="1" customWidth="1"/>
    <col min="2050" max="2050" width="9.5" style="33" customWidth="1"/>
    <col min="2051" max="2051" width="7.1640625" style="33" customWidth="1"/>
    <col min="2052" max="2052" width="11.6640625" style="33" customWidth="1"/>
    <col min="2053" max="2053" width="1.33203125" style="33" customWidth="1"/>
    <col min="2054" max="2054" width="10.1640625" style="33" customWidth="1"/>
    <col min="2055" max="2055" width="7.1640625" style="33" customWidth="1"/>
    <col min="2056" max="2056" width="9.6640625" style="33" customWidth="1"/>
    <col min="2057" max="2057" width="10.83203125" style="33" bestFit="1" customWidth="1"/>
    <col min="2058" max="2059" width="13.33203125" style="33" bestFit="1" customWidth="1"/>
    <col min="2060" max="2060" width="11.83203125" style="33" customWidth="1"/>
    <col min="2061" max="2061" width="11.5" style="33" bestFit="1" customWidth="1"/>
    <col min="2062" max="2062" width="11.6640625" style="33" bestFit="1" customWidth="1"/>
    <col min="2063" max="2063" width="2.6640625" style="33" customWidth="1"/>
    <col min="2064" max="2065" width="13.1640625" style="33" bestFit="1" customWidth="1"/>
    <col min="2066" max="2066" width="12.83203125" style="33" bestFit="1" customWidth="1"/>
    <col min="2067" max="2067" width="14.6640625" style="33"/>
    <col min="2068" max="2068" width="11.6640625" style="33" bestFit="1" customWidth="1"/>
    <col min="2069" max="2069" width="12.83203125" style="33" bestFit="1" customWidth="1"/>
    <col min="2070" max="2301" width="14.6640625" style="33"/>
    <col min="2302" max="2302" width="17" style="33" customWidth="1"/>
    <col min="2303" max="2303" width="8.1640625" style="33" customWidth="1"/>
    <col min="2304" max="2304" width="9.33203125" style="33" customWidth="1"/>
    <col min="2305" max="2305" width="45.1640625" style="33" bestFit="1" customWidth="1"/>
    <col min="2306" max="2306" width="9.5" style="33" customWidth="1"/>
    <col min="2307" max="2307" width="7.1640625" style="33" customWidth="1"/>
    <col min="2308" max="2308" width="11.6640625" style="33" customWidth="1"/>
    <col min="2309" max="2309" width="1.33203125" style="33" customWidth="1"/>
    <col min="2310" max="2310" width="10.1640625" style="33" customWidth="1"/>
    <col min="2311" max="2311" width="7.1640625" style="33" customWidth="1"/>
    <col min="2312" max="2312" width="9.6640625" style="33" customWidth="1"/>
    <col min="2313" max="2313" width="10.83203125" style="33" bestFit="1" customWidth="1"/>
    <col min="2314" max="2315" width="13.33203125" style="33" bestFit="1" customWidth="1"/>
    <col min="2316" max="2316" width="11.83203125" style="33" customWidth="1"/>
    <col min="2317" max="2317" width="11.5" style="33" bestFit="1" customWidth="1"/>
    <col min="2318" max="2318" width="11.6640625" style="33" bestFit="1" customWidth="1"/>
    <col min="2319" max="2319" width="2.6640625" style="33" customWidth="1"/>
    <col min="2320" max="2321" width="13.1640625" style="33" bestFit="1" customWidth="1"/>
    <col min="2322" max="2322" width="12.83203125" style="33" bestFit="1" customWidth="1"/>
    <col min="2323" max="2323" width="14.6640625" style="33"/>
    <col min="2324" max="2324" width="11.6640625" style="33" bestFit="1" customWidth="1"/>
    <col min="2325" max="2325" width="12.83203125" style="33" bestFit="1" customWidth="1"/>
    <col min="2326" max="2557" width="14.6640625" style="33"/>
    <col min="2558" max="2558" width="17" style="33" customWidth="1"/>
    <col min="2559" max="2559" width="8.1640625" style="33" customWidth="1"/>
    <col min="2560" max="2560" width="9.33203125" style="33" customWidth="1"/>
    <col min="2561" max="2561" width="45.1640625" style="33" bestFit="1" customWidth="1"/>
    <col min="2562" max="2562" width="9.5" style="33" customWidth="1"/>
    <col min="2563" max="2563" width="7.1640625" style="33" customWidth="1"/>
    <col min="2564" max="2564" width="11.6640625" style="33" customWidth="1"/>
    <col min="2565" max="2565" width="1.33203125" style="33" customWidth="1"/>
    <col min="2566" max="2566" width="10.1640625" style="33" customWidth="1"/>
    <col min="2567" max="2567" width="7.1640625" style="33" customWidth="1"/>
    <col min="2568" max="2568" width="9.6640625" style="33" customWidth="1"/>
    <col min="2569" max="2569" width="10.83203125" style="33" bestFit="1" customWidth="1"/>
    <col min="2570" max="2571" width="13.33203125" style="33" bestFit="1" customWidth="1"/>
    <col min="2572" max="2572" width="11.83203125" style="33" customWidth="1"/>
    <col min="2573" max="2573" width="11.5" style="33" bestFit="1" customWidth="1"/>
    <col min="2574" max="2574" width="11.6640625" style="33" bestFit="1" customWidth="1"/>
    <col min="2575" max="2575" width="2.6640625" style="33" customWidth="1"/>
    <col min="2576" max="2577" width="13.1640625" style="33" bestFit="1" customWidth="1"/>
    <col min="2578" max="2578" width="12.83203125" style="33" bestFit="1" customWidth="1"/>
    <col min="2579" max="2579" width="14.6640625" style="33"/>
    <col min="2580" max="2580" width="11.6640625" style="33" bestFit="1" customWidth="1"/>
    <col min="2581" max="2581" width="12.83203125" style="33" bestFit="1" customWidth="1"/>
    <col min="2582" max="2813" width="14.6640625" style="33"/>
    <col min="2814" max="2814" width="17" style="33" customWidth="1"/>
    <col min="2815" max="2815" width="8.1640625" style="33" customWidth="1"/>
    <col min="2816" max="2816" width="9.33203125" style="33" customWidth="1"/>
    <col min="2817" max="2817" width="45.1640625" style="33" bestFit="1" customWidth="1"/>
    <col min="2818" max="2818" width="9.5" style="33" customWidth="1"/>
    <col min="2819" max="2819" width="7.1640625" style="33" customWidth="1"/>
    <col min="2820" max="2820" width="11.6640625" style="33" customWidth="1"/>
    <col min="2821" max="2821" width="1.33203125" style="33" customWidth="1"/>
    <col min="2822" max="2822" width="10.1640625" style="33" customWidth="1"/>
    <col min="2823" max="2823" width="7.1640625" style="33" customWidth="1"/>
    <col min="2824" max="2824" width="9.6640625" style="33" customWidth="1"/>
    <col min="2825" max="2825" width="10.83203125" style="33" bestFit="1" customWidth="1"/>
    <col min="2826" max="2827" width="13.33203125" style="33" bestFit="1" customWidth="1"/>
    <col min="2828" max="2828" width="11.83203125" style="33" customWidth="1"/>
    <col min="2829" max="2829" width="11.5" style="33" bestFit="1" customWidth="1"/>
    <col min="2830" max="2830" width="11.6640625" style="33" bestFit="1" customWidth="1"/>
    <col min="2831" max="2831" width="2.6640625" style="33" customWidth="1"/>
    <col min="2832" max="2833" width="13.1640625" style="33" bestFit="1" customWidth="1"/>
    <col min="2834" max="2834" width="12.83203125" style="33" bestFit="1" customWidth="1"/>
    <col min="2835" max="2835" width="14.6640625" style="33"/>
    <col min="2836" max="2836" width="11.6640625" style="33" bestFit="1" customWidth="1"/>
    <col min="2837" max="2837" width="12.83203125" style="33" bestFit="1" customWidth="1"/>
    <col min="2838" max="3069" width="14.6640625" style="33"/>
    <col min="3070" max="3070" width="17" style="33" customWidth="1"/>
    <col min="3071" max="3071" width="8.1640625" style="33" customWidth="1"/>
    <col min="3072" max="3072" width="9.33203125" style="33" customWidth="1"/>
    <col min="3073" max="3073" width="45.1640625" style="33" bestFit="1" customWidth="1"/>
    <col min="3074" max="3074" width="9.5" style="33" customWidth="1"/>
    <col min="3075" max="3075" width="7.1640625" style="33" customWidth="1"/>
    <col min="3076" max="3076" width="11.6640625" style="33" customWidth="1"/>
    <col min="3077" max="3077" width="1.33203125" style="33" customWidth="1"/>
    <col min="3078" max="3078" width="10.1640625" style="33" customWidth="1"/>
    <col min="3079" max="3079" width="7.1640625" style="33" customWidth="1"/>
    <col min="3080" max="3080" width="9.6640625" style="33" customWidth="1"/>
    <col min="3081" max="3081" width="10.83203125" style="33" bestFit="1" customWidth="1"/>
    <col min="3082" max="3083" width="13.33203125" style="33" bestFit="1" customWidth="1"/>
    <col min="3084" max="3084" width="11.83203125" style="33" customWidth="1"/>
    <col min="3085" max="3085" width="11.5" style="33" bestFit="1" customWidth="1"/>
    <col min="3086" max="3086" width="11.6640625" style="33" bestFit="1" customWidth="1"/>
    <col min="3087" max="3087" width="2.6640625" style="33" customWidth="1"/>
    <col min="3088" max="3089" width="13.1640625" style="33" bestFit="1" customWidth="1"/>
    <col min="3090" max="3090" width="12.83203125" style="33" bestFit="1" customWidth="1"/>
    <col min="3091" max="3091" width="14.6640625" style="33"/>
    <col min="3092" max="3092" width="11.6640625" style="33" bestFit="1" customWidth="1"/>
    <col min="3093" max="3093" width="12.83203125" style="33" bestFit="1" customWidth="1"/>
    <col min="3094" max="3325" width="14.6640625" style="33"/>
    <col min="3326" max="3326" width="17" style="33" customWidth="1"/>
    <col min="3327" max="3327" width="8.1640625" style="33" customWidth="1"/>
    <col min="3328" max="3328" width="9.33203125" style="33" customWidth="1"/>
    <col min="3329" max="3329" width="45.1640625" style="33" bestFit="1" customWidth="1"/>
    <col min="3330" max="3330" width="9.5" style="33" customWidth="1"/>
    <col min="3331" max="3331" width="7.1640625" style="33" customWidth="1"/>
    <col min="3332" max="3332" width="11.6640625" style="33" customWidth="1"/>
    <col min="3333" max="3333" width="1.33203125" style="33" customWidth="1"/>
    <col min="3334" max="3334" width="10.1640625" style="33" customWidth="1"/>
    <col min="3335" max="3335" width="7.1640625" style="33" customWidth="1"/>
    <col min="3336" max="3336" width="9.6640625" style="33" customWidth="1"/>
    <col min="3337" max="3337" width="10.83203125" style="33" bestFit="1" customWidth="1"/>
    <col min="3338" max="3339" width="13.33203125" style="33" bestFit="1" customWidth="1"/>
    <col min="3340" max="3340" width="11.83203125" style="33" customWidth="1"/>
    <col min="3341" max="3341" width="11.5" style="33" bestFit="1" customWidth="1"/>
    <col min="3342" max="3342" width="11.6640625" style="33" bestFit="1" customWidth="1"/>
    <col min="3343" max="3343" width="2.6640625" style="33" customWidth="1"/>
    <col min="3344" max="3345" width="13.1640625" style="33" bestFit="1" customWidth="1"/>
    <col min="3346" max="3346" width="12.83203125" style="33" bestFit="1" customWidth="1"/>
    <col min="3347" max="3347" width="14.6640625" style="33"/>
    <col min="3348" max="3348" width="11.6640625" style="33" bestFit="1" customWidth="1"/>
    <col min="3349" max="3349" width="12.83203125" style="33" bestFit="1" customWidth="1"/>
    <col min="3350" max="3581" width="14.6640625" style="33"/>
    <col min="3582" max="3582" width="17" style="33" customWidth="1"/>
    <col min="3583" max="3583" width="8.1640625" style="33" customWidth="1"/>
    <col min="3584" max="3584" width="9.33203125" style="33" customWidth="1"/>
    <col min="3585" max="3585" width="45.1640625" style="33" bestFit="1" customWidth="1"/>
    <col min="3586" max="3586" width="9.5" style="33" customWidth="1"/>
    <col min="3587" max="3587" width="7.1640625" style="33" customWidth="1"/>
    <col min="3588" max="3588" width="11.6640625" style="33" customWidth="1"/>
    <col min="3589" max="3589" width="1.33203125" style="33" customWidth="1"/>
    <col min="3590" max="3590" width="10.1640625" style="33" customWidth="1"/>
    <col min="3591" max="3591" width="7.1640625" style="33" customWidth="1"/>
    <col min="3592" max="3592" width="9.6640625" style="33" customWidth="1"/>
    <col min="3593" max="3593" width="10.83203125" style="33" bestFit="1" customWidth="1"/>
    <col min="3594" max="3595" width="13.33203125" style="33" bestFit="1" customWidth="1"/>
    <col min="3596" max="3596" width="11.83203125" style="33" customWidth="1"/>
    <col min="3597" max="3597" width="11.5" style="33" bestFit="1" customWidth="1"/>
    <col min="3598" max="3598" width="11.6640625" style="33" bestFit="1" customWidth="1"/>
    <col min="3599" max="3599" width="2.6640625" style="33" customWidth="1"/>
    <col min="3600" max="3601" width="13.1640625" style="33" bestFit="1" customWidth="1"/>
    <col min="3602" max="3602" width="12.83203125" style="33" bestFit="1" customWidth="1"/>
    <col min="3603" max="3603" width="14.6640625" style="33"/>
    <col min="3604" max="3604" width="11.6640625" style="33" bestFit="1" customWidth="1"/>
    <col min="3605" max="3605" width="12.83203125" style="33" bestFit="1" customWidth="1"/>
    <col min="3606" max="3837" width="14.6640625" style="33"/>
    <col min="3838" max="3838" width="17" style="33" customWidth="1"/>
    <col min="3839" max="3839" width="8.1640625" style="33" customWidth="1"/>
    <col min="3840" max="3840" width="9.33203125" style="33" customWidth="1"/>
    <col min="3841" max="3841" width="45.1640625" style="33" bestFit="1" customWidth="1"/>
    <col min="3842" max="3842" width="9.5" style="33" customWidth="1"/>
    <col min="3843" max="3843" width="7.1640625" style="33" customWidth="1"/>
    <col min="3844" max="3844" width="11.6640625" style="33" customWidth="1"/>
    <col min="3845" max="3845" width="1.33203125" style="33" customWidth="1"/>
    <col min="3846" max="3846" width="10.1640625" style="33" customWidth="1"/>
    <col min="3847" max="3847" width="7.1640625" style="33" customWidth="1"/>
    <col min="3848" max="3848" width="9.6640625" style="33" customWidth="1"/>
    <col min="3849" max="3849" width="10.83203125" style="33" bestFit="1" customWidth="1"/>
    <col min="3850" max="3851" width="13.33203125" style="33" bestFit="1" customWidth="1"/>
    <col min="3852" max="3852" width="11.83203125" style="33" customWidth="1"/>
    <col min="3853" max="3853" width="11.5" style="33" bestFit="1" customWidth="1"/>
    <col min="3854" max="3854" width="11.6640625" style="33" bestFit="1" customWidth="1"/>
    <col min="3855" max="3855" width="2.6640625" style="33" customWidth="1"/>
    <col min="3856" max="3857" width="13.1640625" style="33" bestFit="1" customWidth="1"/>
    <col min="3858" max="3858" width="12.83203125" style="33" bestFit="1" customWidth="1"/>
    <col min="3859" max="3859" width="14.6640625" style="33"/>
    <col min="3860" max="3860" width="11.6640625" style="33" bestFit="1" customWidth="1"/>
    <col min="3861" max="3861" width="12.83203125" style="33" bestFit="1" customWidth="1"/>
    <col min="3862" max="4093" width="14.6640625" style="33"/>
    <col min="4094" max="4094" width="17" style="33" customWidth="1"/>
    <col min="4095" max="4095" width="8.1640625" style="33" customWidth="1"/>
    <col min="4096" max="4096" width="9.33203125" style="33" customWidth="1"/>
    <col min="4097" max="4097" width="45.1640625" style="33" bestFit="1" customWidth="1"/>
    <col min="4098" max="4098" width="9.5" style="33" customWidth="1"/>
    <col min="4099" max="4099" width="7.1640625" style="33" customWidth="1"/>
    <col min="4100" max="4100" width="11.6640625" style="33" customWidth="1"/>
    <col min="4101" max="4101" width="1.33203125" style="33" customWidth="1"/>
    <col min="4102" max="4102" width="10.1640625" style="33" customWidth="1"/>
    <col min="4103" max="4103" width="7.1640625" style="33" customWidth="1"/>
    <col min="4104" max="4104" width="9.6640625" style="33" customWidth="1"/>
    <col min="4105" max="4105" width="10.83203125" style="33" bestFit="1" customWidth="1"/>
    <col min="4106" max="4107" width="13.33203125" style="33" bestFit="1" customWidth="1"/>
    <col min="4108" max="4108" width="11.83203125" style="33" customWidth="1"/>
    <col min="4109" max="4109" width="11.5" style="33" bestFit="1" customWidth="1"/>
    <col min="4110" max="4110" width="11.6640625" style="33" bestFit="1" customWidth="1"/>
    <col min="4111" max="4111" width="2.6640625" style="33" customWidth="1"/>
    <col min="4112" max="4113" width="13.1640625" style="33" bestFit="1" customWidth="1"/>
    <col min="4114" max="4114" width="12.83203125" style="33" bestFit="1" customWidth="1"/>
    <col min="4115" max="4115" width="14.6640625" style="33"/>
    <col min="4116" max="4116" width="11.6640625" style="33" bestFit="1" customWidth="1"/>
    <col min="4117" max="4117" width="12.83203125" style="33" bestFit="1" customWidth="1"/>
    <col min="4118" max="4349" width="14.6640625" style="33"/>
    <col min="4350" max="4350" width="17" style="33" customWidth="1"/>
    <col min="4351" max="4351" width="8.1640625" style="33" customWidth="1"/>
    <col min="4352" max="4352" width="9.33203125" style="33" customWidth="1"/>
    <col min="4353" max="4353" width="45.1640625" style="33" bestFit="1" customWidth="1"/>
    <col min="4354" max="4354" width="9.5" style="33" customWidth="1"/>
    <col min="4355" max="4355" width="7.1640625" style="33" customWidth="1"/>
    <col min="4356" max="4356" width="11.6640625" style="33" customWidth="1"/>
    <col min="4357" max="4357" width="1.33203125" style="33" customWidth="1"/>
    <col min="4358" max="4358" width="10.1640625" style="33" customWidth="1"/>
    <col min="4359" max="4359" width="7.1640625" style="33" customWidth="1"/>
    <col min="4360" max="4360" width="9.6640625" style="33" customWidth="1"/>
    <col min="4361" max="4361" width="10.83203125" style="33" bestFit="1" customWidth="1"/>
    <col min="4362" max="4363" width="13.33203125" style="33" bestFit="1" customWidth="1"/>
    <col min="4364" max="4364" width="11.83203125" style="33" customWidth="1"/>
    <col min="4365" max="4365" width="11.5" style="33" bestFit="1" customWidth="1"/>
    <col min="4366" max="4366" width="11.6640625" style="33" bestFit="1" customWidth="1"/>
    <col min="4367" max="4367" width="2.6640625" style="33" customWidth="1"/>
    <col min="4368" max="4369" width="13.1640625" style="33" bestFit="1" customWidth="1"/>
    <col min="4370" max="4370" width="12.83203125" style="33" bestFit="1" customWidth="1"/>
    <col min="4371" max="4371" width="14.6640625" style="33"/>
    <col min="4372" max="4372" width="11.6640625" style="33" bestFit="1" customWidth="1"/>
    <col min="4373" max="4373" width="12.83203125" style="33" bestFit="1" customWidth="1"/>
    <col min="4374" max="4605" width="14.6640625" style="33"/>
    <col min="4606" max="4606" width="17" style="33" customWidth="1"/>
    <col min="4607" max="4607" width="8.1640625" style="33" customWidth="1"/>
    <col min="4608" max="4608" width="9.33203125" style="33" customWidth="1"/>
    <col min="4609" max="4609" width="45.1640625" style="33" bestFit="1" customWidth="1"/>
    <col min="4610" max="4610" width="9.5" style="33" customWidth="1"/>
    <col min="4611" max="4611" width="7.1640625" style="33" customWidth="1"/>
    <col min="4612" max="4612" width="11.6640625" style="33" customWidth="1"/>
    <col min="4613" max="4613" width="1.33203125" style="33" customWidth="1"/>
    <col min="4614" max="4614" width="10.1640625" style="33" customWidth="1"/>
    <col min="4615" max="4615" width="7.1640625" style="33" customWidth="1"/>
    <col min="4616" max="4616" width="9.6640625" style="33" customWidth="1"/>
    <col min="4617" max="4617" width="10.83203125" style="33" bestFit="1" customWidth="1"/>
    <col min="4618" max="4619" width="13.33203125" style="33" bestFit="1" customWidth="1"/>
    <col min="4620" max="4620" width="11.83203125" style="33" customWidth="1"/>
    <col min="4621" max="4621" width="11.5" style="33" bestFit="1" customWidth="1"/>
    <col min="4622" max="4622" width="11.6640625" style="33" bestFit="1" customWidth="1"/>
    <col min="4623" max="4623" width="2.6640625" style="33" customWidth="1"/>
    <col min="4624" max="4625" width="13.1640625" style="33" bestFit="1" customWidth="1"/>
    <col min="4626" max="4626" width="12.83203125" style="33" bestFit="1" customWidth="1"/>
    <col min="4627" max="4627" width="14.6640625" style="33"/>
    <col min="4628" max="4628" width="11.6640625" style="33" bestFit="1" customWidth="1"/>
    <col min="4629" max="4629" width="12.83203125" style="33" bestFit="1" customWidth="1"/>
    <col min="4630" max="4861" width="14.6640625" style="33"/>
    <col min="4862" max="4862" width="17" style="33" customWidth="1"/>
    <col min="4863" max="4863" width="8.1640625" style="33" customWidth="1"/>
    <col min="4864" max="4864" width="9.33203125" style="33" customWidth="1"/>
    <col min="4865" max="4865" width="45.1640625" style="33" bestFit="1" customWidth="1"/>
    <col min="4866" max="4866" width="9.5" style="33" customWidth="1"/>
    <col min="4867" max="4867" width="7.1640625" style="33" customWidth="1"/>
    <col min="4868" max="4868" width="11.6640625" style="33" customWidth="1"/>
    <col min="4869" max="4869" width="1.33203125" style="33" customWidth="1"/>
    <col min="4870" max="4870" width="10.1640625" style="33" customWidth="1"/>
    <col min="4871" max="4871" width="7.1640625" style="33" customWidth="1"/>
    <col min="4872" max="4872" width="9.6640625" style="33" customWidth="1"/>
    <col min="4873" max="4873" width="10.83203125" style="33" bestFit="1" customWidth="1"/>
    <col min="4874" max="4875" width="13.33203125" style="33" bestFit="1" customWidth="1"/>
    <col min="4876" max="4876" width="11.83203125" style="33" customWidth="1"/>
    <col min="4877" max="4877" width="11.5" style="33" bestFit="1" customWidth="1"/>
    <col min="4878" max="4878" width="11.6640625" style="33" bestFit="1" customWidth="1"/>
    <col min="4879" max="4879" width="2.6640625" style="33" customWidth="1"/>
    <col min="4880" max="4881" width="13.1640625" style="33" bestFit="1" customWidth="1"/>
    <col min="4882" max="4882" width="12.83203125" style="33" bestFit="1" customWidth="1"/>
    <col min="4883" max="4883" width="14.6640625" style="33"/>
    <col min="4884" max="4884" width="11.6640625" style="33" bestFit="1" customWidth="1"/>
    <col min="4885" max="4885" width="12.83203125" style="33" bestFit="1" customWidth="1"/>
    <col min="4886" max="5117" width="14.6640625" style="33"/>
    <col min="5118" max="5118" width="17" style="33" customWidth="1"/>
    <col min="5119" max="5119" width="8.1640625" style="33" customWidth="1"/>
    <col min="5120" max="5120" width="9.33203125" style="33" customWidth="1"/>
    <col min="5121" max="5121" width="45.1640625" style="33" bestFit="1" customWidth="1"/>
    <col min="5122" max="5122" width="9.5" style="33" customWidth="1"/>
    <col min="5123" max="5123" width="7.1640625" style="33" customWidth="1"/>
    <col min="5124" max="5124" width="11.6640625" style="33" customWidth="1"/>
    <col min="5125" max="5125" width="1.33203125" style="33" customWidth="1"/>
    <col min="5126" max="5126" width="10.1640625" style="33" customWidth="1"/>
    <col min="5127" max="5127" width="7.1640625" style="33" customWidth="1"/>
    <col min="5128" max="5128" width="9.6640625" style="33" customWidth="1"/>
    <col min="5129" max="5129" width="10.83203125" style="33" bestFit="1" customWidth="1"/>
    <col min="5130" max="5131" width="13.33203125" style="33" bestFit="1" customWidth="1"/>
    <col min="5132" max="5132" width="11.83203125" style="33" customWidth="1"/>
    <col min="5133" max="5133" width="11.5" style="33" bestFit="1" customWidth="1"/>
    <col min="5134" max="5134" width="11.6640625" style="33" bestFit="1" customWidth="1"/>
    <col min="5135" max="5135" width="2.6640625" style="33" customWidth="1"/>
    <col min="5136" max="5137" width="13.1640625" style="33" bestFit="1" customWidth="1"/>
    <col min="5138" max="5138" width="12.83203125" style="33" bestFit="1" customWidth="1"/>
    <col min="5139" max="5139" width="14.6640625" style="33"/>
    <col min="5140" max="5140" width="11.6640625" style="33" bestFit="1" customWidth="1"/>
    <col min="5141" max="5141" width="12.83203125" style="33" bestFit="1" customWidth="1"/>
    <col min="5142" max="5373" width="14.6640625" style="33"/>
    <col min="5374" max="5374" width="17" style="33" customWidth="1"/>
    <col min="5375" max="5375" width="8.1640625" style="33" customWidth="1"/>
    <col min="5376" max="5376" width="9.33203125" style="33" customWidth="1"/>
    <col min="5377" max="5377" width="45.1640625" style="33" bestFit="1" customWidth="1"/>
    <col min="5378" max="5378" width="9.5" style="33" customWidth="1"/>
    <col min="5379" max="5379" width="7.1640625" style="33" customWidth="1"/>
    <col min="5380" max="5380" width="11.6640625" style="33" customWidth="1"/>
    <col min="5381" max="5381" width="1.33203125" style="33" customWidth="1"/>
    <col min="5382" max="5382" width="10.1640625" style="33" customWidth="1"/>
    <col min="5383" max="5383" width="7.1640625" style="33" customWidth="1"/>
    <col min="5384" max="5384" width="9.6640625" style="33" customWidth="1"/>
    <col min="5385" max="5385" width="10.83203125" style="33" bestFit="1" customWidth="1"/>
    <col min="5386" max="5387" width="13.33203125" style="33" bestFit="1" customWidth="1"/>
    <col min="5388" max="5388" width="11.83203125" style="33" customWidth="1"/>
    <col min="5389" max="5389" width="11.5" style="33" bestFit="1" customWidth="1"/>
    <col min="5390" max="5390" width="11.6640625" style="33" bestFit="1" customWidth="1"/>
    <col min="5391" max="5391" width="2.6640625" style="33" customWidth="1"/>
    <col min="5392" max="5393" width="13.1640625" style="33" bestFit="1" customWidth="1"/>
    <col min="5394" max="5394" width="12.83203125" style="33" bestFit="1" customWidth="1"/>
    <col min="5395" max="5395" width="14.6640625" style="33"/>
    <col min="5396" max="5396" width="11.6640625" style="33" bestFit="1" customWidth="1"/>
    <col min="5397" max="5397" width="12.83203125" style="33" bestFit="1" customWidth="1"/>
    <col min="5398" max="5629" width="14.6640625" style="33"/>
    <col min="5630" max="5630" width="17" style="33" customWidth="1"/>
    <col min="5631" max="5631" width="8.1640625" style="33" customWidth="1"/>
    <col min="5632" max="5632" width="9.33203125" style="33" customWidth="1"/>
    <col min="5633" max="5633" width="45.1640625" style="33" bestFit="1" customWidth="1"/>
    <col min="5634" max="5634" width="9.5" style="33" customWidth="1"/>
    <col min="5635" max="5635" width="7.1640625" style="33" customWidth="1"/>
    <col min="5636" max="5636" width="11.6640625" style="33" customWidth="1"/>
    <col min="5637" max="5637" width="1.33203125" style="33" customWidth="1"/>
    <col min="5638" max="5638" width="10.1640625" style="33" customWidth="1"/>
    <col min="5639" max="5639" width="7.1640625" style="33" customWidth="1"/>
    <col min="5640" max="5640" width="9.6640625" style="33" customWidth="1"/>
    <col min="5641" max="5641" width="10.83203125" style="33" bestFit="1" customWidth="1"/>
    <col min="5642" max="5643" width="13.33203125" style="33" bestFit="1" customWidth="1"/>
    <col min="5644" max="5644" width="11.83203125" style="33" customWidth="1"/>
    <col min="5645" max="5645" width="11.5" style="33" bestFit="1" customWidth="1"/>
    <col min="5646" max="5646" width="11.6640625" style="33" bestFit="1" customWidth="1"/>
    <col min="5647" max="5647" width="2.6640625" style="33" customWidth="1"/>
    <col min="5648" max="5649" width="13.1640625" style="33" bestFit="1" customWidth="1"/>
    <col min="5650" max="5650" width="12.83203125" style="33" bestFit="1" customWidth="1"/>
    <col min="5651" max="5651" width="14.6640625" style="33"/>
    <col min="5652" max="5652" width="11.6640625" style="33" bestFit="1" customWidth="1"/>
    <col min="5653" max="5653" width="12.83203125" style="33" bestFit="1" customWidth="1"/>
    <col min="5654" max="5885" width="14.6640625" style="33"/>
    <col min="5886" max="5886" width="17" style="33" customWidth="1"/>
    <col min="5887" max="5887" width="8.1640625" style="33" customWidth="1"/>
    <col min="5888" max="5888" width="9.33203125" style="33" customWidth="1"/>
    <col min="5889" max="5889" width="45.1640625" style="33" bestFit="1" customWidth="1"/>
    <col min="5890" max="5890" width="9.5" style="33" customWidth="1"/>
    <col min="5891" max="5891" width="7.1640625" style="33" customWidth="1"/>
    <col min="5892" max="5892" width="11.6640625" style="33" customWidth="1"/>
    <col min="5893" max="5893" width="1.33203125" style="33" customWidth="1"/>
    <col min="5894" max="5894" width="10.1640625" style="33" customWidth="1"/>
    <col min="5895" max="5895" width="7.1640625" style="33" customWidth="1"/>
    <col min="5896" max="5896" width="9.6640625" style="33" customWidth="1"/>
    <col min="5897" max="5897" width="10.83203125" style="33" bestFit="1" customWidth="1"/>
    <col min="5898" max="5899" width="13.33203125" style="33" bestFit="1" customWidth="1"/>
    <col min="5900" max="5900" width="11.83203125" style="33" customWidth="1"/>
    <col min="5901" max="5901" width="11.5" style="33" bestFit="1" customWidth="1"/>
    <col min="5902" max="5902" width="11.6640625" style="33" bestFit="1" customWidth="1"/>
    <col min="5903" max="5903" width="2.6640625" style="33" customWidth="1"/>
    <col min="5904" max="5905" width="13.1640625" style="33" bestFit="1" customWidth="1"/>
    <col min="5906" max="5906" width="12.83203125" style="33" bestFit="1" customWidth="1"/>
    <col min="5907" max="5907" width="14.6640625" style="33"/>
    <col min="5908" max="5908" width="11.6640625" style="33" bestFit="1" customWidth="1"/>
    <col min="5909" max="5909" width="12.83203125" style="33" bestFit="1" customWidth="1"/>
    <col min="5910" max="6141" width="14.6640625" style="33"/>
    <col min="6142" max="6142" width="17" style="33" customWidth="1"/>
    <col min="6143" max="6143" width="8.1640625" style="33" customWidth="1"/>
    <col min="6144" max="6144" width="9.33203125" style="33" customWidth="1"/>
    <col min="6145" max="6145" width="45.1640625" style="33" bestFit="1" customWidth="1"/>
    <col min="6146" max="6146" width="9.5" style="33" customWidth="1"/>
    <col min="6147" max="6147" width="7.1640625" style="33" customWidth="1"/>
    <col min="6148" max="6148" width="11.6640625" style="33" customWidth="1"/>
    <col min="6149" max="6149" width="1.33203125" style="33" customWidth="1"/>
    <col min="6150" max="6150" width="10.1640625" style="33" customWidth="1"/>
    <col min="6151" max="6151" width="7.1640625" style="33" customWidth="1"/>
    <col min="6152" max="6152" width="9.6640625" style="33" customWidth="1"/>
    <col min="6153" max="6153" width="10.83203125" style="33" bestFit="1" customWidth="1"/>
    <col min="6154" max="6155" width="13.33203125" style="33" bestFit="1" customWidth="1"/>
    <col min="6156" max="6156" width="11.83203125" style="33" customWidth="1"/>
    <col min="6157" max="6157" width="11.5" style="33" bestFit="1" customWidth="1"/>
    <col min="6158" max="6158" width="11.6640625" style="33" bestFit="1" customWidth="1"/>
    <col min="6159" max="6159" width="2.6640625" style="33" customWidth="1"/>
    <col min="6160" max="6161" width="13.1640625" style="33" bestFit="1" customWidth="1"/>
    <col min="6162" max="6162" width="12.83203125" style="33" bestFit="1" customWidth="1"/>
    <col min="6163" max="6163" width="14.6640625" style="33"/>
    <col min="6164" max="6164" width="11.6640625" style="33" bestFit="1" customWidth="1"/>
    <col min="6165" max="6165" width="12.83203125" style="33" bestFit="1" customWidth="1"/>
    <col min="6166" max="6397" width="14.6640625" style="33"/>
    <col min="6398" max="6398" width="17" style="33" customWidth="1"/>
    <col min="6399" max="6399" width="8.1640625" style="33" customWidth="1"/>
    <col min="6400" max="6400" width="9.33203125" style="33" customWidth="1"/>
    <col min="6401" max="6401" width="45.1640625" style="33" bestFit="1" customWidth="1"/>
    <col min="6402" max="6402" width="9.5" style="33" customWidth="1"/>
    <col min="6403" max="6403" width="7.1640625" style="33" customWidth="1"/>
    <col min="6404" max="6404" width="11.6640625" style="33" customWidth="1"/>
    <col min="6405" max="6405" width="1.33203125" style="33" customWidth="1"/>
    <col min="6406" max="6406" width="10.1640625" style="33" customWidth="1"/>
    <col min="6407" max="6407" width="7.1640625" style="33" customWidth="1"/>
    <col min="6408" max="6408" width="9.6640625" style="33" customWidth="1"/>
    <col min="6409" max="6409" width="10.83203125" style="33" bestFit="1" customWidth="1"/>
    <col min="6410" max="6411" width="13.33203125" style="33" bestFit="1" customWidth="1"/>
    <col min="6412" max="6412" width="11.83203125" style="33" customWidth="1"/>
    <col min="6413" max="6413" width="11.5" style="33" bestFit="1" customWidth="1"/>
    <col min="6414" max="6414" width="11.6640625" style="33" bestFit="1" customWidth="1"/>
    <col min="6415" max="6415" width="2.6640625" style="33" customWidth="1"/>
    <col min="6416" max="6417" width="13.1640625" style="33" bestFit="1" customWidth="1"/>
    <col min="6418" max="6418" width="12.83203125" style="33" bestFit="1" customWidth="1"/>
    <col min="6419" max="6419" width="14.6640625" style="33"/>
    <col min="6420" max="6420" width="11.6640625" style="33" bestFit="1" customWidth="1"/>
    <col min="6421" max="6421" width="12.83203125" style="33" bestFit="1" customWidth="1"/>
    <col min="6422" max="6653" width="14.6640625" style="33"/>
    <col min="6654" max="6654" width="17" style="33" customWidth="1"/>
    <col min="6655" max="6655" width="8.1640625" style="33" customWidth="1"/>
    <col min="6656" max="6656" width="9.33203125" style="33" customWidth="1"/>
    <col min="6657" max="6657" width="45.1640625" style="33" bestFit="1" customWidth="1"/>
    <col min="6658" max="6658" width="9.5" style="33" customWidth="1"/>
    <col min="6659" max="6659" width="7.1640625" style="33" customWidth="1"/>
    <col min="6660" max="6660" width="11.6640625" style="33" customWidth="1"/>
    <col min="6661" max="6661" width="1.33203125" style="33" customWidth="1"/>
    <col min="6662" max="6662" width="10.1640625" style="33" customWidth="1"/>
    <col min="6663" max="6663" width="7.1640625" style="33" customWidth="1"/>
    <col min="6664" max="6664" width="9.6640625" style="33" customWidth="1"/>
    <col min="6665" max="6665" width="10.83203125" style="33" bestFit="1" customWidth="1"/>
    <col min="6666" max="6667" width="13.33203125" style="33" bestFit="1" customWidth="1"/>
    <col min="6668" max="6668" width="11.83203125" style="33" customWidth="1"/>
    <col min="6669" max="6669" width="11.5" style="33" bestFit="1" customWidth="1"/>
    <col min="6670" max="6670" width="11.6640625" style="33" bestFit="1" customWidth="1"/>
    <col min="6671" max="6671" width="2.6640625" style="33" customWidth="1"/>
    <col min="6672" max="6673" width="13.1640625" style="33" bestFit="1" customWidth="1"/>
    <col min="6674" max="6674" width="12.83203125" style="33" bestFit="1" customWidth="1"/>
    <col min="6675" max="6675" width="14.6640625" style="33"/>
    <col min="6676" max="6676" width="11.6640625" style="33" bestFit="1" customWidth="1"/>
    <col min="6677" max="6677" width="12.83203125" style="33" bestFit="1" customWidth="1"/>
    <col min="6678" max="6909" width="14.6640625" style="33"/>
    <col min="6910" max="6910" width="17" style="33" customWidth="1"/>
    <col min="6911" max="6911" width="8.1640625" style="33" customWidth="1"/>
    <col min="6912" max="6912" width="9.33203125" style="33" customWidth="1"/>
    <col min="6913" max="6913" width="45.1640625" style="33" bestFit="1" customWidth="1"/>
    <col min="6914" max="6914" width="9.5" style="33" customWidth="1"/>
    <col min="6915" max="6915" width="7.1640625" style="33" customWidth="1"/>
    <col min="6916" max="6916" width="11.6640625" style="33" customWidth="1"/>
    <col min="6917" max="6917" width="1.33203125" style="33" customWidth="1"/>
    <col min="6918" max="6918" width="10.1640625" style="33" customWidth="1"/>
    <col min="6919" max="6919" width="7.1640625" style="33" customWidth="1"/>
    <col min="6920" max="6920" width="9.6640625" style="33" customWidth="1"/>
    <col min="6921" max="6921" width="10.83203125" style="33" bestFit="1" customWidth="1"/>
    <col min="6922" max="6923" width="13.33203125" style="33" bestFit="1" customWidth="1"/>
    <col min="6924" max="6924" width="11.83203125" style="33" customWidth="1"/>
    <col min="6925" max="6925" width="11.5" style="33" bestFit="1" customWidth="1"/>
    <col min="6926" max="6926" width="11.6640625" style="33" bestFit="1" customWidth="1"/>
    <col min="6927" max="6927" width="2.6640625" style="33" customWidth="1"/>
    <col min="6928" max="6929" width="13.1640625" style="33" bestFit="1" customWidth="1"/>
    <col min="6930" max="6930" width="12.83203125" style="33" bestFit="1" customWidth="1"/>
    <col min="6931" max="6931" width="14.6640625" style="33"/>
    <col min="6932" max="6932" width="11.6640625" style="33" bestFit="1" customWidth="1"/>
    <col min="6933" max="6933" width="12.83203125" style="33" bestFit="1" customWidth="1"/>
    <col min="6934" max="7165" width="14.6640625" style="33"/>
    <col min="7166" max="7166" width="17" style="33" customWidth="1"/>
    <col min="7167" max="7167" width="8.1640625" style="33" customWidth="1"/>
    <col min="7168" max="7168" width="9.33203125" style="33" customWidth="1"/>
    <col min="7169" max="7169" width="45.1640625" style="33" bestFit="1" customWidth="1"/>
    <col min="7170" max="7170" width="9.5" style="33" customWidth="1"/>
    <col min="7171" max="7171" width="7.1640625" style="33" customWidth="1"/>
    <col min="7172" max="7172" width="11.6640625" style="33" customWidth="1"/>
    <col min="7173" max="7173" width="1.33203125" style="33" customWidth="1"/>
    <col min="7174" max="7174" width="10.1640625" style="33" customWidth="1"/>
    <col min="7175" max="7175" width="7.1640625" style="33" customWidth="1"/>
    <col min="7176" max="7176" width="9.6640625" style="33" customWidth="1"/>
    <col min="7177" max="7177" width="10.83203125" style="33" bestFit="1" customWidth="1"/>
    <col min="7178" max="7179" width="13.33203125" style="33" bestFit="1" customWidth="1"/>
    <col min="7180" max="7180" width="11.83203125" style="33" customWidth="1"/>
    <col min="7181" max="7181" width="11.5" style="33" bestFit="1" customWidth="1"/>
    <col min="7182" max="7182" width="11.6640625" style="33" bestFit="1" customWidth="1"/>
    <col min="7183" max="7183" width="2.6640625" style="33" customWidth="1"/>
    <col min="7184" max="7185" width="13.1640625" style="33" bestFit="1" customWidth="1"/>
    <col min="7186" max="7186" width="12.83203125" style="33" bestFit="1" customWidth="1"/>
    <col min="7187" max="7187" width="14.6640625" style="33"/>
    <col min="7188" max="7188" width="11.6640625" style="33" bestFit="1" customWidth="1"/>
    <col min="7189" max="7189" width="12.83203125" style="33" bestFit="1" customWidth="1"/>
    <col min="7190" max="7421" width="14.6640625" style="33"/>
    <col min="7422" max="7422" width="17" style="33" customWidth="1"/>
    <col min="7423" max="7423" width="8.1640625" style="33" customWidth="1"/>
    <col min="7424" max="7424" width="9.33203125" style="33" customWidth="1"/>
    <col min="7425" max="7425" width="45.1640625" style="33" bestFit="1" customWidth="1"/>
    <col min="7426" max="7426" width="9.5" style="33" customWidth="1"/>
    <col min="7427" max="7427" width="7.1640625" style="33" customWidth="1"/>
    <col min="7428" max="7428" width="11.6640625" style="33" customWidth="1"/>
    <col min="7429" max="7429" width="1.33203125" style="33" customWidth="1"/>
    <col min="7430" max="7430" width="10.1640625" style="33" customWidth="1"/>
    <col min="7431" max="7431" width="7.1640625" style="33" customWidth="1"/>
    <col min="7432" max="7432" width="9.6640625" style="33" customWidth="1"/>
    <col min="7433" max="7433" width="10.83203125" style="33" bestFit="1" customWidth="1"/>
    <col min="7434" max="7435" width="13.33203125" style="33" bestFit="1" customWidth="1"/>
    <col min="7436" max="7436" width="11.83203125" style="33" customWidth="1"/>
    <col min="7437" max="7437" width="11.5" style="33" bestFit="1" customWidth="1"/>
    <col min="7438" max="7438" width="11.6640625" style="33" bestFit="1" customWidth="1"/>
    <col min="7439" max="7439" width="2.6640625" style="33" customWidth="1"/>
    <col min="7440" max="7441" width="13.1640625" style="33" bestFit="1" customWidth="1"/>
    <col min="7442" max="7442" width="12.83203125" style="33" bestFit="1" customWidth="1"/>
    <col min="7443" max="7443" width="14.6640625" style="33"/>
    <col min="7444" max="7444" width="11.6640625" style="33" bestFit="1" customWidth="1"/>
    <col min="7445" max="7445" width="12.83203125" style="33" bestFit="1" customWidth="1"/>
    <col min="7446" max="7677" width="14.6640625" style="33"/>
    <col min="7678" max="7678" width="17" style="33" customWidth="1"/>
    <col min="7679" max="7679" width="8.1640625" style="33" customWidth="1"/>
    <col min="7680" max="7680" width="9.33203125" style="33" customWidth="1"/>
    <col min="7681" max="7681" width="45.1640625" style="33" bestFit="1" customWidth="1"/>
    <col min="7682" max="7682" width="9.5" style="33" customWidth="1"/>
    <col min="7683" max="7683" width="7.1640625" style="33" customWidth="1"/>
    <col min="7684" max="7684" width="11.6640625" style="33" customWidth="1"/>
    <col min="7685" max="7685" width="1.33203125" style="33" customWidth="1"/>
    <col min="7686" max="7686" width="10.1640625" style="33" customWidth="1"/>
    <col min="7687" max="7687" width="7.1640625" style="33" customWidth="1"/>
    <col min="7688" max="7688" width="9.6640625" style="33" customWidth="1"/>
    <col min="7689" max="7689" width="10.83203125" style="33" bestFit="1" customWidth="1"/>
    <col min="7690" max="7691" width="13.33203125" style="33" bestFit="1" customWidth="1"/>
    <col min="7692" max="7692" width="11.83203125" style="33" customWidth="1"/>
    <col min="7693" max="7693" width="11.5" style="33" bestFit="1" customWidth="1"/>
    <col min="7694" max="7694" width="11.6640625" style="33" bestFit="1" customWidth="1"/>
    <col min="7695" max="7695" width="2.6640625" style="33" customWidth="1"/>
    <col min="7696" max="7697" width="13.1640625" style="33" bestFit="1" customWidth="1"/>
    <col min="7698" max="7698" width="12.83203125" style="33" bestFit="1" customWidth="1"/>
    <col min="7699" max="7699" width="14.6640625" style="33"/>
    <col min="7700" max="7700" width="11.6640625" style="33" bestFit="1" customWidth="1"/>
    <col min="7701" max="7701" width="12.83203125" style="33" bestFit="1" customWidth="1"/>
    <col min="7702" max="7933" width="14.6640625" style="33"/>
    <col min="7934" max="7934" width="17" style="33" customWidth="1"/>
    <col min="7935" max="7935" width="8.1640625" style="33" customWidth="1"/>
    <col min="7936" max="7936" width="9.33203125" style="33" customWidth="1"/>
    <col min="7937" max="7937" width="45.1640625" style="33" bestFit="1" customWidth="1"/>
    <col min="7938" max="7938" width="9.5" style="33" customWidth="1"/>
    <col min="7939" max="7939" width="7.1640625" style="33" customWidth="1"/>
    <col min="7940" max="7940" width="11.6640625" style="33" customWidth="1"/>
    <col min="7941" max="7941" width="1.33203125" style="33" customWidth="1"/>
    <col min="7942" max="7942" width="10.1640625" style="33" customWidth="1"/>
    <col min="7943" max="7943" width="7.1640625" style="33" customWidth="1"/>
    <col min="7944" max="7944" width="9.6640625" style="33" customWidth="1"/>
    <col min="7945" max="7945" width="10.83203125" style="33" bestFit="1" customWidth="1"/>
    <col min="7946" max="7947" width="13.33203125" style="33" bestFit="1" customWidth="1"/>
    <col min="7948" max="7948" width="11.83203125" style="33" customWidth="1"/>
    <col min="7949" max="7949" width="11.5" style="33" bestFit="1" customWidth="1"/>
    <col min="7950" max="7950" width="11.6640625" style="33" bestFit="1" customWidth="1"/>
    <col min="7951" max="7951" width="2.6640625" style="33" customWidth="1"/>
    <col min="7952" max="7953" width="13.1640625" style="33" bestFit="1" customWidth="1"/>
    <col min="7954" max="7954" width="12.83203125" style="33" bestFit="1" customWidth="1"/>
    <col min="7955" max="7955" width="14.6640625" style="33"/>
    <col min="7956" max="7956" width="11.6640625" style="33" bestFit="1" customWidth="1"/>
    <col min="7957" max="7957" width="12.83203125" style="33" bestFit="1" customWidth="1"/>
    <col min="7958" max="8189" width="14.6640625" style="33"/>
    <col min="8190" max="8190" width="17" style="33" customWidth="1"/>
    <col min="8191" max="8191" width="8.1640625" style="33" customWidth="1"/>
    <col min="8192" max="8192" width="9.33203125" style="33" customWidth="1"/>
    <col min="8193" max="8193" width="45.1640625" style="33" bestFit="1" customWidth="1"/>
    <col min="8194" max="8194" width="9.5" style="33" customWidth="1"/>
    <col min="8195" max="8195" width="7.1640625" style="33" customWidth="1"/>
    <col min="8196" max="8196" width="11.6640625" style="33" customWidth="1"/>
    <col min="8197" max="8197" width="1.33203125" style="33" customWidth="1"/>
    <col min="8198" max="8198" width="10.1640625" style="33" customWidth="1"/>
    <col min="8199" max="8199" width="7.1640625" style="33" customWidth="1"/>
    <col min="8200" max="8200" width="9.6640625" style="33" customWidth="1"/>
    <col min="8201" max="8201" width="10.83203125" style="33" bestFit="1" customWidth="1"/>
    <col min="8202" max="8203" width="13.33203125" style="33" bestFit="1" customWidth="1"/>
    <col min="8204" max="8204" width="11.83203125" style="33" customWidth="1"/>
    <col min="8205" max="8205" width="11.5" style="33" bestFit="1" customWidth="1"/>
    <col min="8206" max="8206" width="11.6640625" style="33" bestFit="1" customWidth="1"/>
    <col min="8207" max="8207" width="2.6640625" style="33" customWidth="1"/>
    <col min="8208" max="8209" width="13.1640625" style="33" bestFit="1" customWidth="1"/>
    <col min="8210" max="8210" width="12.83203125" style="33" bestFit="1" customWidth="1"/>
    <col min="8211" max="8211" width="14.6640625" style="33"/>
    <col min="8212" max="8212" width="11.6640625" style="33" bestFit="1" customWidth="1"/>
    <col min="8213" max="8213" width="12.83203125" style="33" bestFit="1" customWidth="1"/>
    <col min="8214" max="8445" width="14.6640625" style="33"/>
    <col min="8446" max="8446" width="17" style="33" customWidth="1"/>
    <col min="8447" max="8447" width="8.1640625" style="33" customWidth="1"/>
    <col min="8448" max="8448" width="9.33203125" style="33" customWidth="1"/>
    <col min="8449" max="8449" width="45.1640625" style="33" bestFit="1" customWidth="1"/>
    <col min="8450" max="8450" width="9.5" style="33" customWidth="1"/>
    <col min="8451" max="8451" width="7.1640625" style="33" customWidth="1"/>
    <col min="8452" max="8452" width="11.6640625" style="33" customWidth="1"/>
    <col min="8453" max="8453" width="1.33203125" style="33" customWidth="1"/>
    <col min="8454" max="8454" width="10.1640625" style="33" customWidth="1"/>
    <col min="8455" max="8455" width="7.1640625" style="33" customWidth="1"/>
    <col min="8456" max="8456" width="9.6640625" style="33" customWidth="1"/>
    <col min="8457" max="8457" width="10.83203125" style="33" bestFit="1" customWidth="1"/>
    <col min="8458" max="8459" width="13.33203125" style="33" bestFit="1" customWidth="1"/>
    <col min="8460" max="8460" width="11.83203125" style="33" customWidth="1"/>
    <col min="8461" max="8461" width="11.5" style="33" bestFit="1" customWidth="1"/>
    <col min="8462" max="8462" width="11.6640625" style="33" bestFit="1" customWidth="1"/>
    <col min="8463" max="8463" width="2.6640625" style="33" customWidth="1"/>
    <col min="8464" max="8465" width="13.1640625" style="33" bestFit="1" customWidth="1"/>
    <col min="8466" max="8466" width="12.83203125" style="33" bestFit="1" customWidth="1"/>
    <col min="8467" max="8467" width="14.6640625" style="33"/>
    <col min="8468" max="8468" width="11.6640625" style="33" bestFit="1" customWidth="1"/>
    <col min="8469" max="8469" width="12.83203125" style="33" bestFit="1" customWidth="1"/>
    <col min="8470" max="8701" width="14.6640625" style="33"/>
    <col min="8702" max="8702" width="17" style="33" customWidth="1"/>
    <col min="8703" max="8703" width="8.1640625" style="33" customWidth="1"/>
    <col min="8704" max="8704" width="9.33203125" style="33" customWidth="1"/>
    <col min="8705" max="8705" width="45.1640625" style="33" bestFit="1" customWidth="1"/>
    <col min="8706" max="8706" width="9.5" style="33" customWidth="1"/>
    <col min="8707" max="8707" width="7.1640625" style="33" customWidth="1"/>
    <col min="8708" max="8708" width="11.6640625" style="33" customWidth="1"/>
    <col min="8709" max="8709" width="1.33203125" style="33" customWidth="1"/>
    <col min="8710" max="8710" width="10.1640625" style="33" customWidth="1"/>
    <col min="8711" max="8711" width="7.1640625" style="33" customWidth="1"/>
    <col min="8712" max="8712" width="9.6640625" style="33" customWidth="1"/>
    <col min="8713" max="8713" width="10.83203125" style="33" bestFit="1" customWidth="1"/>
    <col min="8714" max="8715" width="13.33203125" style="33" bestFit="1" customWidth="1"/>
    <col min="8716" max="8716" width="11.83203125" style="33" customWidth="1"/>
    <col min="8717" max="8717" width="11.5" style="33" bestFit="1" customWidth="1"/>
    <col min="8718" max="8718" width="11.6640625" style="33" bestFit="1" customWidth="1"/>
    <col min="8719" max="8719" width="2.6640625" style="33" customWidth="1"/>
    <col min="8720" max="8721" width="13.1640625" style="33" bestFit="1" customWidth="1"/>
    <col min="8722" max="8722" width="12.83203125" style="33" bestFit="1" customWidth="1"/>
    <col min="8723" max="8723" width="14.6640625" style="33"/>
    <col min="8724" max="8724" width="11.6640625" style="33" bestFit="1" customWidth="1"/>
    <col min="8725" max="8725" width="12.83203125" style="33" bestFit="1" customWidth="1"/>
    <col min="8726" max="8957" width="14.6640625" style="33"/>
    <col min="8958" max="8958" width="17" style="33" customWidth="1"/>
    <col min="8959" max="8959" width="8.1640625" style="33" customWidth="1"/>
    <col min="8960" max="8960" width="9.33203125" style="33" customWidth="1"/>
    <col min="8961" max="8961" width="45.1640625" style="33" bestFit="1" customWidth="1"/>
    <col min="8962" max="8962" width="9.5" style="33" customWidth="1"/>
    <col min="8963" max="8963" width="7.1640625" style="33" customWidth="1"/>
    <col min="8964" max="8964" width="11.6640625" style="33" customWidth="1"/>
    <col min="8965" max="8965" width="1.33203125" style="33" customWidth="1"/>
    <col min="8966" max="8966" width="10.1640625" style="33" customWidth="1"/>
    <col min="8967" max="8967" width="7.1640625" style="33" customWidth="1"/>
    <col min="8968" max="8968" width="9.6640625" style="33" customWidth="1"/>
    <col min="8969" max="8969" width="10.83203125" style="33" bestFit="1" customWidth="1"/>
    <col min="8970" max="8971" width="13.33203125" style="33" bestFit="1" customWidth="1"/>
    <col min="8972" max="8972" width="11.83203125" style="33" customWidth="1"/>
    <col min="8973" max="8973" width="11.5" style="33" bestFit="1" customWidth="1"/>
    <col min="8974" max="8974" width="11.6640625" style="33" bestFit="1" customWidth="1"/>
    <col min="8975" max="8975" width="2.6640625" style="33" customWidth="1"/>
    <col min="8976" max="8977" width="13.1640625" style="33" bestFit="1" customWidth="1"/>
    <col min="8978" max="8978" width="12.83203125" style="33" bestFit="1" customWidth="1"/>
    <col min="8979" max="8979" width="14.6640625" style="33"/>
    <col min="8980" max="8980" width="11.6640625" style="33" bestFit="1" customWidth="1"/>
    <col min="8981" max="8981" width="12.83203125" style="33" bestFit="1" customWidth="1"/>
    <col min="8982" max="9213" width="14.6640625" style="33"/>
    <col min="9214" max="9214" width="17" style="33" customWidth="1"/>
    <col min="9215" max="9215" width="8.1640625" style="33" customWidth="1"/>
    <col min="9216" max="9216" width="9.33203125" style="33" customWidth="1"/>
    <col min="9217" max="9217" width="45.1640625" style="33" bestFit="1" customWidth="1"/>
    <col min="9218" max="9218" width="9.5" style="33" customWidth="1"/>
    <col min="9219" max="9219" width="7.1640625" style="33" customWidth="1"/>
    <col min="9220" max="9220" width="11.6640625" style="33" customWidth="1"/>
    <col min="9221" max="9221" width="1.33203125" style="33" customWidth="1"/>
    <col min="9222" max="9222" width="10.1640625" style="33" customWidth="1"/>
    <col min="9223" max="9223" width="7.1640625" style="33" customWidth="1"/>
    <col min="9224" max="9224" width="9.6640625" style="33" customWidth="1"/>
    <col min="9225" max="9225" width="10.83203125" style="33" bestFit="1" customWidth="1"/>
    <col min="9226" max="9227" width="13.33203125" style="33" bestFit="1" customWidth="1"/>
    <col min="9228" max="9228" width="11.83203125" style="33" customWidth="1"/>
    <col min="9229" max="9229" width="11.5" style="33" bestFit="1" customWidth="1"/>
    <col min="9230" max="9230" width="11.6640625" style="33" bestFit="1" customWidth="1"/>
    <col min="9231" max="9231" width="2.6640625" style="33" customWidth="1"/>
    <col min="9232" max="9233" width="13.1640625" style="33" bestFit="1" customWidth="1"/>
    <col min="9234" max="9234" width="12.83203125" style="33" bestFit="1" customWidth="1"/>
    <col min="9235" max="9235" width="14.6640625" style="33"/>
    <col min="9236" max="9236" width="11.6640625" style="33" bestFit="1" customWidth="1"/>
    <col min="9237" max="9237" width="12.83203125" style="33" bestFit="1" customWidth="1"/>
    <col min="9238" max="9469" width="14.6640625" style="33"/>
    <col min="9470" max="9470" width="17" style="33" customWidth="1"/>
    <col min="9471" max="9471" width="8.1640625" style="33" customWidth="1"/>
    <col min="9472" max="9472" width="9.33203125" style="33" customWidth="1"/>
    <col min="9473" max="9473" width="45.1640625" style="33" bestFit="1" customWidth="1"/>
    <col min="9474" max="9474" width="9.5" style="33" customWidth="1"/>
    <col min="9475" max="9475" width="7.1640625" style="33" customWidth="1"/>
    <col min="9476" max="9476" width="11.6640625" style="33" customWidth="1"/>
    <col min="9477" max="9477" width="1.33203125" style="33" customWidth="1"/>
    <col min="9478" max="9478" width="10.1640625" style="33" customWidth="1"/>
    <col min="9479" max="9479" width="7.1640625" style="33" customWidth="1"/>
    <col min="9480" max="9480" width="9.6640625" style="33" customWidth="1"/>
    <col min="9481" max="9481" width="10.83203125" style="33" bestFit="1" customWidth="1"/>
    <col min="9482" max="9483" width="13.33203125" style="33" bestFit="1" customWidth="1"/>
    <col min="9484" max="9484" width="11.83203125" style="33" customWidth="1"/>
    <col min="9485" max="9485" width="11.5" style="33" bestFit="1" customWidth="1"/>
    <col min="9486" max="9486" width="11.6640625" style="33" bestFit="1" customWidth="1"/>
    <col min="9487" max="9487" width="2.6640625" style="33" customWidth="1"/>
    <col min="9488" max="9489" width="13.1640625" style="33" bestFit="1" customWidth="1"/>
    <col min="9490" max="9490" width="12.83203125" style="33" bestFit="1" customWidth="1"/>
    <col min="9491" max="9491" width="14.6640625" style="33"/>
    <col min="9492" max="9492" width="11.6640625" style="33" bestFit="1" customWidth="1"/>
    <col min="9493" max="9493" width="12.83203125" style="33" bestFit="1" customWidth="1"/>
    <col min="9494" max="9725" width="14.6640625" style="33"/>
    <col min="9726" max="9726" width="17" style="33" customWidth="1"/>
    <col min="9727" max="9727" width="8.1640625" style="33" customWidth="1"/>
    <col min="9728" max="9728" width="9.33203125" style="33" customWidth="1"/>
    <col min="9729" max="9729" width="45.1640625" style="33" bestFit="1" customWidth="1"/>
    <col min="9730" max="9730" width="9.5" style="33" customWidth="1"/>
    <col min="9731" max="9731" width="7.1640625" style="33" customWidth="1"/>
    <col min="9732" max="9732" width="11.6640625" style="33" customWidth="1"/>
    <col min="9733" max="9733" width="1.33203125" style="33" customWidth="1"/>
    <col min="9734" max="9734" width="10.1640625" style="33" customWidth="1"/>
    <col min="9735" max="9735" width="7.1640625" style="33" customWidth="1"/>
    <col min="9736" max="9736" width="9.6640625" style="33" customWidth="1"/>
    <col min="9737" max="9737" width="10.83203125" style="33" bestFit="1" customWidth="1"/>
    <col min="9738" max="9739" width="13.33203125" style="33" bestFit="1" customWidth="1"/>
    <col min="9740" max="9740" width="11.83203125" style="33" customWidth="1"/>
    <col min="9741" max="9741" width="11.5" style="33" bestFit="1" customWidth="1"/>
    <col min="9742" max="9742" width="11.6640625" style="33" bestFit="1" customWidth="1"/>
    <col min="9743" max="9743" width="2.6640625" style="33" customWidth="1"/>
    <col min="9744" max="9745" width="13.1640625" style="33" bestFit="1" customWidth="1"/>
    <col min="9746" max="9746" width="12.83203125" style="33" bestFit="1" customWidth="1"/>
    <col min="9747" max="9747" width="14.6640625" style="33"/>
    <col min="9748" max="9748" width="11.6640625" style="33" bestFit="1" customWidth="1"/>
    <col min="9749" max="9749" width="12.83203125" style="33" bestFit="1" customWidth="1"/>
    <col min="9750" max="9981" width="14.6640625" style="33"/>
    <col min="9982" max="9982" width="17" style="33" customWidth="1"/>
    <col min="9983" max="9983" width="8.1640625" style="33" customWidth="1"/>
    <col min="9984" max="9984" width="9.33203125" style="33" customWidth="1"/>
    <col min="9985" max="9985" width="45.1640625" style="33" bestFit="1" customWidth="1"/>
    <col min="9986" max="9986" width="9.5" style="33" customWidth="1"/>
    <col min="9987" max="9987" width="7.1640625" style="33" customWidth="1"/>
    <col min="9988" max="9988" width="11.6640625" style="33" customWidth="1"/>
    <col min="9989" max="9989" width="1.33203125" style="33" customWidth="1"/>
    <col min="9990" max="9990" width="10.1640625" style="33" customWidth="1"/>
    <col min="9991" max="9991" width="7.1640625" style="33" customWidth="1"/>
    <col min="9992" max="9992" width="9.6640625" style="33" customWidth="1"/>
    <col min="9993" max="9993" width="10.83203125" style="33" bestFit="1" customWidth="1"/>
    <col min="9994" max="9995" width="13.33203125" style="33" bestFit="1" customWidth="1"/>
    <col min="9996" max="9996" width="11.83203125" style="33" customWidth="1"/>
    <col min="9997" max="9997" width="11.5" style="33" bestFit="1" customWidth="1"/>
    <col min="9998" max="9998" width="11.6640625" style="33" bestFit="1" customWidth="1"/>
    <col min="9999" max="9999" width="2.6640625" style="33" customWidth="1"/>
    <col min="10000" max="10001" width="13.1640625" style="33" bestFit="1" customWidth="1"/>
    <col min="10002" max="10002" width="12.83203125" style="33" bestFit="1" customWidth="1"/>
    <col min="10003" max="10003" width="14.6640625" style="33"/>
    <col min="10004" max="10004" width="11.6640625" style="33" bestFit="1" customWidth="1"/>
    <col min="10005" max="10005" width="12.83203125" style="33" bestFit="1" customWidth="1"/>
    <col min="10006" max="10237" width="14.6640625" style="33"/>
    <col min="10238" max="10238" width="17" style="33" customWidth="1"/>
    <col min="10239" max="10239" width="8.1640625" style="33" customWidth="1"/>
    <col min="10240" max="10240" width="9.33203125" style="33" customWidth="1"/>
    <col min="10241" max="10241" width="45.1640625" style="33" bestFit="1" customWidth="1"/>
    <col min="10242" max="10242" width="9.5" style="33" customWidth="1"/>
    <col min="10243" max="10243" width="7.1640625" style="33" customWidth="1"/>
    <col min="10244" max="10244" width="11.6640625" style="33" customWidth="1"/>
    <col min="10245" max="10245" width="1.33203125" style="33" customWidth="1"/>
    <col min="10246" max="10246" width="10.1640625" style="33" customWidth="1"/>
    <col min="10247" max="10247" width="7.1640625" style="33" customWidth="1"/>
    <col min="10248" max="10248" width="9.6640625" style="33" customWidth="1"/>
    <col min="10249" max="10249" width="10.83203125" style="33" bestFit="1" customWidth="1"/>
    <col min="10250" max="10251" width="13.33203125" style="33" bestFit="1" customWidth="1"/>
    <col min="10252" max="10252" width="11.83203125" style="33" customWidth="1"/>
    <col min="10253" max="10253" width="11.5" style="33" bestFit="1" customWidth="1"/>
    <col min="10254" max="10254" width="11.6640625" style="33" bestFit="1" customWidth="1"/>
    <col min="10255" max="10255" width="2.6640625" style="33" customWidth="1"/>
    <col min="10256" max="10257" width="13.1640625" style="33" bestFit="1" customWidth="1"/>
    <col min="10258" max="10258" width="12.83203125" style="33" bestFit="1" customWidth="1"/>
    <col min="10259" max="10259" width="14.6640625" style="33"/>
    <col min="10260" max="10260" width="11.6640625" style="33" bestFit="1" customWidth="1"/>
    <col min="10261" max="10261" width="12.83203125" style="33" bestFit="1" customWidth="1"/>
    <col min="10262" max="10493" width="14.6640625" style="33"/>
    <col min="10494" max="10494" width="17" style="33" customWidth="1"/>
    <col min="10495" max="10495" width="8.1640625" style="33" customWidth="1"/>
    <col min="10496" max="10496" width="9.33203125" style="33" customWidth="1"/>
    <col min="10497" max="10497" width="45.1640625" style="33" bestFit="1" customWidth="1"/>
    <col min="10498" max="10498" width="9.5" style="33" customWidth="1"/>
    <col min="10499" max="10499" width="7.1640625" style="33" customWidth="1"/>
    <col min="10500" max="10500" width="11.6640625" style="33" customWidth="1"/>
    <col min="10501" max="10501" width="1.33203125" style="33" customWidth="1"/>
    <col min="10502" max="10502" width="10.1640625" style="33" customWidth="1"/>
    <col min="10503" max="10503" width="7.1640625" style="33" customWidth="1"/>
    <col min="10504" max="10504" width="9.6640625" style="33" customWidth="1"/>
    <col min="10505" max="10505" width="10.83203125" style="33" bestFit="1" customWidth="1"/>
    <col min="10506" max="10507" width="13.33203125" style="33" bestFit="1" customWidth="1"/>
    <col min="10508" max="10508" width="11.83203125" style="33" customWidth="1"/>
    <col min="10509" max="10509" width="11.5" style="33" bestFit="1" customWidth="1"/>
    <col min="10510" max="10510" width="11.6640625" style="33" bestFit="1" customWidth="1"/>
    <col min="10511" max="10511" width="2.6640625" style="33" customWidth="1"/>
    <col min="10512" max="10513" width="13.1640625" style="33" bestFit="1" customWidth="1"/>
    <col min="10514" max="10514" width="12.83203125" style="33" bestFit="1" customWidth="1"/>
    <col min="10515" max="10515" width="14.6640625" style="33"/>
    <col min="10516" max="10516" width="11.6640625" style="33" bestFit="1" customWidth="1"/>
    <col min="10517" max="10517" width="12.83203125" style="33" bestFit="1" customWidth="1"/>
    <col min="10518" max="10749" width="14.6640625" style="33"/>
    <col min="10750" max="10750" width="17" style="33" customWidth="1"/>
    <col min="10751" max="10751" width="8.1640625" style="33" customWidth="1"/>
    <col min="10752" max="10752" width="9.33203125" style="33" customWidth="1"/>
    <col min="10753" max="10753" width="45.1640625" style="33" bestFit="1" customWidth="1"/>
    <col min="10754" max="10754" width="9.5" style="33" customWidth="1"/>
    <col min="10755" max="10755" width="7.1640625" style="33" customWidth="1"/>
    <col min="10756" max="10756" width="11.6640625" style="33" customWidth="1"/>
    <col min="10757" max="10757" width="1.33203125" style="33" customWidth="1"/>
    <col min="10758" max="10758" width="10.1640625" style="33" customWidth="1"/>
    <col min="10759" max="10759" width="7.1640625" style="33" customWidth="1"/>
    <col min="10760" max="10760" width="9.6640625" style="33" customWidth="1"/>
    <col min="10761" max="10761" width="10.83203125" style="33" bestFit="1" customWidth="1"/>
    <col min="10762" max="10763" width="13.33203125" style="33" bestFit="1" customWidth="1"/>
    <col min="10764" max="10764" width="11.83203125" style="33" customWidth="1"/>
    <col min="10765" max="10765" width="11.5" style="33" bestFit="1" customWidth="1"/>
    <col min="10766" max="10766" width="11.6640625" style="33" bestFit="1" customWidth="1"/>
    <col min="10767" max="10767" width="2.6640625" style="33" customWidth="1"/>
    <col min="10768" max="10769" width="13.1640625" style="33" bestFit="1" customWidth="1"/>
    <col min="10770" max="10770" width="12.83203125" style="33" bestFit="1" customWidth="1"/>
    <col min="10771" max="10771" width="14.6640625" style="33"/>
    <col min="10772" max="10772" width="11.6640625" style="33" bestFit="1" customWidth="1"/>
    <col min="10773" max="10773" width="12.83203125" style="33" bestFit="1" customWidth="1"/>
    <col min="10774" max="11005" width="14.6640625" style="33"/>
    <col min="11006" max="11006" width="17" style="33" customWidth="1"/>
    <col min="11007" max="11007" width="8.1640625" style="33" customWidth="1"/>
    <col min="11008" max="11008" width="9.33203125" style="33" customWidth="1"/>
    <col min="11009" max="11009" width="45.1640625" style="33" bestFit="1" customWidth="1"/>
    <col min="11010" max="11010" width="9.5" style="33" customWidth="1"/>
    <col min="11011" max="11011" width="7.1640625" style="33" customWidth="1"/>
    <col min="11012" max="11012" width="11.6640625" style="33" customWidth="1"/>
    <col min="11013" max="11013" width="1.33203125" style="33" customWidth="1"/>
    <col min="11014" max="11014" width="10.1640625" style="33" customWidth="1"/>
    <col min="11015" max="11015" width="7.1640625" style="33" customWidth="1"/>
    <col min="11016" max="11016" width="9.6640625" style="33" customWidth="1"/>
    <col min="11017" max="11017" width="10.83203125" style="33" bestFit="1" customWidth="1"/>
    <col min="11018" max="11019" width="13.33203125" style="33" bestFit="1" customWidth="1"/>
    <col min="11020" max="11020" width="11.83203125" style="33" customWidth="1"/>
    <col min="11021" max="11021" width="11.5" style="33" bestFit="1" customWidth="1"/>
    <col min="11022" max="11022" width="11.6640625" style="33" bestFit="1" customWidth="1"/>
    <col min="11023" max="11023" width="2.6640625" style="33" customWidth="1"/>
    <col min="11024" max="11025" width="13.1640625" style="33" bestFit="1" customWidth="1"/>
    <col min="11026" max="11026" width="12.83203125" style="33" bestFit="1" customWidth="1"/>
    <col min="11027" max="11027" width="14.6640625" style="33"/>
    <col min="11028" max="11028" width="11.6640625" style="33" bestFit="1" customWidth="1"/>
    <col min="11029" max="11029" width="12.83203125" style="33" bestFit="1" customWidth="1"/>
    <col min="11030" max="11261" width="14.6640625" style="33"/>
    <col min="11262" max="11262" width="17" style="33" customWidth="1"/>
    <col min="11263" max="11263" width="8.1640625" style="33" customWidth="1"/>
    <col min="11264" max="11264" width="9.33203125" style="33" customWidth="1"/>
    <col min="11265" max="11265" width="45.1640625" style="33" bestFit="1" customWidth="1"/>
    <col min="11266" max="11266" width="9.5" style="33" customWidth="1"/>
    <col min="11267" max="11267" width="7.1640625" style="33" customWidth="1"/>
    <col min="11268" max="11268" width="11.6640625" style="33" customWidth="1"/>
    <col min="11269" max="11269" width="1.33203125" style="33" customWidth="1"/>
    <col min="11270" max="11270" width="10.1640625" style="33" customWidth="1"/>
    <col min="11271" max="11271" width="7.1640625" style="33" customWidth="1"/>
    <col min="11272" max="11272" width="9.6640625" style="33" customWidth="1"/>
    <col min="11273" max="11273" width="10.83203125" style="33" bestFit="1" customWidth="1"/>
    <col min="11274" max="11275" width="13.33203125" style="33" bestFit="1" customWidth="1"/>
    <col min="11276" max="11276" width="11.83203125" style="33" customWidth="1"/>
    <col min="11277" max="11277" width="11.5" style="33" bestFit="1" customWidth="1"/>
    <col min="11278" max="11278" width="11.6640625" style="33" bestFit="1" customWidth="1"/>
    <col min="11279" max="11279" width="2.6640625" style="33" customWidth="1"/>
    <col min="11280" max="11281" width="13.1640625" style="33" bestFit="1" customWidth="1"/>
    <col min="11282" max="11282" width="12.83203125" style="33" bestFit="1" customWidth="1"/>
    <col min="11283" max="11283" width="14.6640625" style="33"/>
    <col min="11284" max="11284" width="11.6640625" style="33" bestFit="1" customWidth="1"/>
    <col min="11285" max="11285" width="12.83203125" style="33" bestFit="1" customWidth="1"/>
    <col min="11286" max="11517" width="14.6640625" style="33"/>
    <col min="11518" max="11518" width="17" style="33" customWidth="1"/>
    <col min="11519" max="11519" width="8.1640625" style="33" customWidth="1"/>
    <col min="11520" max="11520" width="9.33203125" style="33" customWidth="1"/>
    <col min="11521" max="11521" width="45.1640625" style="33" bestFit="1" customWidth="1"/>
    <col min="11522" max="11522" width="9.5" style="33" customWidth="1"/>
    <col min="11523" max="11523" width="7.1640625" style="33" customWidth="1"/>
    <col min="11524" max="11524" width="11.6640625" style="33" customWidth="1"/>
    <col min="11525" max="11525" width="1.33203125" style="33" customWidth="1"/>
    <col min="11526" max="11526" width="10.1640625" style="33" customWidth="1"/>
    <col min="11527" max="11527" width="7.1640625" style="33" customWidth="1"/>
    <col min="11528" max="11528" width="9.6640625" style="33" customWidth="1"/>
    <col min="11529" max="11529" width="10.83203125" style="33" bestFit="1" customWidth="1"/>
    <col min="11530" max="11531" width="13.33203125" style="33" bestFit="1" customWidth="1"/>
    <col min="11532" max="11532" width="11.83203125" style="33" customWidth="1"/>
    <col min="11533" max="11533" width="11.5" style="33" bestFit="1" customWidth="1"/>
    <col min="11534" max="11534" width="11.6640625" style="33" bestFit="1" customWidth="1"/>
    <col min="11535" max="11535" width="2.6640625" style="33" customWidth="1"/>
    <col min="11536" max="11537" width="13.1640625" style="33" bestFit="1" customWidth="1"/>
    <col min="11538" max="11538" width="12.83203125" style="33" bestFit="1" customWidth="1"/>
    <col min="11539" max="11539" width="14.6640625" style="33"/>
    <col min="11540" max="11540" width="11.6640625" style="33" bestFit="1" customWidth="1"/>
    <col min="11541" max="11541" width="12.83203125" style="33" bestFit="1" customWidth="1"/>
    <col min="11542" max="11773" width="14.6640625" style="33"/>
    <col min="11774" max="11774" width="17" style="33" customWidth="1"/>
    <col min="11775" max="11775" width="8.1640625" style="33" customWidth="1"/>
    <col min="11776" max="11776" width="9.33203125" style="33" customWidth="1"/>
    <col min="11777" max="11777" width="45.1640625" style="33" bestFit="1" customWidth="1"/>
    <col min="11778" max="11778" width="9.5" style="33" customWidth="1"/>
    <col min="11779" max="11779" width="7.1640625" style="33" customWidth="1"/>
    <col min="11780" max="11780" width="11.6640625" style="33" customWidth="1"/>
    <col min="11781" max="11781" width="1.33203125" style="33" customWidth="1"/>
    <col min="11782" max="11782" width="10.1640625" style="33" customWidth="1"/>
    <col min="11783" max="11783" width="7.1640625" style="33" customWidth="1"/>
    <col min="11784" max="11784" width="9.6640625" style="33" customWidth="1"/>
    <col min="11785" max="11785" width="10.83203125" style="33" bestFit="1" customWidth="1"/>
    <col min="11786" max="11787" width="13.33203125" style="33" bestFit="1" customWidth="1"/>
    <col min="11788" max="11788" width="11.83203125" style="33" customWidth="1"/>
    <col min="11789" max="11789" width="11.5" style="33" bestFit="1" customWidth="1"/>
    <col min="11790" max="11790" width="11.6640625" style="33" bestFit="1" customWidth="1"/>
    <col min="11791" max="11791" width="2.6640625" style="33" customWidth="1"/>
    <col min="11792" max="11793" width="13.1640625" style="33" bestFit="1" customWidth="1"/>
    <col min="11794" max="11794" width="12.83203125" style="33" bestFit="1" customWidth="1"/>
    <col min="11795" max="11795" width="14.6640625" style="33"/>
    <col min="11796" max="11796" width="11.6640625" style="33" bestFit="1" customWidth="1"/>
    <col min="11797" max="11797" width="12.83203125" style="33" bestFit="1" customWidth="1"/>
    <col min="11798" max="12029" width="14.6640625" style="33"/>
    <col min="12030" max="12030" width="17" style="33" customWidth="1"/>
    <col min="12031" max="12031" width="8.1640625" style="33" customWidth="1"/>
    <col min="12032" max="12032" width="9.33203125" style="33" customWidth="1"/>
    <col min="12033" max="12033" width="45.1640625" style="33" bestFit="1" customWidth="1"/>
    <col min="12034" max="12034" width="9.5" style="33" customWidth="1"/>
    <col min="12035" max="12035" width="7.1640625" style="33" customWidth="1"/>
    <col min="12036" max="12036" width="11.6640625" style="33" customWidth="1"/>
    <col min="12037" max="12037" width="1.33203125" style="33" customWidth="1"/>
    <col min="12038" max="12038" width="10.1640625" style="33" customWidth="1"/>
    <col min="12039" max="12039" width="7.1640625" style="33" customWidth="1"/>
    <col min="12040" max="12040" width="9.6640625" style="33" customWidth="1"/>
    <col min="12041" max="12041" width="10.83203125" style="33" bestFit="1" customWidth="1"/>
    <col min="12042" max="12043" width="13.33203125" style="33" bestFit="1" customWidth="1"/>
    <col min="12044" max="12044" width="11.83203125" style="33" customWidth="1"/>
    <col min="12045" max="12045" width="11.5" style="33" bestFit="1" customWidth="1"/>
    <col min="12046" max="12046" width="11.6640625" style="33" bestFit="1" customWidth="1"/>
    <col min="12047" max="12047" width="2.6640625" style="33" customWidth="1"/>
    <col min="12048" max="12049" width="13.1640625" style="33" bestFit="1" customWidth="1"/>
    <col min="12050" max="12050" width="12.83203125" style="33" bestFit="1" customWidth="1"/>
    <col min="12051" max="12051" width="14.6640625" style="33"/>
    <col min="12052" max="12052" width="11.6640625" style="33" bestFit="1" customWidth="1"/>
    <col min="12053" max="12053" width="12.83203125" style="33" bestFit="1" customWidth="1"/>
    <col min="12054" max="12285" width="14.6640625" style="33"/>
    <col min="12286" max="12286" width="17" style="33" customWidth="1"/>
    <col min="12287" max="12287" width="8.1640625" style="33" customWidth="1"/>
    <col min="12288" max="12288" width="9.33203125" style="33" customWidth="1"/>
    <col min="12289" max="12289" width="45.1640625" style="33" bestFit="1" customWidth="1"/>
    <col min="12290" max="12290" width="9.5" style="33" customWidth="1"/>
    <col min="12291" max="12291" width="7.1640625" style="33" customWidth="1"/>
    <col min="12292" max="12292" width="11.6640625" style="33" customWidth="1"/>
    <col min="12293" max="12293" width="1.33203125" style="33" customWidth="1"/>
    <col min="12294" max="12294" width="10.1640625" style="33" customWidth="1"/>
    <col min="12295" max="12295" width="7.1640625" style="33" customWidth="1"/>
    <col min="12296" max="12296" width="9.6640625" style="33" customWidth="1"/>
    <col min="12297" max="12297" width="10.83203125" style="33" bestFit="1" customWidth="1"/>
    <col min="12298" max="12299" width="13.33203125" style="33" bestFit="1" customWidth="1"/>
    <col min="12300" max="12300" width="11.83203125" style="33" customWidth="1"/>
    <col min="12301" max="12301" width="11.5" style="33" bestFit="1" customWidth="1"/>
    <col min="12302" max="12302" width="11.6640625" style="33" bestFit="1" customWidth="1"/>
    <col min="12303" max="12303" width="2.6640625" style="33" customWidth="1"/>
    <col min="12304" max="12305" width="13.1640625" style="33" bestFit="1" customWidth="1"/>
    <col min="12306" max="12306" width="12.83203125" style="33" bestFit="1" customWidth="1"/>
    <col min="12307" max="12307" width="14.6640625" style="33"/>
    <col min="12308" max="12308" width="11.6640625" style="33" bestFit="1" customWidth="1"/>
    <col min="12309" max="12309" width="12.83203125" style="33" bestFit="1" customWidth="1"/>
    <col min="12310" max="12541" width="14.6640625" style="33"/>
    <col min="12542" max="12542" width="17" style="33" customWidth="1"/>
    <col min="12543" max="12543" width="8.1640625" style="33" customWidth="1"/>
    <col min="12544" max="12544" width="9.33203125" style="33" customWidth="1"/>
    <col min="12545" max="12545" width="45.1640625" style="33" bestFit="1" customWidth="1"/>
    <col min="12546" max="12546" width="9.5" style="33" customWidth="1"/>
    <col min="12547" max="12547" width="7.1640625" style="33" customWidth="1"/>
    <col min="12548" max="12548" width="11.6640625" style="33" customWidth="1"/>
    <col min="12549" max="12549" width="1.33203125" style="33" customWidth="1"/>
    <col min="12550" max="12550" width="10.1640625" style="33" customWidth="1"/>
    <col min="12551" max="12551" width="7.1640625" style="33" customWidth="1"/>
    <col min="12552" max="12552" width="9.6640625" style="33" customWidth="1"/>
    <col min="12553" max="12553" width="10.83203125" style="33" bestFit="1" customWidth="1"/>
    <col min="12554" max="12555" width="13.33203125" style="33" bestFit="1" customWidth="1"/>
    <col min="12556" max="12556" width="11.83203125" style="33" customWidth="1"/>
    <col min="12557" max="12557" width="11.5" style="33" bestFit="1" customWidth="1"/>
    <col min="12558" max="12558" width="11.6640625" style="33" bestFit="1" customWidth="1"/>
    <col min="12559" max="12559" width="2.6640625" style="33" customWidth="1"/>
    <col min="12560" max="12561" width="13.1640625" style="33" bestFit="1" customWidth="1"/>
    <col min="12562" max="12562" width="12.83203125" style="33" bestFit="1" customWidth="1"/>
    <col min="12563" max="12563" width="14.6640625" style="33"/>
    <col min="12564" max="12564" width="11.6640625" style="33" bestFit="1" customWidth="1"/>
    <col min="12565" max="12565" width="12.83203125" style="33" bestFit="1" customWidth="1"/>
    <col min="12566" max="12797" width="14.6640625" style="33"/>
    <col min="12798" max="12798" width="17" style="33" customWidth="1"/>
    <col min="12799" max="12799" width="8.1640625" style="33" customWidth="1"/>
    <col min="12800" max="12800" width="9.33203125" style="33" customWidth="1"/>
    <col min="12801" max="12801" width="45.1640625" style="33" bestFit="1" customWidth="1"/>
    <col min="12802" max="12802" width="9.5" style="33" customWidth="1"/>
    <col min="12803" max="12803" width="7.1640625" style="33" customWidth="1"/>
    <col min="12804" max="12804" width="11.6640625" style="33" customWidth="1"/>
    <col min="12805" max="12805" width="1.33203125" style="33" customWidth="1"/>
    <col min="12806" max="12806" width="10.1640625" style="33" customWidth="1"/>
    <col min="12807" max="12807" width="7.1640625" style="33" customWidth="1"/>
    <col min="12808" max="12808" width="9.6640625" style="33" customWidth="1"/>
    <col min="12809" max="12809" width="10.83203125" style="33" bestFit="1" customWidth="1"/>
    <col min="12810" max="12811" width="13.33203125" style="33" bestFit="1" customWidth="1"/>
    <col min="12812" max="12812" width="11.83203125" style="33" customWidth="1"/>
    <col min="12813" max="12813" width="11.5" style="33" bestFit="1" customWidth="1"/>
    <col min="12814" max="12814" width="11.6640625" style="33" bestFit="1" customWidth="1"/>
    <col min="12815" max="12815" width="2.6640625" style="33" customWidth="1"/>
    <col min="12816" max="12817" width="13.1640625" style="33" bestFit="1" customWidth="1"/>
    <col min="12818" max="12818" width="12.83203125" style="33" bestFit="1" customWidth="1"/>
    <col min="12819" max="12819" width="14.6640625" style="33"/>
    <col min="12820" max="12820" width="11.6640625" style="33" bestFit="1" customWidth="1"/>
    <col min="12821" max="12821" width="12.83203125" style="33" bestFit="1" customWidth="1"/>
    <col min="12822" max="13053" width="14.6640625" style="33"/>
    <col min="13054" max="13054" width="17" style="33" customWidth="1"/>
    <col min="13055" max="13055" width="8.1640625" style="33" customWidth="1"/>
    <col min="13056" max="13056" width="9.33203125" style="33" customWidth="1"/>
    <col min="13057" max="13057" width="45.1640625" style="33" bestFit="1" customWidth="1"/>
    <col min="13058" max="13058" width="9.5" style="33" customWidth="1"/>
    <col min="13059" max="13059" width="7.1640625" style="33" customWidth="1"/>
    <col min="13060" max="13060" width="11.6640625" style="33" customWidth="1"/>
    <col min="13061" max="13061" width="1.33203125" style="33" customWidth="1"/>
    <col min="13062" max="13062" width="10.1640625" style="33" customWidth="1"/>
    <col min="13063" max="13063" width="7.1640625" style="33" customWidth="1"/>
    <col min="13064" max="13064" width="9.6640625" style="33" customWidth="1"/>
    <col min="13065" max="13065" width="10.83203125" style="33" bestFit="1" customWidth="1"/>
    <col min="13066" max="13067" width="13.33203125" style="33" bestFit="1" customWidth="1"/>
    <col min="13068" max="13068" width="11.83203125" style="33" customWidth="1"/>
    <col min="13069" max="13069" width="11.5" style="33" bestFit="1" customWidth="1"/>
    <col min="13070" max="13070" width="11.6640625" style="33" bestFit="1" customWidth="1"/>
    <col min="13071" max="13071" width="2.6640625" style="33" customWidth="1"/>
    <col min="13072" max="13073" width="13.1640625" style="33" bestFit="1" customWidth="1"/>
    <col min="13074" max="13074" width="12.83203125" style="33" bestFit="1" customWidth="1"/>
    <col min="13075" max="13075" width="14.6640625" style="33"/>
    <col min="13076" max="13076" width="11.6640625" style="33" bestFit="1" customWidth="1"/>
    <col min="13077" max="13077" width="12.83203125" style="33" bestFit="1" customWidth="1"/>
    <col min="13078" max="13309" width="14.6640625" style="33"/>
    <col min="13310" max="13310" width="17" style="33" customWidth="1"/>
    <col min="13311" max="13311" width="8.1640625" style="33" customWidth="1"/>
    <col min="13312" max="13312" width="9.33203125" style="33" customWidth="1"/>
    <col min="13313" max="13313" width="45.1640625" style="33" bestFit="1" customWidth="1"/>
    <col min="13314" max="13314" width="9.5" style="33" customWidth="1"/>
    <col min="13315" max="13315" width="7.1640625" style="33" customWidth="1"/>
    <col min="13316" max="13316" width="11.6640625" style="33" customWidth="1"/>
    <col min="13317" max="13317" width="1.33203125" style="33" customWidth="1"/>
    <col min="13318" max="13318" width="10.1640625" style="33" customWidth="1"/>
    <col min="13319" max="13319" width="7.1640625" style="33" customWidth="1"/>
    <col min="13320" max="13320" width="9.6640625" style="33" customWidth="1"/>
    <col min="13321" max="13321" width="10.83203125" style="33" bestFit="1" customWidth="1"/>
    <col min="13322" max="13323" width="13.33203125" style="33" bestFit="1" customWidth="1"/>
    <col min="13324" max="13324" width="11.83203125" style="33" customWidth="1"/>
    <col min="13325" max="13325" width="11.5" style="33" bestFit="1" customWidth="1"/>
    <col min="13326" max="13326" width="11.6640625" style="33" bestFit="1" customWidth="1"/>
    <col min="13327" max="13327" width="2.6640625" style="33" customWidth="1"/>
    <col min="13328" max="13329" width="13.1640625" style="33" bestFit="1" customWidth="1"/>
    <col min="13330" max="13330" width="12.83203125" style="33" bestFit="1" customWidth="1"/>
    <col min="13331" max="13331" width="14.6640625" style="33"/>
    <col min="13332" max="13332" width="11.6640625" style="33" bestFit="1" customWidth="1"/>
    <col min="13333" max="13333" width="12.83203125" style="33" bestFit="1" customWidth="1"/>
    <col min="13334" max="13565" width="14.6640625" style="33"/>
    <col min="13566" max="13566" width="17" style="33" customWidth="1"/>
    <col min="13567" max="13567" width="8.1640625" style="33" customWidth="1"/>
    <col min="13568" max="13568" width="9.33203125" style="33" customWidth="1"/>
    <col min="13569" max="13569" width="45.1640625" style="33" bestFit="1" customWidth="1"/>
    <col min="13570" max="13570" width="9.5" style="33" customWidth="1"/>
    <col min="13571" max="13571" width="7.1640625" style="33" customWidth="1"/>
    <col min="13572" max="13572" width="11.6640625" style="33" customWidth="1"/>
    <col min="13573" max="13573" width="1.33203125" style="33" customWidth="1"/>
    <col min="13574" max="13574" width="10.1640625" style="33" customWidth="1"/>
    <col min="13575" max="13575" width="7.1640625" style="33" customWidth="1"/>
    <col min="13576" max="13576" width="9.6640625" style="33" customWidth="1"/>
    <col min="13577" max="13577" width="10.83203125" style="33" bestFit="1" customWidth="1"/>
    <col min="13578" max="13579" width="13.33203125" style="33" bestFit="1" customWidth="1"/>
    <col min="13580" max="13580" width="11.83203125" style="33" customWidth="1"/>
    <col min="13581" max="13581" width="11.5" style="33" bestFit="1" customWidth="1"/>
    <col min="13582" max="13582" width="11.6640625" style="33" bestFit="1" customWidth="1"/>
    <col min="13583" max="13583" width="2.6640625" style="33" customWidth="1"/>
    <col min="13584" max="13585" width="13.1640625" style="33" bestFit="1" customWidth="1"/>
    <col min="13586" max="13586" width="12.83203125" style="33" bestFit="1" customWidth="1"/>
    <col min="13587" max="13587" width="14.6640625" style="33"/>
    <col min="13588" max="13588" width="11.6640625" style="33" bestFit="1" customWidth="1"/>
    <col min="13589" max="13589" width="12.83203125" style="33" bestFit="1" customWidth="1"/>
    <col min="13590" max="13821" width="14.6640625" style="33"/>
    <col min="13822" max="13822" width="17" style="33" customWidth="1"/>
    <col min="13823" max="13823" width="8.1640625" style="33" customWidth="1"/>
    <col min="13824" max="13824" width="9.33203125" style="33" customWidth="1"/>
    <col min="13825" max="13825" width="45.1640625" style="33" bestFit="1" customWidth="1"/>
    <col min="13826" max="13826" width="9.5" style="33" customWidth="1"/>
    <col min="13827" max="13827" width="7.1640625" style="33" customWidth="1"/>
    <col min="13828" max="13828" width="11.6640625" style="33" customWidth="1"/>
    <col min="13829" max="13829" width="1.33203125" style="33" customWidth="1"/>
    <col min="13830" max="13830" width="10.1640625" style="33" customWidth="1"/>
    <col min="13831" max="13831" width="7.1640625" style="33" customWidth="1"/>
    <col min="13832" max="13832" width="9.6640625" style="33" customWidth="1"/>
    <col min="13833" max="13833" width="10.83203125" style="33" bestFit="1" customWidth="1"/>
    <col min="13834" max="13835" width="13.33203125" style="33" bestFit="1" customWidth="1"/>
    <col min="13836" max="13836" width="11.83203125" style="33" customWidth="1"/>
    <col min="13837" max="13837" width="11.5" style="33" bestFit="1" customWidth="1"/>
    <col min="13838" max="13838" width="11.6640625" style="33" bestFit="1" customWidth="1"/>
    <col min="13839" max="13839" width="2.6640625" style="33" customWidth="1"/>
    <col min="13840" max="13841" width="13.1640625" style="33" bestFit="1" customWidth="1"/>
    <col min="13842" max="13842" width="12.83203125" style="33" bestFit="1" customWidth="1"/>
    <col min="13843" max="13843" width="14.6640625" style="33"/>
    <col min="13844" max="13844" width="11.6640625" style="33" bestFit="1" customWidth="1"/>
    <col min="13845" max="13845" width="12.83203125" style="33" bestFit="1" customWidth="1"/>
    <col min="13846" max="14077" width="14.6640625" style="33"/>
    <col min="14078" max="14078" width="17" style="33" customWidth="1"/>
    <col min="14079" max="14079" width="8.1640625" style="33" customWidth="1"/>
    <col min="14080" max="14080" width="9.33203125" style="33" customWidth="1"/>
    <col min="14081" max="14081" width="45.1640625" style="33" bestFit="1" customWidth="1"/>
    <col min="14082" max="14082" width="9.5" style="33" customWidth="1"/>
    <col min="14083" max="14083" width="7.1640625" style="33" customWidth="1"/>
    <col min="14084" max="14084" width="11.6640625" style="33" customWidth="1"/>
    <col min="14085" max="14085" width="1.33203125" style="33" customWidth="1"/>
    <col min="14086" max="14086" width="10.1640625" style="33" customWidth="1"/>
    <col min="14087" max="14087" width="7.1640625" style="33" customWidth="1"/>
    <col min="14088" max="14088" width="9.6640625" style="33" customWidth="1"/>
    <col min="14089" max="14089" width="10.83203125" style="33" bestFit="1" customWidth="1"/>
    <col min="14090" max="14091" width="13.33203125" style="33" bestFit="1" customWidth="1"/>
    <col min="14092" max="14092" width="11.83203125" style="33" customWidth="1"/>
    <col min="14093" max="14093" width="11.5" style="33" bestFit="1" customWidth="1"/>
    <col min="14094" max="14094" width="11.6640625" style="33" bestFit="1" customWidth="1"/>
    <col min="14095" max="14095" width="2.6640625" style="33" customWidth="1"/>
    <col min="14096" max="14097" width="13.1640625" style="33" bestFit="1" customWidth="1"/>
    <col min="14098" max="14098" width="12.83203125" style="33" bestFit="1" customWidth="1"/>
    <col min="14099" max="14099" width="14.6640625" style="33"/>
    <col min="14100" max="14100" width="11.6640625" style="33" bestFit="1" customWidth="1"/>
    <col min="14101" max="14101" width="12.83203125" style="33" bestFit="1" customWidth="1"/>
    <col min="14102" max="14333" width="14.6640625" style="33"/>
    <col min="14334" max="14334" width="17" style="33" customWidth="1"/>
    <col min="14335" max="14335" width="8.1640625" style="33" customWidth="1"/>
    <col min="14336" max="14336" width="9.33203125" style="33" customWidth="1"/>
    <col min="14337" max="14337" width="45.1640625" style="33" bestFit="1" customWidth="1"/>
    <col min="14338" max="14338" width="9.5" style="33" customWidth="1"/>
    <col min="14339" max="14339" width="7.1640625" style="33" customWidth="1"/>
    <col min="14340" max="14340" width="11.6640625" style="33" customWidth="1"/>
    <col min="14341" max="14341" width="1.33203125" style="33" customWidth="1"/>
    <col min="14342" max="14342" width="10.1640625" style="33" customWidth="1"/>
    <col min="14343" max="14343" width="7.1640625" style="33" customWidth="1"/>
    <col min="14344" max="14344" width="9.6640625" style="33" customWidth="1"/>
    <col min="14345" max="14345" width="10.83203125" style="33" bestFit="1" customWidth="1"/>
    <col min="14346" max="14347" width="13.33203125" style="33" bestFit="1" customWidth="1"/>
    <col min="14348" max="14348" width="11.83203125" style="33" customWidth="1"/>
    <col min="14349" max="14349" width="11.5" style="33" bestFit="1" customWidth="1"/>
    <col min="14350" max="14350" width="11.6640625" style="33" bestFit="1" customWidth="1"/>
    <col min="14351" max="14351" width="2.6640625" style="33" customWidth="1"/>
    <col min="14352" max="14353" width="13.1640625" style="33" bestFit="1" customWidth="1"/>
    <col min="14354" max="14354" width="12.83203125" style="33" bestFit="1" customWidth="1"/>
    <col min="14355" max="14355" width="14.6640625" style="33"/>
    <col min="14356" max="14356" width="11.6640625" style="33" bestFit="1" customWidth="1"/>
    <col min="14357" max="14357" width="12.83203125" style="33" bestFit="1" customWidth="1"/>
    <col min="14358" max="14589" width="14.6640625" style="33"/>
    <col min="14590" max="14590" width="17" style="33" customWidth="1"/>
    <col min="14591" max="14591" width="8.1640625" style="33" customWidth="1"/>
    <col min="14592" max="14592" width="9.33203125" style="33" customWidth="1"/>
    <col min="14593" max="14593" width="45.1640625" style="33" bestFit="1" customWidth="1"/>
    <col min="14594" max="14594" width="9.5" style="33" customWidth="1"/>
    <col min="14595" max="14595" width="7.1640625" style="33" customWidth="1"/>
    <col min="14596" max="14596" width="11.6640625" style="33" customWidth="1"/>
    <col min="14597" max="14597" width="1.33203125" style="33" customWidth="1"/>
    <col min="14598" max="14598" width="10.1640625" style="33" customWidth="1"/>
    <col min="14599" max="14599" width="7.1640625" style="33" customWidth="1"/>
    <col min="14600" max="14600" width="9.6640625" style="33" customWidth="1"/>
    <col min="14601" max="14601" width="10.83203125" style="33" bestFit="1" customWidth="1"/>
    <col min="14602" max="14603" width="13.33203125" style="33" bestFit="1" customWidth="1"/>
    <col min="14604" max="14604" width="11.83203125" style="33" customWidth="1"/>
    <col min="14605" max="14605" width="11.5" style="33" bestFit="1" customWidth="1"/>
    <col min="14606" max="14606" width="11.6640625" style="33" bestFit="1" customWidth="1"/>
    <col min="14607" max="14607" width="2.6640625" style="33" customWidth="1"/>
    <col min="14608" max="14609" width="13.1640625" style="33" bestFit="1" customWidth="1"/>
    <col min="14610" max="14610" width="12.83203125" style="33" bestFit="1" customWidth="1"/>
    <col min="14611" max="14611" width="14.6640625" style="33"/>
    <col min="14612" max="14612" width="11.6640625" style="33" bestFit="1" customWidth="1"/>
    <col min="14613" max="14613" width="12.83203125" style="33" bestFit="1" customWidth="1"/>
    <col min="14614" max="14845" width="14.6640625" style="33"/>
    <col min="14846" max="14846" width="17" style="33" customWidth="1"/>
    <col min="14847" max="14847" width="8.1640625" style="33" customWidth="1"/>
    <col min="14848" max="14848" width="9.33203125" style="33" customWidth="1"/>
    <col min="14849" max="14849" width="45.1640625" style="33" bestFit="1" customWidth="1"/>
    <col min="14850" max="14850" width="9.5" style="33" customWidth="1"/>
    <col min="14851" max="14851" width="7.1640625" style="33" customWidth="1"/>
    <col min="14852" max="14852" width="11.6640625" style="33" customWidth="1"/>
    <col min="14853" max="14853" width="1.33203125" style="33" customWidth="1"/>
    <col min="14854" max="14854" width="10.1640625" style="33" customWidth="1"/>
    <col min="14855" max="14855" width="7.1640625" style="33" customWidth="1"/>
    <col min="14856" max="14856" width="9.6640625" style="33" customWidth="1"/>
    <col min="14857" max="14857" width="10.83203125" style="33" bestFit="1" customWidth="1"/>
    <col min="14858" max="14859" width="13.33203125" style="33" bestFit="1" customWidth="1"/>
    <col min="14860" max="14860" width="11.83203125" style="33" customWidth="1"/>
    <col min="14861" max="14861" width="11.5" style="33" bestFit="1" customWidth="1"/>
    <col min="14862" max="14862" width="11.6640625" style="33" bestFit="1" customWidth="1"/>
    <col min="14863" max="14863" width="2.6640625" style="33" customWidth="1"/>
    <col min="14864" max="14865" width="13.1640625" style="33" bestFit="1" customWidth="1"/>
    <col min="14866" max="14866" width="12.83203125" style="33" bestFit="1" customWidth="1"/>
    <col min="14867" max="14867" width="14.6640625" style="33"/>
    <col min="14868" max="14868" width="11.6640625" style="33" bestFit="1" customWidth="1"/>
    <col min="14869" max="14869" width="12.83203125" style="33" bestFit="1" customWidth="1"/>
    <col min="14870" max="15101" width="14.6640625" style="33"/>
    <col min="15102" max="15102" width="17" style="33" customWidth="1"/>
    <col min="15103" max="15103" width="8.1640625" style="33" customWidth="1"/>
    <col min="15104" max="15104" width="9.33203125" style="33" customWidth="1"/>
    <col min="15105" max="15105" width="45.1640625" style="33" bestFit="1" customWidth="1"/>
    <col min="15106" max="15106" width="9.5" style="33" customWidth="1"/>
    <col min="15107" max="15107" width="7.1640625" style="33" customWidth="1"/>
    <col min="15108" max="15108" width="11.6640625" style="33" customWidth="1"/>
    <col min="15109" max="15109" width="1.33203125" style="33" customWidth="1"/>
    <col min="15110" max="15110" width="10.1640625" style="33" customWidth="1"/>
    <col min="15111" max="15111" width="7.1640625" style="33" customWidth="1"/>
    <col min="15112" max="15112" width="9.6640625" style="33" customWidth="1"/>
    <col min="15113" max="15113" width="10.83203125" style="33" bestFit="1" customWidth="1"/>
    <col min="15114" max="15115" width="13.33203125" style="33" bestFit="1" customWidth="1"/>
    <col min="15116" max="15116" width="11.83203125" style="33" customWidth="1"/>
    <col min="15117" max="15117" width="11.5" style="33" bestFit="1" customWidth="1"/>
    <col min="15118" max="15118" width="11.6640625" style="33" bestFit="1" customWidth="1"/>
    <col min="15119" max="15119" width="2.6640625" style="33" customWidth="1"/>
    <col min="15120" max="15121" width="13.1640625" style="33" bestFit="1" customWidth="1"/>
    <col min="15122" max="15122" width="12.83203125" style="33" bestFit="1" customWidth="1"/>
    <col min="15123" max="15123" width="14.6640625" style="33"/>
    <col min="15124" max="15124" width="11.6640625" style="33" bestFit="1" customWidth="1"/>
    <col min="15125" max="15125" width="12.83203125" style="33" bestFit="1" customWidth="1"/>
    <col min="15126" max="15357" width="14.6640625" style="33"/>
    <col min="15358" max="15358" width="17" style="33" customWidth="1"/>
    <col min="15359" max="15359" width="8.1640625" style="33" customWidth="1"/>
    <col min="15360" max="15360" width="9.33203125" style="33" customWidth="1"/>
    <col min="15361" max="15361" width="45.1640625" style="33" bestFit="1" customWidth="1"/>
    <col min="15362" max="15362" width="9.5" style="33" customWidth="1"/>
    <col min="15363" max="15363" width="7.1640625" style="33" customWidth="1"/>
    <col min="15364" max="15364" width="11.6640625" style="33" customWidth="1"/>
    <col min="15365" max="15365" width="1.33203125" style="33" customWidth="1"/>
    <col min="15366" max="15366" width="10.1640625" style="33" customWidth="1"/>
    <col min="15367" max="15367" width="7.1640625" style="33" customWidth="1"/>
    <col min="15368" max="15368" width="9.6640625" style="33" customWidth="1"/>
    <col min="15369" max="15369" width="10.83203125" style="33" bestFit="1" customWidth="1"/>
    <col min="15370" max="15371" width="13.33203125" style="33" bestFit="1" customWidth="1"/>
    <col min="15372" max="15372" width="11.83203125" style="33" customWidth="1"/>
    <col min="15373" max="15373" width="11.5" style="33" bestFit="1" customWidth="1"/>
    <col min="15374" max="15374" width="11.6640625" style="33" bestFit="1" customWidth="1"/>
    <col min="15375" max="15375" width="2.6640625" style="33" customWidth="1"/>
    <col min="15376" max="15377" width="13.1640625" style="33" bestFit="1" customWidth="1"/>
    <col min="15378" max="15378" width="12.83203125" style="33" bestFit="1" customWidth="1"/>
    <col min="15379" max="15379" width="14.6640625" style="33"/>
    <col min="15380" max="15380" width="11.6640625" style="33" bestFit="1" customWidth="1"/>
    <col min="15381" max="15381" width="12.83203125" style="33" bestFit="1" customWidth="1"/>
    <col min="15382" max="15613" width="14.6640625" style="33"/>
    <col min="15614" max="15614" width="17" style="33" customWidth="1"/>
    <col min="15615" max="15615" width="8.1640625" style="33" customWidth="1"/>
    <col min="15616" max="15616" width="9.33203125" style="33" customWidth="1"/>
    <col min="15617" max="15617" width="45.1640625" style="33" bestFit="1" customWidth="1"/>
    <col min="15618" max="15618" width="9.5" style="33" customWidth="1"/>
    <col min="15619" max="15619" width="7.1640625" style="33" customWidth="1"/>
    <col min="15620" max="15620" width="11.6640625" style="33" customWidth="1"/>
    <col min="15621" max="15621" width="1.33203125" style="33" customWidth="1"/>
    <col min="15622" max="15622" width="10.1640625" style="33" customWidth="1"/>
    <col min="15623" max="15623" width="7.1640625" style="33" customWidth="1"/>
    <col min="15624" max="15624" width="9.6640625" style="33" customWidth="1"/>
    <col min="15625" max="15625" width="10.83203125" style="33" bestFit="1" customWidth="1"/>
    <col min="15626" max="15627" width="13.33203125" style="33" bestFit="1" customWidth="1"/>
    <col min="15628" max="15628" width="11.83203125" style="33" customWidth="1"/>
    <col min="15629" max="15629" width="11.5" style="33" bestFit="1" customWidth="1"/>
    <col min="15630" max="15630" width="11.6640625" style="33" bestFit="1" customWidth="1"/>
    <col min="15631" max="15631" width="2.6640625" style="33" customWidth="1"/>
    <col min="15632" max="15633" width="13.1640625" style="33" bestFit="1" customWidth="1"/>
    <col min="15634" max="15634" width="12.83203125" style="33" bestFit="1" customWidth="1"/>
    <col min="15635" max="15635" width="14.6640625" style="33"/>
    <col min="15636" max="15636" width="11.6640625" style="33" bestFit="1" customWidth="1"/>
    <col min="15637" max="15637" width="12.83203125" style="33" bestFit="1" customWidth="1"/>
    <col min="15638" max="15869" width="14.6640625" style="33"/>
    <col min="15870" max="15870" width="17" style="33" customWidth="1"/>
    <col min="15871" max="15871" width="8.1640625" style="33" customWidth="1"/>
    <col min="15872" max="15872" width="9.33203125" style="33" customWidth="1"/>
    <col min="15873" max="15873" width="45.1640625" style="33" bestFit="1" customWidth="1"/>
    <col min="15874" max="15874" width="9.5" style="33" customWidth="1"/>
    <col min="15875" max="15875" width="7.1640625" style="33" customWidth="1"/>
    <col min="15876" max="15876" width="11.6640625" style="33" customWidth="1"/>
    <col min="15877" max="15877" width="1.33203125" style="33" customWidth="1"/>
    <col min="15878" max="15878" width="10.1640625" style="33" customWidth="1"/>
    <col min="15879" max="15879" width="7.1640625" style="33" customWidth="1"/>
    <col min="15880" max="15880" width="9.6640625" style="33" customWidth="1"/>
    <col min="15881" max="15881" width="10.83203125" style="33" bestFit="1" customWidth="1"/>
    <col min="15882" max="15883" width="13.33203125" style="33" bestFit="1" customWidth="1"/>
    <col min="15884" max="15884" width="11.83203125" style="33" customWidth="1"/>
    <col min="15885" max="15885" width="11.5" style="33" bestFit="1" customWidth="1"/>
    <col min="15886" max="15886" width="11.6640625" style="33" bestFit="1" customWidth="1"/>
    <col min="15887" max="15887" width="2.6640625" style="33" customWidth="1"/>
    <col min="15888" max="15889" width="13.1640625" style="33" bestFit="1" customWidth="1"/>
    <col min="15890" max="15890" width="12.83203125" style="33" bestFit="1" customWidth="1"/>
    <col min="15891" max="15891" width="14.6640625" style="33"/>
    <col min="15892" max="15892" width="11.6640625" style="33" bestFit="1" customWidth="1"/>
    <col min="15893" max="15893" width="12.83203125" style="33" bestFit="1" customWidth="1"/>
    <col min="15894" max="16125" width="14.6640625" style="33"/>
    <col min="16126" max="16126" width="17" style="33" customWidth="1"/>
    <col min="16127" max="16127" width="8.1640625" style="33" customWidth="1"/>
    <col min="16128" max="16128" width="9.33203125" style="33" customWidth="1"/>
    <col min="16129" max="16129" width="45.1640625" style="33" bestFit="1" customWidth="1"/>
    <col min="16130" max="16130" width="9.5" style="33" customWidth="1"/>
    <col min="16131" max="16131" width="7.1640625" style="33" customWidth="1"/>
    <col min="16132" max="16132" width="11.6640625" style="33" customWidth="1"/>
    <col min="16133" max="16133" width="1.33203125" style="33" customWidth="1"/>
    <col min="16134" max="16134" width="10.1640625" style="33" customWidth="1"/>
    <col min="16135" max="16135" width="7.1640625" style="33" customWidth="1"/>
    <col min="16136" max="16136" width="9.6640625" style="33" customWidth="1"/>
    <col min="16137" max="16137" width="10.83203125" style="33" bestFit="1" customWidth="1"/>
    <col min="16138" max="16139" width="13.33203125" style="33" bestFit="1" customWidth="1"/>
    <col min="16140" max="16140" width="11.83203125" style="33" customWidth="1"/>
    <col min="16141" max="16141" width="11.5" style="33" bestFit="1" customWidth="1"/>
    <col min="16142" max="16142" width="11.6640625" style="33" bestFit="1" customWidth="1"/>
    <col min="16143" max="16143" width="2.6640625" style="33" customWidth="1"/>
    <col min="16144" max="16145" width="13.1640625" style="33" bestFit="1" customWidth="1"/>
    <col min="16146" max="16146" width="12.83203125" style="33" bestFit="1" customWidth="1"/>
    <col min="16147" max="16147" width="14.6640625" style="33"/>
    <col min="16148" max="16148" width="11.6640625" style="33" bestFit="1" customWidth="1"/>
    <col min="16149" max="16149" width="12.83203125" style="33" bestFit="1" customWidth="1"/>
    <col min="16150" max="16384" width="14.6640625" style="33"/>
  </cols>
  <sheetData>
    <row r="1" spans="1:53" x14ac:dyDescent="0.2">
      <c r="D1" s="61" t="s">
        <v>704</v>
      </c>
      <c r="N1" s="63"/>
      <c r="O1" s="63"/>
    </row>
    <row r="2" spans="1:53" ht="15" x14ac:dyDescent="0.25">
      <c r="D2" s="61" t="s">
        <v>307</v>
      </c>
      <c r="N2" s="362">
        <v>12</v>
      </c>
      <c r="O2" s="65" t="s">
        <v>308</v>
      </c>
      <c r="AW2" s="33" t="s">
        <v>309</v>
      </c>
    </row>
    <row r="3" spans="1:53" ht="15" x14ac:dyDescent="0.25">
      <c r="D3" s="66">
        <f>'Depr Summary'!H6</f>
        <v>44865</v>
      </c>
      <c r="N3" s="363">
        <v>2022</v>
      </c>
      <c r="O3" s="65" t="s">
        <v>310</v>
      </c>
      <c r="Q3" s="67"/>
    </row>
    <row r="4" spans="1:53" ht="15" x14ac:dyDescent="0.25">
      <c r="N4" s="363">
        <v>2023</v>
      </c>
      <c r="O4" s="65" t="s">
        <v>311</v>
      </c>
      <c r="AV4" s="33">
        <v>1</v>
      </c>
      <c r="AW4" s="33" t="s">
        <v>312</v>
      </c>
      <c r="AZ4" s="33">
        <v>12</v>
      </c>
      <c r="BA4" s="33" t="s">
        <v>313</v>
      </c>
    </row>
    <row r="5" spans="1:53" ht="12" customHeight="1" x14ac:dyDescent="0.25">
      <c r="E5" s="72" t="s">
        <v>291</v>
      </c>
      <c r="F5" s="72" t="s">
        <v>306</v>
      </c>
      <c r="G5" s="212" t="s">
        <v>650</v>
      </c>
      <c r="N5" s="361">
        <f>+N4+(N2/12)</f>
        <v>2024</v>
      </c>
      <c r="O5" s="65" t="s">
        <v>314</v>
      </c>
      <c r="AW5" s="33">
        <v>1993</v>
      </c>
      <c r="AZ5" s="33">
        <v>0</v>
      </c>
      <c r="BA5" s="33" t="s">
        <v>315</v>
      </c>
    </row>
    <row r="6" spans="1:53" ht="12" customHeight="1" x14ac:dyDescent="0.2">
      <c r="D6" s="233" t="s">
        <v>638</v>
      </c>
      <c r="E6" s="238">
        <f>SUM(M13:M50,M73:M76,M70)</f>
        <v>2542260.8800000004</v>
      </c>
      <c r="F6" s="246">
        <f>E6+'Cont, DB'!D6+'Shop,Serv'!E6+Other!E6</f>
        <v>4594898.9025633177</v>
      </c>
      <c r="G6" s="247">
        <f>F6-'Pre Acquisition'!H347</f>
        <v>275701.38256331999</v>
      </c>
      <c r="AZ6" s="33">
        <v>93</v>
      </c>
      <c r="BA6" s="33" t="s">
        <v>316</v>
      </c>
    </row>
    <row r="7" spans="1:53" x14ac:dyDescent="0.2">
      <c r="E7" s="265">
        <f>E6-M86</f>
        <v>0</v>
      </c>
      <c r="U7" s="37"/>
      <c r="AZ7" s="33">
        <v>94</v>
      </c>
      <c r="BA7" s="33" t="s">
        <v>317</v>
      </c>
    </row>
    <row r="8" spans="1:53" x14ac:dyDescent="0.2">
      <c r="C8" s="63"/>
      <c r="D8" s="63"/>
      <c r="E8" s="63"/>
      <c r="F8" s="63"/>
      <c r="G8" s="69"/>
      <c r="H8" s="63"/>
      <c r="I8" s="63"/>
      <c r="J8" s="69"/>
      <c r="S8" s="37" t="s">
        <v>281</v>
      </c>
      <c r="T8" s="37" t="s">
        <v>318</v>
      </c>
      <c r="U8" s="37"/>
    </row>
    <row r="9" spans="1:53" x14ac:dyDescent="0.2">
      <c r="B9" s="37"/>
      <c r="C9" s="37" t="s">
        <v>319</v>
      </c>
      <c r="D9" s="70"/>
      <c r="E9" s="37" t="s">
        <v>320</v>
      </c>
      <c r="F9" s="37"/>
      <c r="G9" s="71" t="s">
        <v>286</v>
      </c>
      <c r="H9" s="63"/>
      <c r="I9" s="37" t="s">
        <v>319</v>
      </c>
      <c r="J9" s="37"/>
      <c r="K9" s="64" t="s">
        <v>321</v>
      </c>
      <c r="L9" s="72" t="s">
        <v>322</v>
      </c>
      <c r="M9" s="37" t="s">
        <v>319</v>
      </c>
      <c r="N9" s="73" t="s">
        <v>319</v>
      </c>
      <c r="O9" s="73"/>
      <c r="P9" s="37"/>
      <c r="Q9" s="37"/>
      <c r="S9" s="37" t="s">
        <v>323</v>
      </c>
      <c r="T9" s="37" t="s">
        <v>323</v>
      </c>
      <c r="U9" s="37" t="s">
        <v>283</v>
      </c>
    </row>
    <row r="10" spans="1:53" x14ac:dyDescent="0.2">
      <c r="B10" s="37"/>
      <c r="C10" s="37" t="s">
        <v>324</v>
      </c>
      <c r="D10" s="73"/>
      <c r="E10" s="37" t="s">
        <v>325</v>
      </c>
      <c r="F10" s="37"/>
      <c r="G10" s="71" t="s">
        <v>326</v>
      </c>
      <c r="H10" s="63"/>
      <c r="I10" s="37" t="s">
        <v>327</v>
      </c>
      <c r="J10" s="37" t="s">
        <v>328</v>
      </c>
      <c r="K10" s="64" t="s">
        <v>329</v>
      </c>
      <c r="L10" s="72" t="s">
        <v>330</v>
      </c>
      <c r="M10" s="37" t="s">
        <v>331</v>
      </c>
      <c r="N10" s="37" t="s">
        <v>287</v>
      </c>
      <c r="O10" s="37" t="s">
        <v>332</v>
      </c>
      <c r="P10" s="37" t="s">
        <v>333</v>
      </c>
      <c r="Q10" s="37" t="s">
        <v>334</v>
      </c>
      <c r="R10" s="37"/>
      <c r="S10" s="37" t="s">
        <v>335</v>
      </c>
      <c r="T10" s="37" t="s">
        <v>335</v>
      </c>
      <c r="U10" s="37" t="s">
        <v>290</v>
      </c>
      <c r="AV10" s="33">
        <v>2</v>
      </c>
      <c r="AW10" s="33" t="s">
        <v>336</v>
      </c>
    </row>
    <row r="11" spans="1:53" x14ac:dyDescent="0.2">
      <c r="A11" s="74" t="s">
        <v>337</v>
      </c>
      <c r="B11" s="75" t="s">
        <v>338</v>
      </c>
      <c r="C11" s="75" t="s">
        <v>339</v>
      </c>
      <c r="D11" s="70" t="s">
        <v>340</v>
      </c>
      <c r="E11" s="75" t="s">
        <v>321</v>
      </c>
      <c r="F11" s="75" t="s">
        <v>341</v>
      </c>
      <c r="G11" s="76" t="s">
        <v>342</v>
      </c>
      <c r="H11" s="63" t="s">
        <v>343</v>
      </c>
      <c r="I11" s="75" t="s">
        <v>344</v>
      </c>
      <c r="J11" s="75" t="s">
        <v>345</v>
      </c>
      <c r="K11" s="77" t="s">
        <v>287</v>
      </c>
      <c r="L11" s="78" t="s">
        <v>287</v>
      </c>
      <c r="M11" s="75" t="s">
        <v>285</v>
      </c>
      <c r="N11" s="75" t="s">
        <v>285</v>
      </c>
      <c r="O11" s="75" t="s">
        <v>287</v>
      </c>
      <c r="P11" s="75" t="s">
        <v>287</v>
      </c>
      <c r="Q11" s="37" t="s">
        <v>346</v>
      </c>
      <c r="R11" s="37"/>
      <c r="S11" s="79">
        <f>'Depr Summary'!F6</f>
        <v>44501</v>
      </c>
      <c r="T11" s="79">
        <f>+D3</f>
        <v>44865</v>
      </c>
      <c r="U11" s="80">
        <f>D3</f>
        <v>44865</v>
      </c>
    </row>
    <row r="12" spans="1:53" x14ac:dyDescent="0.2">
      <c r="A12" s="74"/>
      <c r="B12" s="75"/>
      <c r="C12" s="75"/>
      <c r="D12" s="70" t="s">
        <v>742</v>
      </c>
      <c r="E12" s="75"/>
      <c r="F12" s="75"/>
      <c r="G12" s="76"/>
      <c r="H12" s="63"/>
      <c r="I12" s="75"/>
      <c r="J12" s="75"/>
      <c r="K12" s="77"/>
      <c r="L12" s="78"/>
      <c r="M12" s="75"/>
      <c r="N12" s="75"/>
      <c r="O12" s="75"/>
      <c r="P12" s="75"/>
      <c r="Q12" s="37"/>
      <c r="R12" s="37"/>
      <c r="S12" s="79"/>
      <c r="T12" s="79"/>
      <c r="U12" s="80"/>
    </row>
    <row r="13" spans="1:53" s="234" customFormat="1" x14ac:dyDescent="0.2">
      <c r="A13" s="231"/>
      <c r="B13" s="232"/>
      <c r="C13" s="233"/>
      <c r="D13" s="234" t="s">
        <v>525</v>
      </c>
      <c r="E13" s="234">
        <v>2003</v>
      </c>
      <c r="F13" s="234">
        <v>6</v>
      </c>
      <c r="G13" s="235">
        <v>0</v>
      </c>
      <c r="I13" s="232" t="s">
        <v>347</v>
      </c>
      <c r="J13" s="236">
        <v>8</v>
      </c>
      <c r="K13" s="233">
        <f t="shared" ref="K13:K34" si="0">E13+J13</f>
        <v>2011</v>
      </c>
      <c r="L13" s="237">
        <f t="shared" ref="L13:L34" si="1">+K13+(F13/12)</f>
        <v>2011.5</v>
      </c>
      <c r="M13" s="238">
        <v>16900</v>
      </c>
      <c r="N13" s="239">
        <f t="shared" ref="N13:N34" si="2">M13-M13*G13</f>
        <v>16900</v>
      </c>
      <c r="O13" s="239">
        <f>N13/J13/12</f>
        <v>176.04166666666666</v>
      </c>
      <c r="P13" s="239">
        <f t="shared" ref="P13:P34" si="3">+O13*12</f>
        <v>2112.5</v>
      </c>
      <c r="Q13" s="240">
        <f t="shared" ref="Q13:Q34" si="4">+IF(L13&lt;=$N$5,0,IF(K13&gt;$N$4,P13,(O13*F13)))</f>
        <v>0</v>
      </c>
      <c r="R13" s="239"/>
      <c r="S13" s="240">
        <f t="shared" ref="S13:S34" si="5">+IF(Q13=0,M13,IF($N$3-E13&lt;1,0,(($N$3-E13)*P13)))</f>
        <v>16900</v>
      </c>
      <c r="T13" s="239">
        <f t="shared" ref="T13:T34" si="6">+IF(Q13=0,S13,S13+Q13)</f>
        <v>16900</v>
      </c>
      <c r="U13" s="240">
        <f t="shared" ref="U13:U34" si="7">+M13-T13</f>
        <v>0</v>
      </c>
    </row>
    <row r="14" spans="1:53" s="234" customFormat="1" x14ac:dyDescent="0.2">
      <c r="A14" s="231"/>
      <c r="B14" s="232"/>
      <c r="C14" s="233">
        <v>10</v>
      </c>
      <c r="D14" s="234" t="s">
        <v>526</v>
      </c>
      <c r="E14" s="234">
        <v>2005</v>
      </c>
      <c r="F14" s="234">
        <v>11</v>
      </c>
      <c r="G14" s="235">
        <v>0</v>
      </c>
      <c r="I14" s="232" t="s">
        <v>347</v>
      </c>
      <c r="J14" s="236">
        <v>8</v>
      </c>
      <c r="K14" s="233">
        <f t="shared" si="0"/>
        <v>2013</v>
      </c>
      <c r="L14" s="237">
        <f t="shared" si="1"/>
        <v>2013.9166666666667</v>
      </c>
      <c r="M14" s="238">
        <v>94830.21</v>
      </c>
      <c r="N14" s="239">
        <f t="shared" si="2"/>
        <v>94830.21</v>
      </c>
      <c r="O14" s="239">
        <f>N14/J14/12</f>
        <v>987.8146875000001</v>
      </c>
      <c r="P14" s="239">
        <f t="shared" si="3"/>
        <v>11853.776250000001</v>
      </c>
      <c r="Q14" s="240">
        <f t="shared" si="4"/>
        <v>0</v>
      </c>
      <c r="R14" s="239"/>
      <c r="S14" s="240">
        <f t="shared" si="5"/>
        <v>94830.21</v>
      </c>
      <c r="T14" s="239">
        <f t="shared" si="6"/>
        <v>94830.21</v>
      </c>
      <c r="U14" s="240">
        <f t="shared" si="7"/>
        <v>0</v>
      </c>
    </row>
    <row r="15" spans="1:53" s="234" customFormat="1" x14ac:dyDescent="0.2">
      <c r="A15" s="231"/>
      <c r="B15" s="232"/>
      <c r="C15" s="233">
        <v>10</v>
      </c>
      <c r="D15" s="234" t="s">
        <v>527</v>
      </c>
      <c r="E15" s="234">
        <v>2007</v>
      </c>
      <c r="F15" s="234">
        <v>8</v>
      </c>
      <c r="G15" s="235">
        <v>0</v>
      </c>
      <c r="I15" s="232" t="s">
        <v>347</v>
      </c>
      <c r="J15" s="236">
        <v>8</v>
      </c>
      <c r="K15" s="233">
        <f t="shared" si="0"/>
        <v>2015</v>
      </c>
      <c r="L15" s="237">
        <f t="shared" si="1"/>
        <v>2015.6666666666667</v>
      </c>
      <c r="M15" s="238">
        <v>121828</v>
      </c>
      <c r="N15" s="239">
        <f t="shared" si="2"/>
        <v>121828</v>
      </c>
      <c r="O15" s="239">
        <f>N15/J15/12</f>
        <v>1269.0416666666667</v>
      </c>
      <c r="P15" s="239">
        <f t="shared" si="3"/>
        <v>15228.5</v>
      </c>
      <c r="Q15" s="240">
        <f t="shared" si="4"/>
        <v>0</v>
      </c>
      <c r="R15" s="239"/>
      <c r="S15" s="240">
        <f t="shared" si="5"/>
        <v>121828</v>
      </c>
      <c r="T15" s="239">
        <f t="shared" si="6"/>
        <v>121828</v>
      </c>
      <c r="U15" s="240">
        <f t="shared" si="7"/>
        <v>0</v>
      </c>
    </row>
    <row r="16" spans="1:53" s="234" customFormat="1" x14ac:dyDescent="0.2">
      <c r="A16" s="231"/>
      <c r="B16" s="232"/>
      <c r="C16" s="233">
        <v>10</v>
      </c>
      <c r="D16" s="234" t="s">
        <v>528</v>
      </c>
      <c r="E16" s="234">
        <v>2007</v>
      </c>
      <c r="F16" s="234">
        <v>8</v>
      </c>
      <c r="G16" s="235">
        <v>0</v>
      </c>
      <c r="I16" s="232" t="s">
        <v>347</v>
      </c>
      <c r="J16" s="236">
        <v>0</v>
      </c>
      <c r="K16" s="233">
        <f t="shared" si="0"/>
        <v>2007</v>
      </c>
      <c r="L16" s="237">
        <f t="shared" si="1"/>
        <v>2007.6666666666667</v>
      </c>
      <c r="M16" s="238">
        <v>0</v>
      </c>
      <c r="N16" s="239">
        <f t="shared" si="2"/>
        <v>0</v>
      </c>
      <c r="O16" s="239">
        <v>0</v>
      </c>
      <c r="P16" s="239">
        <f t="shared" si="3"/>
        <v>0</v>
      </c>
      <c r="Q16" s="240">
        <f t="shared" si="4"/>
        <v>0</v>
      </c>
      <c r="R16" s="239"/>
      <c r="S16" s="240">
        <f t="shared" si="5"/>
        <v>0</v>
      </c>
      <c r="T16" s="239">
        <f t="shared" si="6"/>
        <v>0</v>
      </c>
      <c r="U16" s="240">
        <f t="shared" si="7"/>
        <v>0</v>
      </c>
    </row>
    <row r="17" spans="1:21" s="234" customFormat="1" x14ac:dyDescent="0.2">
      <c r="A17" s="231"/>
      <c r="B17" s="232"/>
      <c r="C17" s="233"/>
      <c r="D17" s="234" t="s">
        <v>529</v>
      </c>
      <c r="E17" s="234">
        <v>2009</v>
      </c>
      <c r="F17" s="234">
        <v>7</v>
      </c>
      <c r="G17" s="235">
        <v>0</v>
      </c>
      <c r="I17" s="232" t="s">
        <v>347</v>
      </c>
      <c r="J17" s="236">
        <v>8</v>
      </c>
      <c r="K17" s="233">
        <f t="shared" si="0"/>
        <v>2017</v>
      </c>
      <c r="L17" s="237">
        <f t="shared" si="1"/>
        <v>2017.5833333333333</v>
      </c>
      <c r="M17" s="238">
        <v>3809.3</v>
      </c>
      <c r="N17" s="239">
        <f t="shared" si="2"/>
        <v>3809.3</v>
      </c>
      <c r="O17" s="239">
        <f t="shared" ref="O17:O36" si="8">N17/J17/12</f>
        <v>39.680208333333333</v>
      </c>
      <c r="P17" s="239">
        <f t="shared" si="3"/>
        <v>476.16250000000002</v>
      </c>
      <c r="Q17" s="240">
        <f t="shared" si="4"/>
        <v>0</v>
      </c>
      <c r="R17" s="239"/>
      <c r="S17" s="240">
        <f t="shared" si="5"/>
        <v>3809.3</v>
      </c>
      <c r="T17" s="239">
        <f t="shared" si="6"/>
        <v>3809.3</v>
      </c>
      <c r="U17" s="240">
        <f t="shared" si="7"/>
        <v>0</v>
      </c>
    </row>
    <row r="18" spans="1:21" s="234" customFormat="1" x14ac:dyDescent="0.2">
      <c r="A18" s="231"/>
      <c r="B18" s="232"/>
      <c r="C18" s="233">
        <v>15</v>
      </c>
      <c r="D18" s="234" t="s">
        <v>530</v>
      </c>
      <c r="E18" s="234">
        <v>2010</v>
      </c>
      <c r="F18" s="234">
        <v>12</v>
      </c>
      <c r="G18" s="235">
        <v>0</v>
      </c>
      <c r="I18" s="232" t="s">
        <v>347</v>
      </c>
      <c r="J18" s="236">
        <v>8</v>
      </c>
      <c r="K18" s="233">
        <f t="shared" si="0"/>
        <v>2018</v>
      </c>
      <c r="L18" s="237">
        <f t="shared" si="1"/>
        <v>2019</v>
      </c>
      <c r="M18" s="238">
        <v>139362</v>
      </c>
      <c r="N18" s="239">
        <f t="shared" si="2"/>
        <v>139362</v>
      </c>
      <c r="O18" s="239">
        <f t="shared" si="8"/>
        <v>1451.6875</v>
      </c>
      <c r="P18" s="239">
        <f t="shared" si="3"/>
        <v>17420.25</v>
      </c>
      <c r="Q18" s="240">
        <f t="shared" si="4"/>
        <v>0</v>
      </c>
      <c r="R18" s="239"/>
      <c r="S18" s="240">
        <f t="shared" si="5"/>
        <v>139362</v>
      </c>
      <c r="T18" s="239">
        <f t="shared" si="6"/>
        <v>139362</v>
      </c>
      <c r="U18" s="240">
        <f t="shared" si="7"/>
        <v>0</v>
      </c>
    </row>
    <row r="19" spans="1:21" s="234" customFormat="1" x14ac:dyDescent="0.2">
      <c r="A19" s="231"/>
      <c r="B19" s="232"/>
      <c r="C19" s="233">
        <v>15</v>
      </c>
      <c r="D19" s="234" t="s">
        <v>531</v>
      </c>
      <c r="E19" s="234">
        <v>2010</v>
      </c>
      <c r="F19" s="234">
        <v>12</v>
      </c>
      <c r="G19" s="235">
        <v>0</v>
      </c>
      <c r="I19" s="232" t="s">
        <v>347</v>
      </c>
      <c r="J19" s="236">
        <v>8</v>
      </c>
      <c r="K19" s="233">
        <f t="shared" si="0"/>
        <v>2018</v>
      </c>
      <c r="L19" s="237">
        <f t="shared" si="1"/>
        <v>2019</v>
      </c>
      <c r="M19" s="238">
        <v>118040.72</v>
      </c>
      <c r="N19" s="239">
        <f t="shared" si="2"/>
        <v>118040.72</v>
      </c>
      <c r="O19" s="239">
        <f t="shared" si="8"/>
        <v>1229.5908333333334</v>
      </c>
      <c r="P19" s="239">
        <f t="shared" si="3"/>
        <v>14755.09</v>
      </c>
      <c r="Q19" s="240">
        <f t="shared" si="4"/>
        <v>0</v>
      </c>
      <c r="R19" s="239"/>
      <c r="S19" s="240">
        <f t="shared" si="5"/>
        <v>118040.72</v>
      </c>
      <c r="T19" s="239">
        <f t="shared" si="6"/>
        <v>118040.72</v>
      </c>
      <c r="U19" s="240">
        <f t="shared" si="7"/>
        <v>0</v>
      </c>
    </row>
    <row r="20" spans="1:21" s="234" customFormat="1" x14ac:dyDescent="0.2">
      <c r="A20" s="231"/>
      <c r="B20" s="232"/>
      <c r="C20" s="233">
        <v>7</v>
      </c>
      <c r="D20" s="234" t="s">
        <v>534</v>
      </c>
      <c r="E20" s="234">
        <v>2014</v>
      </c>
      <c r="F20" s="234">
        <v>11</v>
      </c>
      <c r="G20" s="235">
        <v>0</v>
      </c>
      <c r="I20" s="232" t="s">
        <v>347</v>
      </c>
      <c r="J20" s="236">
        <v>8</v>
      </c>
      <c r="K20" s="233">
        <f t="shared" si="0"/>
        <v>2022</v>
      </c>
      <c r="L20" s="237">
        <f t="shared" si="1"/>
        <v>2022.9166666666667</v>
      </c>
      <c r="M20" s="238">
        <v>290270.09000000003</v>
      </c>
      <c r="N20" s="239">
        <f t="shared" si="2"/>
        <v>290270.09000000003</v>
      </c>
      <c r="O20" s="239">
        <f t="shared" si="8"/>
        <v>3023.6467708333334</v>
      </c>
      <c r="P20" s="239">
        <f t="shared" si="3"/>
        <v>36283.761250000003</v>
      </c>
      <c r="Q20" s="240">
        <f t="shared" si="4"/>
        <v>0</v>
      </c>
      <c r="R20" s="239"/>
      <c r="S20" s="240">
        <f t="shared" si="5"/>
        <v>290270.09000000003</v>
      </c>
      <c r="T20" s="239">
        <f t="shared" si="6"/>
        <v>290270.09000000003</v>
      </c>
      <c r="U20" s="240">
        <f t="shared" si="7"/>
        <v>0</v>
      </c>
    </row>
    <row r="21" spans="1:21" s="234" customFormat="1" x14ac:dyDescent="0.2">
      <c r="A21" s="231"/>
      <c r="B21" s="232"/>
      <c r="C21" s="233">
        <v>10</v>
      </c>
      <c r="D21" s="234" t="s">
        <v>535</v>
      </c>
      <c r="E21" s="234">
        <v>2014</v>
      </c>
      <c r="F21" s="234">
        <v>11</v>
      </c>
      <c r="G21" s="235">
        <v>0</v>
      </c>
      <c r="I21" s="232" t="s">
        <v>347</v>
      </c>
      <c r="J21" s="236">
        <v>8</v>
      </c>
      <c r="K21" s="233">
        <f t="shared" si="0"/>
        <v>2022</v>
      </c>
      <c r="L21" s="237">
        <f t="shared" si="1"/>
        <v>2022.9166666666667</v>
      </c>
      <c r="M21" s="238">
        <v>5612.5</v>
      </c>
      <c r="N21" s="239">
        <f t="shared" si="2"/>
        <v>5612.5</v>
      </c>
      <c r="O21" s="239">
        <f t="shared" si="8"/>
        <v>58.463541666666664</v>
      </c>
      <c r="P21" s="239">
        <f t="shared" si="3"/>
        <v>701.5625</v>
      </c>
      <c r="Q21" s="240">
        <f t="shared" si="4"/>
        <v>0</v>
      </c>
      <c r="R21" s="239"/>
      <c r="S21" s="240">
        <f t="shared" si="5"/>
        <v>5612.5</v>
      </c>
      <c r="T21" s="239">
        <f t="shared" si="6"/>
        <v>5612.5</v>
      </c>
      <c r="U21" s="240">
        <f t="shared" si="7"/>
        <v>0</v>
      </c>
    </row>
    <row r="22" spans="1:21" s="234" customFormat="1" x14ac:dyDescent="0.2">
      <c r="A22" s="231"/>
      <c r="B22" s="232"/>
      <c r="C22" s="233">
        <v>15</v>
      </c>
      <c r="D22" s="234" t="s">
        <v>538</v>
      </c>
      <c r="E22" s="234">
        <v>2016</v>
      </c>
      <c r="F22" s="234">
        <v>1</v>
      </c>
      <c r="G22" s="235">
        <v>0</v>
      </c>
      <c r="I22" s="232" t="s">
        <v>347</v>
      </c>
      <c r="J22" s="236">
        <v>8</v>
      </c>
      <c r="K22" s="233">
        <f t="shared" si="0"/>
        <v>2024</v>
      </c>
      <c r="L22" s="237">
        <f t="shared" si="1"/>
        <v>2024.0833333333333</v>
      </c>
      <c r="M22" s="238">
        <v>4011.67</v>
      </c>
      <c r="N22" s="239">
        <f t="shared" si="2"/>
        <v>4011.67</v>
      </c>
      <c r="O22" s="239">
        <f t="shared" si="8"/>
        <v>41.788229166666667</v>
      </c>
      <c r="P22" s="239">
        <f t="shared" si="3"/>
        <v>501.45875000000001</v>
      </c>
      <c r="Q22" s="240">
        <f t="shared" si="4"/>
        <v>501.45875000000001</v>
      </c>
      <c r="R22" s="239"/>
      <c r="S22" s="240">
        <f t="shared" si="5"/>
        <v>3008.7525000000001</v>
      </c>
      <c r="T22" s="239">
        <f t="shared" si="6"/>
        <v>3510.2112500000003</v>
      </c>
      <c r="U22" s="240">
        <f t="shared" si="7"/>
        <v>501.45874999999978</v>
      </c>
    </row>
    <row r="23" spans="1:21" s="234" customFormat="1" x14ac:dyDescent="0.2">
      <c r="A23" s="231"/>
      <c r="B23" s="232"/>
      <c r="C23" s="233">
        <v>15</v>
      </c>
      <c r="D23" s="234" t="s">
        <v>540</v>
      </c>
      <c r="E23" s="234">
        <v>2016</v>
      </c>
      <c r="F23" s="234">
        <v>5</v>
      </c>
      <c r="G23" s="235">
        <v>0</v>
      </c>
      <c r="I23" s="232" t="s">
        <v>347</v>
      </c>
      <c r="J23" s="236">
        <v>8</v>
      </c>
      <c r="K23" s="233">
        <f t="shared" si="0"/>
        <v>2024</v>
      </c>
      <c r="L23" s="237">
        <f t="shared" si="1"/>
        <v>2024.4166666666667</v>
      </c>
      <c r="M23" s="238">
        <v>2621.14</v>
      </c>
      <c r="N23" s="239">
        <f t="shared" si="2"/>
        <v>2621.14</v>
      </c>
      <c r="O23" s="239">
        <f t="shared" si="8"/>
        <v>27.303541666666664</v>
      </c>
      <c r="P23" s="239">
        <f t="shared" si="3"/>
        <v>327.64249999999998</v>
      </c>
      <c r="Q23" s="240">
        <f t="shared" si="4"/>
        <v>327.64249999999998</v>
      </c>
      <c r="R23" s="239"/>
      <c r="S23" s="240">
        <f t="shared" si="5"/>
        <v>1965.855</v>
      </c>
      <c r="T23" s="239">
        <f t="shared" si="6"/>
        <v>2293.4974999999999</v>
      </c>
      <c r="U23" s="240">
        <f t="shared" si="7"/>
        <v>327.64249999999993</v>
      </c>
    </row>
    <row r="24" spans="1:21" s="234" customFormat="1" x14ac:dyDescent="0.2">
      <c r="A24" s="231"/>
      <c r="B24" s="232"/>
      <c r="C24" s="233">
        <v>4</v>
      </c>
      <c r="D24" s="234" t="s">
        <v>536</v>
      </c>
      <c r="E24" s="234">
        <v>2016</v>
      </c>
      <c r="F24" s="234">
        <v>7</v>
      </c>
      <c r="G24" s="235">
        <v>0</v>
      </c>
      <c r="I24" s="232" t="s">
        <v>347</v>
      </c>
      <c r="J24" s="236">
        <v>8</v>
      </c>
      <c r="K24" s="233">
        <f t="shared" si="0"/>
        <v>2024</v>
      </c>
      <c r="L24" s="237">
        <f t="shared" si="1"/>
        <v>2024.5833333333333</v>
      </c>
      <c r="M24" s="238">
        <v>151571.42000000001</v>
      </c>
      <c r="N24" s="239">
        <f t="shared" si="2"/>
        <v>151571.42000000001</v>
      </c>
      <c r="O24" s="239">
        <f t="shared" si="8"/>
        <v>1578.8689583333335</v>
      </c>
      <c r="P24" s="239">
        <f t="shared" si="3"/>
        <v>18946.427500000002</v>
      </c>
      <c r="Q24" s="240">
        <f t="shared" si="4"/>
        <v>18946.427500000002</v>
      </c>
      <c r="R24" s="239"/>
      <c r="S24" s="240">
        <f t="shared" si="5"/>
        <v>113678.565</v>
      </c>
      <c r="T24" s="239">
        <f t="shared" si="6"/>
        <v>132624.99249999999</v>
      </c>
      <c r="U24" s="240">
        <f t="shared" si="7"/>
        <v>18946.42750000002</v>
      </c>
    </row>
    <row r="25" spans="1:21" s="234" customFormat="1" x14ac:dyDescent="0.2">
      <c r="A25" s="231"/>
      <c r="B25" s="232"/>
      <c r="C25" s="233">
        <v>4</v>
      </c>
      <c r="D25" s="234" t="s">
        <v>537</v>
      </c>
      <c r="E25" s="234">
        <v>2016</v>
      </c>
      <c r="F25" s="234">
        <v>7</v>
      </c>
      <c r="G25" s="235">
        <v>0</v>
      </c>
      <c r="I25" s="232" t="s">
        <v>347</v>
      </c>
      <c r="J25" s="236">
        <v>8</v>
      </c>
      <c r="K25" s="233">
        <f t="shared" si="0"/>
        <v>2024</v>
      </c>
      <c r="L25" s="237">
        <f t="shared" si="1"/>
        <v>2024.5833333333333</v>
      </c>
      <c r="M25" s="238">
        <v>155817.66</v>
      </c>
      <c r="N25" s="239">
        <f t="shared" si="2"/>
        <v>155817.66</v>
      </c>
      <c r="O25" s="239">
        <f t="shared" si="8"/>
        <v>1623.100625</v>
      </c>
      <c r="P25" s="239">
        <f t="shared" si="3"/>
        <v>19477.2075</v>
      </c>
      <c r="Q25" s="240">
        <f t="shared" si="4"/>
        <v>19477.2075</v>
      </c>
      <c r="R25" s="239"/>
      <c r="S25" s="240">
        <f t="shared" si="5"/>
        <v>116863.245</v>
      </c>
      <c r="T25" s="239">
        <f t="shared" si="6"/>
        <v>136340.45249999998</v>
      </c>
      <c r="U25" s="240">
        <f t="shared" si="7"/>
        <v>19477.207500000019</v>
      </c>
    </row>
    <row r="26" spans="1:21" s="234" customFormat="1" x14ac:dyDescent="0.2">
      <c r="A26" s="231"/>
      <c r="B26" s="232"/>
      <c r="C26" s="233">
        <v>15</v>
      </c>
      <c r="D26" s="234" t="s">
        <v>542</v>
      </c>
      <c r="E26" s="234">
        <v>2017</v>
      </c>
      <c r="F26" s="234">
        <v>1</v>
      </c>
      <c r="G26" s="235">
        <v>0</v>
      </c>
      <c r="I26" s="232" t="s">
        <v>347</v>
      </c>
      <c r="J26" s="236">
        <v>8</v>
      </c>
      <c r="K26" s="233">
        <f t="shared" si="0"/>
        <v>2025</v>
      </c>
      <c r="L26" s="237">
        <f t="shared" si="1"/>
        <v>2025.0833333333333</v>
      </c>
      <c r="M26" s="238">
        <v>3392.21</v>
      </c>
      <c r="N26" s="239">
        <f t="shared" si="2"/>
        <v>3392.21</v>
      </c>
      <c r="O26" s="239">
        <f t="shared" si="8"/>
        <v>35.335520833333334</v>
      </c>
      <c r="P26" s="239">
        <f t="shared" si="3"/>
        <v>424.02625</v>
      </c>
      <c r="Q26" s="240">
        <f t="shared" si="4"/>
        <v>424.02625</v>
      </c>
      <c r="R26" s="239"/>
      <c r="S26" s="240">
        <f t="shared" si="5"/>
        <v>2120.1312499999999</v>
      </c>
      <c r="T26" s="239">
        <f t="shared" si="6"/>
        <v>2544.1574999999998</v>
      </c>
      <c r="U26" s="240">
        <f t="shared" si="7"/>
        <v>848.05250000000024</v>
      </c>
    </row>
    <row r="27" spans="1:21" s="234" customFormat="1" x14ac:dyDescent="0.2">
      <c r="A27" s="231"/>
      <c r="B27" s="232"/>
      <c r="C27" s="233">
        <v>2</v>
      </c>
      <c r="D27" s="234" t="s">
        <v>543</v>
      </c>
      <c r="E27" s="234">
        <v>2017</v>
      </c>
      <c r="F27" s="234">
        <v>1</v>
      </c>
      <c r="G27" s="235">
        <v>0</v>
      </c>
      <c r="I27" s="232" t="s">
        <v>347</v>
      </c>
      <c r="J27" s="236">
        <v>8</v>
      </c>
      <c r="K27" s="233">
        <f t="shared" si="0"/>
        <v>2025</v>
      </c>
      <c r="L27" s="237">
        <f t="shared" si="1"/>
        <v>2025.0833333333333</v>
      </c>
      <c r="M27" s="238">
        <v>2858.56</v>
      </c>
      <c r="N27" s="239">
        <f t="shared" si="2"/>
        <v>2858.56</v>
      </c>
      <c r="O27" s="239">
        <f t="shared" si="8"/>
        <v>29.776666666666667</v>
      </c>
      <c r="P27" s="239">
        <f t="shared" si="3"/>
        <v>357.32</v>
      </c>
      <c r="Q27" s="240">
        <f t="shared" si="4"/>
        <v>357.32</v>
      </c>
      <c r="R27" s="239"/>
      <c r="S27" s="240">
        <f t="shared" si="5"/>
        <v>1786.6</v>
      </c>
      <c r="T27" s="239">
        <f t="shared" si="6"/>
        <v>2143.92</v>
      </c>
      <c r="U27" s="240">
        <f t="shared" si="7"/>
        <v>714.63999999999987</v>
      </c>
    </row>
    <row r="28" spans="1:21" s="234" customFormat="1" x14ac:dyDescent="0.2">
      <c r="A28" s="231"/>
      <c r="B28" s="232"/>
      <c r="C28" s="233"/>
      <c r="D28" s="234" t="s">
        <v>544</v>
      </c>
      <c r="E28" s="234">
        <v>2017</v>
      </c>
      <c r="F28" s="234">
        <v>2</v>
      </c>
      <c r="G28" s="235">
        <v>0</v>
      </c>
      <c r="I28" s="232" t="s">
        <v>347</v>
      </c>
      <c r="J28" s="236">
        <v>8</v>
      </c>
      <c r="K28" s="233">
        <f t="shared" si="0"/>
        <v>2025</v>
      </c>
      <c r="L28" s="237">
        <f t="shared" si="1"/>
        <v>2025.1666666666667</v>
      </c>
      <c r="M28" s="238">
        <v>3629.6</v>
      </c>
      <c r="N28" s="239">
        <f t="shared" si="2"/>
        <v>3629.6</v>
      </c>
      <c r="O28" s="239">
        <f t="shared" si="8"/>
        <v>37.80833333333333</v>
      </c>
      <c r="P28" s="239">
        <f t="shared" si="3"/>
        <v>453.69999999999993</v>
      </c>
      <c r="Q28" s="240">
        <f t="shared" si="4"/>
        <v>453.69999999999993</v>
      </c>
      <c r="R28" s="239"/>
      <c r="S28" s="240">
        <f t="shared" si="5"/>
        <v>2268.4999999999995</v>
      </c>
      <c r="T28" s="239">
        <f t="shared" si="6"/>
        <v>2722.1999999999994</v>
      </c>
      <c r="U28" s="240">
        <f t="shared" si="7"/>
        <v>907.40000000000055</v>
      </c>
    </row>
    <row r="29" spans="1:21" s="234" customFormat="1" x14ac:dyDescent="0.2">
      <c r="A29" s="231"/>
      <c r="B29" s="232"/>
      <c r="C29" s="233">
        <v>10</v>
      </c>
      <c r="D29" s="234" t="s">
        <v>547</v>
      </c>
      <c r="E29" s="234">
        <v>2017</v>
      </c>
      <c r="F29" s="234">
        <v>12</v>
      </c>
      <c r="G29" s="235">
        <v>0</v>
      </c>
      <c r="I29" s="232" t="s">
        <v>347</v>
      </c>
      <c r="J29" s="236">
        <v>5</v>
      </c>
      <c r="K29" s="233">
        <f t="shared" si="0"/>
        <v>2022</v>
      </c>
      <c r="L29" s="237">
        <f t="shared" si="1"/>
        <v>2023</v>
      </c>
      <c r="M29" s="238">
        <v>3304.11</v>
      </c>
      <c r="N29" s="239">
        <f t="shared" si="2"/>
        <v>3304.11</v>
      </c>
      <c r="O29" s="239">
        <f t="shared" si="8"/>
        <v>55.0685</v>
      </c>
      <c r="P29" s="239">
        <f t="shared" si="3"/>
        <v>660.822</v>
      </c>
      <c r="Q29" s="240">
        <f t="shared" si="4"/>
        <v>0</v>
      </c>
      <c r="R29" s="239"/>
      <c r="S29" s="240">
        <f t="shared" si="5"/>
        <v>3304.11</v>
      </c>
      <c r="T29" s="239">
        <f t="shared" si="6"/>
        <v>3304.11</v>
      </c>
      <c r="U29" s="240">
        <f t="shared" si="7"/>
        <v>0</v>
      </c>
    </row>
    <row r="30" spans="1:21" s="234" customFormat="1" x14ac:dyDescent="0.2">
      <c r="A30" s="231"/>
      <c r="B30" s="232"/>
      <c r="C30" s="233">
        <v>128</v>
      </c>
      <c r="D30" s="234" t="s">
        <v>556</v>
      </c>
      <c r="E30" s="234">
        <v>2018</v>
      </c>
      <c r="F30" s="234">
        <v>5</v>
      </c>
      <c r="G30" s="235">
        <v>0</v>
      </c>
      <c r="I30" s="232" t="s">
        <v>347</v>
      </c>
      <c r="J30" s="236">
        <v>5</v>
      </c>
      <c r="K30" s="233">
        <f t="shared" si="0"/>
        <v>2023</v>
      </c>
      <c r="L30" s="237">
        <f t="shared" si="1"/>
        <v>2023.4166666666667</v>
      </c>
      <c r="M30" s="238">
        <v>8672.16</v>
      </c>
      <c r="N30" s="239">
        <f t="shared" si="2"/>
        <v>8672.16</v>
      </c>
      <c r="O30" s="239">
        <f t="shared" si="8"/>
        <v>144.536</v>
      </c>
      <c r="P30" s="239">
        <f t="shared" si="3"/>
        <v>1734.432</v>
      </c>
      <c r="Q30" s="240">
        <f t="shared" si="4"/>
        <v>0</v>
      </c>
      <c r="R30" s="239"/>
      <c r="S30" s="240">
        <f t="shared" si="5"/>
        <v>8672.16</v>
      </c>
      <c r="T30" s="239">
        <f t="shared" si="6"/>
        <v>8672.16</v>
      </c>
      <c r="U30" s="240">
        <f t="shared" si="7"/>
        <v>0</v>
      </c>
    </row>
    <row r="31" spans="1:21" s="234" customFormat="1" x14ac:dyDescent="0.2">
      <c r="A31" s="231"/>
      <c r="B31" s="232"/>
      <c r="C31" s="233">
        <v>128</v>
      </c>
      <c r="D31" s="234" t="s">
        <v>553</v>
      </c>
      <c r="E31" s="234">
        <v>2018</v>
      </c>
      <c r="F31" s="234">
        <v>6</v>
      </c>
      <c r="G31" s="235">
        <v>0</v>
      </c>
      <c r="I31" s="232" t="s">
        <v>347</v>
      </c>
      <c r="J31" s="236">
        <v>5</v>
      </c>
      <c r="K31" s="233">
        <f t="shared" si="0"/>
        <v>2023</v>
      </c>
      <c r="L31" s="237">
        <f t="shared" si="1"/>
        <v>2023.5</v>
      </c>
      <c r="M31" s="238">
        <v>3756.48</v>
      </c>
      <c r="N31" s="239">
        <f t="shared" si="2"/>
        <v>3756.48</v>
      </c>
      <c r="O31" s="239">
        <f t="shared" si="8"/>
        <v>62.608000000000004</v>
      </c>
      <c r="P31" s="239">
        <f t="shared" si="3"/>
        <v>751.29600000000005</v>
      </c>
      <c r="Q31" s="240">
        <f t="shared" si="4"/>
        <v>0</v>
      </c>
      <c r="R31" s="239"/>
      <c r="S31" s="240">
        <f t="shared" si="5"/>
        <v>3756.48</v>
      </c>
      <c r="T31" s="239">
        <f t="shared" si="6"/>
        <v>3756.48</v>
      </c>
      <c r="U31" s="240">
        <f t="shared" si="7"/>
        <v>0</v>
      </c>
    </row>
    <row r="32" spans="1:21" s="234" customFormat="1" x14ac:dyDescent="0.2">
      <c r="A32" s="231"/>
      <c r="B32" s="232"/>
      <c r="C32" s="233">
        <v>15</v>
      </c>
      <c r="D32" s="234" t="s">
        <v>555</v>
      </c>
      <c r="E32" s="234">
        <v>2018</v>
      </c>
      <c r="F32" s="234">
        <v>6</v>
      </c>
      <c r="G32" s="235">
        <v>0</v>
      </c>
      <c r="I32" s="232" t="s">
        <v>347</v>
      </c>
      <c r="J32" s="236">
        <v>5</v>
      </c>
      <c r="K32" s="233">
        <f t="shared" si="0"/>
        <v>2023</v>
      </c>
      <c r="L32" s="237">
        <f t="shared" si="1"/>
        <v>2023.5</v>
      </c>
      <c r="M32" s="238">
        <v>3677.56</v>
      </c>
      <c r="N32" s="239">
        <f t="shared" si="2"/>
        <v>3677.56</v>
      </c>
      <c r="O32" s="239">
        <f t="shared" si="8"/>
        <v>61.292666666666662</v>
      </c>
      <c r="P32" s="239">
        <f t="shared" si="3"/>
        <v>735.51199999999994</v>
      </c>
      <c r="Q32" s="240">
        <f t="shared" si="4"/>
        <v>0</v>
      </c>
      <c r="R32" s="239"/>
      <c r="S32" s="240">
        <f t="shared" si="5"/>
        <v>3677.56</v>
      </c>
      <c r="T32" s="239">
        <f t="shared" si="6"/>
        <v>3677.56</v>
      </c>
      <c r="U32" s="240">
        <f t="shared" si="7"/>
        <v>0</v>
      </c>
    </row>
    <row r="33" spans="1:21" s="234" customFormat="1" x14ac:dyDescent="0.2">
      <c r="A33" s="231"/>
      <c r="B33" s="232"/>
      <c r="C33" s="233">
        <v>39</v>
      </c>
      <c r="D33" s="234" t="s">
        <v>559</v>
      </c>
      <c r="E33" s="234">
        <v>2018</v>
      </c>
      <c r="F33" s="234">
        <v>8</v>
      </c>
      <c r="G33" s="235">
        <v>0</v>
      </c>
      <c r="I33" s="232" t="s">
        <v>347</v>
      </c>
      <c r="J33" s="236">
        <v>8</v>
      </c>
      <c r="K33" s="233">
        <f t="shared" si="0"/>
        <v>2026</v>
      </c>
      <c r="L33" s="237">
        <f t="shared" si="1"/>
        <v>2026.6666666666667</v>
      </c>
      <c r="M33" s="238">
        <v>3328.57</v>
      </c>
      <c r="N33" s="239">
        <f t="shared" si="2"/>
        <v>3328.57</v>
      </c>
      <c r="O33" s="239">
        <f t="shared" si="8"/>
        <v>34.672604166666666</v>
      </c>
      <c r="P33" s="239">
        <f t="shared" si="3"/>
        <v>416.07124999999996</v>
      </c>
      <c r="Q33" s="240">
        <f t="shared" si="4"/>
        <v>416.07124999999996</v>
      </c>
      <c r="R33" s="239"/>
      <c r="S33" s="240">
        <f t="shared" si="5"/>
        <v>1664.2849999999999</v>
      </c>
      <c r="T33" s="239">
        <f t="shared" si="6"/>
        <v>2080.3562499999998</v>
      </c>
      <c r="U33" s="240">
        <f t="shared" si="7"/>
        <v>1248.2137500000003</v>
      </c>
    </row>
    <row r="34" spans="1:21" s="234" customFormat="1" x14ac:dyDescent="0.2">
      <c r="A34" s="231"/>
      <c r="B34" s="232"/>
      <c r="C34" s="233">
        <v>10</v>
      </c>
      <c r="D34" s="234" t="s">
        <v>558</v>
      </c>
      <c r="E34" s="234">
        <v>2018</v>
      </c>
      <c r="F34" s="234">
        <v>9</v>
      </c>
      <c r="G34" s="235">
        <v>0</v>
      </c>
      <c r="I34" s="232" t="s">
        <v>347</v>
      </c>
      <c r="J34" s="236">
        <v>8</v>
      </c>
      <c r="K34" s="233">
        <f t="shared" si="0"/>
        <v>2026</v>
      </c>
      <c r="L34" s="237">
        <f t="shared" si="1"/>
        <v>2026.75</v>
      </c>
      <c r="M34" s="238">
        <v>6928.9</v>
      </c>
      <c r="N34" s="239">
        <f t="shared" si="2"/>
        <v>6928.9</v>
      </c>
      <c r="O34" s="239">
        <f t="shared" si="8"/>
        <v>72.176041666666663</v>
      </c>
      <c r="P34" s="239">
        <f t="shared" si="3"/>
        <v>866.11249999999995</v>
      </c>
      <c r="Q34" s="240">
        <f t="shared" si="4"/>
        <v>866.11249999999995</v>
      </c>
      <c r="R34" s="239"/>
      <c r="S34" s="240">
        <f t="shared" si="5"/>
        <v>3464.45</v>
      </c>
      <c r="T34" s="239">
        <f t="shared" si="6"/>
        <v>4330.5625</v>
      </c>
      <c r="U34" s="240">
        <f t="shared" si="7"/>
        <v>2598.3374999999996</v>
      </c>
    </row>
    <row r="35" spans="1:21" s="234" customFormat="1" x14ac:dyDescent="0.2">
      <c r="A35" s="231"/>
      <c r="B35" s="232"/>
      <c r="C35" s="233">
        <v>4</v>
      </c>
      <c r="D35" s="234" t="s">
        <v>562</v>
      </c>
      <c r="E35" s="234">
        <v>2018</v>
      </c>
      <c r="F35" s="234">
        <v>11</v>
      </c>
      <c r="G35" s="241">
        <v>0</v>
      </c>
      <c r="I35" s="232" t="s">
        <v>347</v>
      </c>
      <c r="J35" s="232">
        <v>8</v>
      </c>
      <c r="K35" s="233">
        <f t="shared" ref="K35:K50" si="9">E35+J35</f>
        <v>2026</v>
      </c>
      <c r="L35" s="237">
        <f t="shared" ref="L35:L50" si="10">+K35+(F35/12)</f>
        <v>2026.9166666666667</v>
      </c>
      <c r="M35" s="238">
        <v>2700.86</v>
      </c>
      <c r="N35" s="239">
        <f t="shared" ref="N35:N50" si="11">M35-M35*G35</f>
        <v>2700.86</v>
      </c>
      <c r="O35" s="239">
        <f t="shared" si="8"/>
        <v>28.133958333333336</v>
      </c>
      <c r="P35" s="239">
        <f t="shared" ref="P35:P50" si="12">+O35*12</f>
        <v>337.60750000000002</v>
      </c>
      <c r="Q35" s="240">
        <f t="shared" ref="Q35:Q50" si="13">+IF(L35&lt;=$N$5,0,IF(K35&gt;$N$4,P35,(O35*F35)))</f>
        <v>337.60750000000002</v>
      </c>
      <c r="R35" s="239"/>
      <c r="S35" s="240">
        <f t="shared" ref="S35:S50" si="14">+IF(Q35=0,M35,IF($N$3-E35&lt;1,0,(($N$3-E35)*P35)))</f>
        <v>1350.43</v>
      </c>
      <c r="T35" s="239">
        <f t="shared" ref="T35:T50" si="15">+IF(Q35=0,S35,S35+Q35)</f>
        <v>1688.0375000000001</v>
      </c>
      <c r="U35" s="240">
        <f t="shared" ref="U35:U50" si="16">+M35-T35</f>
        <v>1012.8225</v>
      </c>
    </row>
    <row r="36" spans="1:21" s="234" customFormat="1" x14ac:dyDescent="0.2">
      <c r="A36" s="231"/>
      <c r="B36" s="232"/>
      <c r="C36" s="233">
        <v>7</v>
      </c>
      <c r="D36" s="234" t="s">
        <v>563</v>
      </c>
      <c r="E36" s="234">
        <v>2018</v>
      </c>
      <c r="F36" s="234">
        <v>11</v>
      </c>
      <c r="G36" s="241">
        <v>0</v>
      </c>
      <c r="I36" s="232" t="s">
        <v>347</v>
      </c>
      <c r="J36" s="232">
        <v>8</v>
      </c>
      <c r="K36" s="233">
        <f t="shared" si="9"/>
        <v>2026</v>
      </c>
      <c r="L36" s="237">
        <f t="shared" si="10"/>
        <v>2026.9166666666667</v>
      </c>
      <c r="M36" s="238">
        <v>8047.57</v>
      </c>
      <c r="N36" s="239">
        <f t="shared" si="11"/>
        <v>8047.57</v>
      </c>
      <c r="O36" s="239">
        <f t="shared" si="8"/>
        <v>83.828854166666659</v>
      </c>
      <c r="P36" s="239">
        <f t="shared" si="12"/>
        <v>1005.94625</v>
      </c>
      <c r="Q36" s="240">
        <f t="shared" si="13"/>
        <v>1005.94625</v>
      </c>
      <c r="R36" s="239"/>
      <c r="S36" s="240">
        <f t="shared" si="14"/>
        <v>4023.7849999999999</v>
      </c>
      <c r="T36" s="239">
        <f t="shared" si="15"/>
        <v>5029.7312499999998</v>
      </c>
      <c r="U36" s="240">
        <f t="shared" si="16"/>
        <v>3017.8387499999999</v>
      </c>
    </row>
    <row r="37" spans="1:21" s="234" customFormat="1" x14ac:dyDescent="0.2">
      <c r="A37" s="231"/>
      <c r="B37" s="232"/>
      <c r="C37" s="233">
        <v>15</v>
      </c>
      <c r="D37" s="234" t="s">
        <v>566</v>
      </c>
      <c r="E37" s="234">
        <v>2018</v>
      </c>
      <c r="F37" s="234">
        <v>12</v>
      </c>
      <c r="G37" s="241">
        <v>0</v>
      </c>
      <c r="I37" s="232" t="s">
        <v>347</v>
      </c>
      <c r="J37" s="232">
        <v>8</v>
      </c>
      <c r="K37" s="233">
        <f t="shared" si="9"/>
        <v>2026</v>
      </c>
      <c r="L37" s="237">
        <f t="shared" si="10"/>
        <v>2027</v>
      </c>
      <c r="M37" s="238">
        <v>3000.01</v>
      </c>
      <c r="N37" s="239">
        <f t="shared" si="11"/>
        <v>3000.01</v>
      </c>
      <c r="O37" s="239">
        <f t="shared" ref="O37:O50" si="17">N37/J37/12</f>
        <v>31.25010416666667</v>
      </c>
      <c r="P37" s="239">
        <f t="shared" si="12"/>
        <v>375.00125000000003</v>
      </c>
      <c r="Q37" s="240">
        <f t="shared" si="13"/>
        <v>375.00125000000003</v>
      </c>
      <c r="R37" s="239"/>
      <c r="S37" s="240">
        <f t="shared" si="14"/>
        <v>1500.0050000000001</v>
      </c>
      <c r="T37" s="239">
        <f t="shared" si="15"/>
        <v>1875.0062500000001</v>
      </c>
      <c r="U37" s="240">
        <f t="shared" si="16"/>
        <v>1125.0037500000001</v>
      </c>
    </row>
    <row r="38" spans="1:21" s="234" customFormat="1" x14ac:dyDescent="0.2">
      <c r="A38" s="231"/>
      <c r="B38" s="232"/>
      <c r="C38" s="234">
        <v>7</v>
      </c>
      <c r="D38" s="234" t="s">
        <v>567</v>
      </c>
      <c r="E38" s="234">
        <v>2019</v>
      </c>
      <c r="F38" s="234">
        <v>2</v>
      </c>
      <c r="G38" s="241">
        <v>0</v>
      </c>
      <c r="I38" s="232" t="s">
        <v>347</v>
      </c>
      <c r="J38" s="232">
        <v>8</v>
      </c>
      <c r="K38" s="233">
        <f t="shared" si="9"/>
        <v>2027</v>
      </c>
      <c r="L38" s="237">
        <f t="shared" si="10"/>
        <v>2027.1666666666667</v>
      </c>
      <c r="M38" s="238">
        <v>51760.66</v>
      </c>
      <c r="N38" s="239">
        <f t="shared" si="11"/>
        <v>51760.66</v>
      </c>
      <c r="O38" s="239">
        <f t="shared" si="17"/>
        <v>539.17354166666667</v>
      </c>
      <c r="P38" s="239">
        <f t="shared" si="12"/>
        <v>6470.0825000000004</v>
      </c>
      <c r="Q38" s="240">
        <f t="shared" si="13"/>
        <v>6470.0825000000004</v>
      </c>
      <c r="R38" s="239"/>
      <c r="S38" s="240">
        <f t="shared" si="14"/>
        <v>19410.247500000001</v>
      </c>
      <c r="T38" s="239">
        <f t="shared" si="15"/>
        <v>25880.33</v>
      </c>
      <c r="U38" s="240">
        <f t="shared" si="16"/>
        <v>25880.33</v>
      </c>
    </row>
    <row r="39" spans="1:21" s="234" customFormat="1" x14ac:dyDescent="0.2">
      <c r="A39" s="231"/>
      <c r="B39" s="232"/>
      <c r="C39" s="233">
        <v>10</v>
      </c>
      <c r="D39" s="242" t="s">
        <v>568</v>
      </c>
      <c r="E39" s="242">
        <v>2019</v>
      </c>
      <c r="F39" s="242">
        <v>3</v>
      </c>
      <c r="G39" s="241">
        <v>0</v>
      </c>
      <c r="H39" s="242"/>
      <c r="I39" s="243" t="s">
        <v>347</v>
      </c>
      <c r="J39" s="243">
        <v>8</v>
      </c>
      <c r="K39" s="233">
        <f t="shared" si="9"/>
        <v>2027</v>
      </c>
      <c r="L39" s="237">
        <f t="shared" si="10"/>
        <v>2027.25</v>
      </c>
      <c r="M39" s="244">
        <v>8225.93</v>
      </c>
      <c r="N39" s="239">
        <f t="shared" si="11"/>
        <v>8225.93</v>
      </c>
      <c r="O39" s="239">
        <f t="shared" si="17"/>
        <v>85.686770833333341</v>
      </c>
      <c r="P39" s="239">
        <f t="shared" si="12"/>
        <v>1028.24125</v>
      </c>
      <c r="Q39" s="240">
        <f t="shared" si="13"/>
        <v>1028.24125</v>
      </c>
      <c r="R39" s="239"/>
      <c r="S39" s="240">
        <f t="shared" si="14"/>
        <v>3084.7237500000001</v>
      </c>
      <c r="T39" s="239">
        <f t="shared" si="15"/>
        <v>4112.9650000000001</v>
      </c>
      <c r="U39" s="240">
        <f t="shared" si="16"/>
        <v>4112.9650000000001</v>
      </c>
    </row>
    <row r="40" spans="1:21" s="234" customFormat="1" x14ac:dyDescent="0.2">
      <c r="A40" s="231"/>
      <c r="B40" s="232"/>
      <c r="C40" s="234">
        <v>15</v>
      </c>
      <c r="D40" s="234" t="s">
        <v>570</v>
      </c>
      <c r="E40" s="234">
        <v>2019</v>
      </c>
      <c r="F40" s="234">
        <v>7</v>
      </c>
      <c r="G40" s="241">
        <v>0</v>
      </c>
      <c r="I40" s="232" t="s">
        <v>347</v>
      </c>
      <c r="J40" s="232">
        <v>8</v>
      </c>
      <c r="K40" s="233">
        <f t="shared" si="9"/>
        <v>2027</v>
      </c>
      <c r="L40" s="237">
        <f t="shared" si="10"/>
        <v>2027.5833333333333</v>
      </c>
      <c r="M40" s="238">
        <v>3578.13</v>
      </c>
      <c r="N40" s="239">
        <f t="shared" si="11"/>
        <v>3578.13</v>
      </c>
      <c r="O40" s="239">
        <f t="shared" si="17"/>
        <v>37.272187500000001</v>
      </c>
      <c r="P40" s="239">
        <f t="shared" si="12"/>
        <v>447.26625000000001</v>
      </c>
      <c r="Q40" s="240">
        <f t="shared" si="13"/>
        <v>447.26625000000001</v>
      </c>
      <c r="R40" s="239"/>
      <c r="S40" s="240">
        <f t="shared" si="14"/>
        <v>1341.7987499999999</v>
      </c>
      <c r="T40" s="239">
        <f t="shared" si="15"/>
        <v>1789.0650000000001</v>
      </c>
      <c r="U40" s="240">
        <f t="shared" si="16"/>
        <v>1789.0650000000001</v>
      </c>
    </row>
    <row r="41" spans="1:21" s="234" customFormat="1" x14ac:dyDescent="0.2">
      <c r="A41" s="231"/>
      <c r="B41" s="232"/>
      <c r="C41" s="234">
        <v>15</v>
      </c>
      <c r="D41" s="234" t="s">
        <v>574</v>
      </c>
      <c r="E41" s="234">
        <v>2019</v>
      </c>
      <c r="F41" s="234">
        <v>10</v>
      </c>
      <c r="G41" s="241">
        <v>0</v>
      </c>
      <c r="I41" s="232" t="s">
        <v>347</v>
      </c>
      <c r="J41" s="232">
        <v>8</v>
      </c>
      <c r="K41" s="233">
        <f t="shared" si="9"/>
        <v>2027</v>
      </c>
      <c r="L41" s="237">
        <f t="shared" si="10"/>
        <v>2027.8333333333333</v>
      </c>
      <c r="M41" s="238">
        <v>4856.72</v>
      </c>
      <c r="N41" s="239">
        <f t="shared" si="11"/>
        <v>4856.72</v>
      </c>
      <c r="O41" s="239">
        <f t="shared" si="17"/>
        <v>50.590833333333336</v>
      </c>
      <c r="P41" s="239">
        <f t="shared" si="12"/>
        <v>607.09</v>
      </c>
      <c r="Q41" s="240">
        <f t="shared" si="13"/>
        <v>607.09</v>
      </c>
      <c r="R41" s="239"/>
      <c r="S41" s="240">
        <f t="shared" si="14"/>
        <v>1821.27</v>
      </c>
      <c r="T41" s="239">
        <f t="shared" si="15"/>
        <v>2428.36</v>
      </c>
      <c r="U41" s="240">
        <f t="shared" si="16"/>
        <v>2428.36</v>
      </c>
    </row>
    <row r="42" spans="1:21" s="234" customFormat="1" x14ac:dyDescent="0.2">
      <c r="A42" s="231"/>
      <c r="B42" s="232"/>
      <c r="C42" s="234">
        <v>39</v>
      </c>
      <c r="D42" s="234" t="s">
        <v>575</v>
      </c>
      <c r="E42" s="234">
        <v>2019</v>
      </c>
      <c r="F42" s="234">
        <v>11</v>
      </c>
      <c r="G42" s="241">
        <v>0</v>
      </c>
      <c r="I42" s="232" t="s">
        <v>347</v>
      </c>
      <c r="J42" s="232">
        <v>8</v>
      </c>
      <c r="K42" s="233">
        <f t="shared" si="9"/>
        <v>2027</v>
      </c>
      <c r="L42" s="237">
        <f t="shared" si="10"/>
        <v>2027.9166666666667</v>
      </c>
      <c r="M42" s="238">
        <v>7156.26</v>
      </c>
      <c r="N42" s="239">
        <f t="shared" si="11"/>
        <v>7156.26</v>
      </c>
      <c r="O42" s="239">
        <f t="shared" si="17"/>
        <v>74.544375000000002</v>
      </c>
      <c r="P42" s="239">
        <f t="shared" si="12"/>
        <v>894.53250000000003</v>
      </c>
      <c r="Q42" s="240">
        <f t="shared" si="13"/>
        <v>894.53250000000003</v>
      </c>
      <c r="R42" s="239"/>
      <c r="S42" s="240">
        <f t="shared" si="14"/>
        <v>2683.5974999999999</v>
      </c>
      <c r="T42" s="239">
        <f t="shared" si="15"/>
        <v>3578.13</v>
      </c>
      <c r="U42" s="240">
        <f t="shared" si="16"/>
        <v>3578.13</v>
      </c>
    </row>
    <row r="43" spans="1:21" s="234" customFormat="1" x14ac:dyDescent="0.2">
      <c r="A43" s="231"/>
      <c r="B43" s="232"/>
      <c r="C43" s="234">
        <v>39</v>
      </c>
      <c r="D43" s="234" t="s">
        <v>578</v>
      </c>
      <c r="E43" s="234">
        <v>2019</v>
      </c>
      <c r="F43" s="234">
        <v>11</v>
      </c>
      <c r="G43" s="235">
        <v>0</v>
      </c>
      <c r="I43" s="232" t="s">
        <v>347</v>
      </c>
      <c r="J43" s="236">
        <v>8</v>
      </c>
      <c r="K43" s="233">
        <f t="shared" si="9"/>
        <v>2027</v>
      </c>
      <c r="L43" s="237">
        <f t="shared" si="10"/>
        <v>2027.9166666666667</v>
      </c>
      <c r="M43" s="245">
        <v>151744</v>
      </c>
      <c r="N43" s="239">
        <f t="shared" si="11"/>
        <v>151744</v>
      </c>
      <c r="O43" s="239">
        <f t="shared" si="17"/>
        <v>1580.6666666666667</v>
      </c>
      <c r="P43" s="239">
        <f t="shared" si="12"/>
        <v>18968</v>
      </c>
      <c r="Q43" s="240">
        <f t="shared" si="13"/>
        <v>18968</v>
      </c>
      <c r="R43" s="239"/>
      <c r="S43" s="240">
        <f t="shared" si="14"/>
        <v>56904</v>
      </c>
      <c r="T43" s="239">
        <f t="shared" si="15"/>
        <v>75872</v>
      </c>
      <c r="U43" s="240">
        <f t="shared" si="16"/>
        <v>75872</v>
      </c>
    </row>
    <row r="44" spans="1:21" s="234" customFormat="1" x14ac:dyDescent="0.2">
      <c r="A44" s="231"/>
      <c r="B44" s="232"/>
      <c r="C44" s="234">
        <v>15</v>
      </c>
      <c r="D44" s="234" t="s">
        <v>576</v>
      </c>
      <c r="E44" s="234">
        <v>2019</v>
      </c>
      <c r="F44" s="234">
        <v>12</v>
      </c>
      <c r="G44" s="241">
        <v>0</v>
      </c>
      <c r="I44" s="232" t="s">
        <v>347</v>
      </c>
      <c r="J44" s="232">
        <v>8</v>
      </c>
      <c r="K44" s="233">
        <f t="shared" si="9"/>
        <v>2027</v>
      </c>
      <c r="L44" s="237">
        <f t="shared" si="10"/>
        <v>2028</v>
      </c>
      <c r="M44" s="238">
        <v>6860.71</v>
      </c>
      <c r="N44" s="239">
        <f t="shared" si="11"/>
        <v>6860.71</v>
      </c>
      <c r="O44" s="239">
        <f t="shared" si="17"/>
        <v>71.465729166666662</v>
      </c>
      <c r="P44" s="239">
        <f t="shared" si="12"/>
        <v>857.58874999999989</v>
      </c>
      <c r="Q44" s="240">
        <f t="shared" si="13"/>
        <v>857.58874999999989</v>
      </c>
      <c r="R44" s="239"/>
      <c r="S44" s="240">
        <f t="shared" si="14"/>
        <v>2572.7662499999997</v>
      </c>
      <c r="T44" s="239">
        <f t="shared" si="15"/>
        <v>3430.3549999999996</v>
      </c>
      <c r="U44" s="240">
        <f t="shared" si="16"/>
        <v>3430.3550000000005</v>
      </c>
    </row>
    <row r="45" spans="1:21" s="234" customFormat="1" x14ac:dyDescent="0.2">
      <c r="A45" s="231"/>
      <c r="B45" s="232"/>
      <c r="C45" s="234">
        <v>39</v>
      </c>
      <c r="D45" s="234" t="s">
        <v>577</v>
      </c>
      <c r="E45" s="234">
        <v>2019</v>
      </c>
      <c r="F45" s="234">
        <v>12</v>
      </c>
      <c r="G45" s="241">
        <v>0</v>
      </c>
      <c r="I45" s="232" t="s">
        <v>347</v>
      </c>
      <c r="J45" s="232">
        <v>8</v>
      </c>
      <c r="K45" s="233">
        <f t="shared" si="9"/>
        <v>2027</v>
      </c>
      <c r="L45" s="237">
        <f t="shared" si="10"/>
        <v>2028</v>
      </c>
      <c r="M45" s="238">
        <v>5224.54</v>
      </c>
      <c r="N45" s="239">
        <f t="shared" si="11"/>
        <v>5224.54</v>
      </c>
      <c r="O45" s="239">
        <f t="shared" si="17"/>
        <v>54.422291666666666</v>
      </c>
      <c r="P45" s="239">
        <f t="shared" si="12"/>
        <v>653.0675</v>
      </c>
      <c r="Q45" s="240">
        <f t="shared" si="13"/>
        <v>653.0675</v>
      </c>
      <c r="R45" s="239"/>
      <c r="S45" s="240">
        <f t="shared" si="14"/>
        <v>1959.2024999999999</v>
      </c>
      <c r="T45" s="239">
        <f t="shared" si="15"/>
        <v>2612.27</v>
      </c>
      <c r="U45" s="240">
        <f t="shared" si="16"/>
        <v>2612.27</v>
      </c>
    </row>
    <row r="46" spans="1:21" s="234" customFormat="1" x14ac:dyDescent="0.2">
      <c r="A46" s="231"/>
      <c r="B46" s="232"/>
      <c r="C46" s="234">
        <v>29</v>
      </c>
      <c r="D46" s="234" t="s">
        <v>572</v>
      </c>
      <c r="E46" s="234">
        <v>2020</v>
      </c>
      <c r="F46" s="234">
        <v>1</v>
      </c>
      <c r="G46" s="241">
        <v>0</v>
      </c>
      <c r="I46" s="232" t="s">
        <v>347</v>
      </c>
      <c r="J46" s="232">
        <v>5</v>
      </c>
      <c r="K46" s="233">
        <f t="shared" si="9"/>
        <v>2025</v>
      </c>
      <c r="L46" s="237">
        <f t="shared" si="10"/>
        <v>2025.0833333333333</v>
      </c>
      <c r="M46" s="238">
        <v>4864.5</v>
      </c>
      <c r="N46" s="239">
        <f t="shared" si="11"/>
        <v>4864.5</v>
      </c>
      <c r="O46" s="239">
        <f t="shared" si="17"/>
        <v>81.075000000000003</v>
      </c>
      <c r="P46" s="239">
        <f t="shared" si="12"/>
        <v>972.90000000000009</v>
      </c>
      <c r="Q46" s="240">
        <f t="shared" si="13"/>
        <v>972.90000000000009</v>
      </c>
      <c r="R46" s="239"/>
      <c r="S46" s="240">
        <f t="shared" si="14"/>
        <v>1945.8000000000002</v>
      </c>
      <c r="T46" s="239">
        <f t="shared" si="15"/>
        <v>2918.7000000000003</v>
      </c>
      <c r="U46" s="240">
        <f t="shared" si="16"/>
        <v>1945.7999999999997</v>
      </c>
    </row>
    <row r="47" spans="1:21" s="234" customFormat="1" x14ac:dyDescent="0.2">
      <c r="A47" s="231"/>
      <c r="B47" s="232"/>
      <c r="C47" s="234">
        <v>29</v>
      </c>
      <c r="D47" s="234" t="s">
        <v>573</v>
      </c>
      <c r="E47" s="234">
        <v>2020</v>
      </c>
      <c r="F47" s="234">
        <v>1</v>
      </c>
      <c r="G47" s="241">
        <v>0</v>
      </c>
      <c r="I47" s="232" t="s">
        <v>347</v>
      </c>
      <c r="J47" s="232">
        <v>8</v>
      </c>
      <c r="K47" s="233">
        <f t="shared" si="9"/>
        <v>2028</v>
      </c>
      <c r="L47" s="237">
        <f t="shared" si="10"/>
        <v>2028.0833333333333</v>
      </c>
      <c r="M47" s="238">
        <v>46072.87</v>
      </c>
      <c r="N47" s="239">
        <f t="shared" si="11"/>
        <v>46072.87</v>
      </c>
      <c r="O47" s="239">
        <f t="shared" si="17"/>
        <v>479.92572916666671</v>
      </c>
      <c r="P47" s="239">
        <f t="shared" si="12"/>
        <v>5759.1087500000003</v>
      </c>
      <c r="Q47" s="240">
        <f t="shared" si="13"/>
        <v>5759.1087500000003</v>
      </c>
      <c r="R47" s="239"/>
      <c r="S47" s="240">
        <f t="shared" si="14"/>
        <v>11518.217500000001</v>
      </c>
      <c r="T47" s="239">
        <f t="shared" si="15"/>
        <v>17277.326250000002</v>
      </c>
      <c r="U47" s="240">
        <f t="shared" si="16"/>
        <v>28795.543750000001</v>
      </c>
    </row>
    <row r="48" spans="1:21" s="234" customFormat="1" x14ac:dyDescent="0.2">
      <c r="A48" s="231"/>
      <c r="B48" s="232"/>
      <c r="C48" s="234">
        <v>29</v>
      </c>
      <c r="D48" s="234" t="s">
        <v>581</v>
      </c>
      <c r="E48" s="234">
        <v>2020</v>
      </c>
      <c r="F48" s="234">
        <v>1</v>
      </c>
      <c r="G48" s="235">
        <v>0</v>
      </c>
      <c r="I48" s="232" t="s">
        <v>347</v>
      </c>
      <c r="J48" s="236">
        <v>8</v>
      </c>
      <c r="K48" s="233">
        <f t="shared" si="9"/>
        <v>2028</v>
      </c>
      <c r="L48" s="237">
        <f t="shared" si="10"/>
        <v>2028.0833333333333</v>
      </c>
      <c r="M48" s="245">
        <v>2541.87</v>
      </c>
      <c r="N48" s="239">
        <f t="shared" si="11"/>
        <v>2541.87</v>
      </c>
      <c r="O48" s="239">
        <f t="shared" si="17"/>
        <v>26.477812499999999</v>
      </c>
      <c r="P48" s="239">
        <f t="shared" si="12"/>
        <v>317.73374999999999</v>
      </c>
      <c r="Q48" s="240">
        <f t="shared" si="13"/>
        <v>317.73374999999999</v>
      </c>
      <c r="R48" s="239"/>
      <c r="S48" s="240">
        <f t="shared" si="14"/>
        <v>635.46749999999997</v>
      </c>
      <c r="T48" s="239">
        <f t="shared" si="15"/>
        <v>953.20124999999996</v>
      </c>
      <c r="U48" s="240">
        <f t="shared" si="16"/>
        <v>1588.6687499999998</v>
      </c>
    </row>
    <row r="49" spans="1:21" s="234" customFormat="1" x14ac:dyDescent="0.2">
      <c r="A49" s="231"/>
      <c r="B49" s="232"/>
      <c r="C49" s="234">
        <v>39</v>
      </c>
      <c r="D49" s="234" t="s">
        <v>579</v>
      </c>
      <c r="E49" s="234">
        <v>2020</v>
      </c>
      <c r="F49" s="234">
        <v>2</v>
      </c>
      <c r="G49" s="235">
        <v>0</v>
      </c>
      <c r="I49" s="232" t="s">
        <v>347</v>
      </c>
      <c r="J49" s="236">
        <v>8</v>
      </c>
      <c r="K49" s="233">
        <f t="shared" si="9"/>
        <v>2028</v>
      </c>
      <c r="L49" s="237">
        <f t="shared" si="10"/>
        <v>2028.1666666666667</v>
      </c>
      <c r="M49" s="245">
        <v>2628.13</v>
      </c>
      <c r="N49" s="239">
        <f t="shared" si="11"/>
        <v>2628.13</v>
      </c>
      <c r="O49" s="239">
        <f t="shared" si="17"/>
        <v>27.376354166666669</v>
      </c>
      <c r="P49" s="239">
        <f t="shared" si="12"/>
        <v>328.51625000000001</v>
      </c>
      <c r="Q49" s="240">
        <f t="shared" si="13"/>
        <v>328.51625000000001</v>
      </c>
      <c r="R49" s="239"/>
      <c r="S49" s="240">
        <f t="shared" si="14"/>
        <v>657.03250000000003</v>
      </c>
      <c r="T49" s="239">
        <f t="shared" si="15"/>
        <v>985.54875000000004</v>
      </c>
      <c r="U49" s="240">
        <f t="shared" si="16"/>
        <v>1642.5812500000002</v>
      </c>
    </row>
    <row r="50" spans="1:21" s="234" customFormat="1" x14ac:dyDescent="0.2">
      <c r="A50" s="231"/>
      <c r="B50" s="232"/>
      <c r="C50" s="234">
        <v>15</v>
      </c>
      <c r="D50" s="234" t="s">
        <v>580</v>
      </c>
      <c r="E50" s="234">
        <v>2020</v>
      </c>
      <c r="F50" s="234">
        <v>3</v>
      </c>
      <c r="G50" s="235">
        <v>0</v>
      </c>
      <c r="I50" s="232" t="s">
        <v>347</v>
      </c>
      <c r="J50" s="236">
        <v>8</v>
      </c>
      <c r="K50" s="233">
        <f t="shared" si="9"/>
        <v>2028</v>
      </c>
      <c r="L50" s="237">
        <f t="shared" si="10"/>
        <v>2028.25</v>
      </c>
      <c r="M50" s="245">
        <v>3959.47</v>
      </c>
      <c r="N50" s="239">
        <f t="shared" si="11"/>
        <v>3959.47</v>
      </c>
      <c r="O50" s="239">
        <f t="shared" si="17"/>
        <v>41.244479166666665</v>
      </c>
      <c r="P50" s="239">
        <f t="shared" si="12"/>
        <v>494.93374999999997</v>
      </c>
      <c r="Q50" s="240">
        <f t="shared" si="13"/>
        <v>494.93374999999997</v>
      </c>
      <c r="R50" s="239"/>
      <c r="S50" s="240">
        <f t="shared" si="14"/>
        <v>989.86749999999995</v>
      </c>
      <c r="T50" s="239">
        <f t="shared" si="15"/>
        <v>1484.80125</v>
      </c>
      <c r="U50" s="240">
        <f t="shared" si="16"/>
        <v>2474.6687499999998</v>
      </c>
    </row>
    <row r="51" spans="1:21" x14ac:dyDescent="0.2">
      <c r="D51" s="92"/>
      <c r="G51" s="81"/>
      <c r="I51" s="60"/>
      <c r="J51" s="82"/>
      <c r="M51" s="93"/>
      <c r="N51" s="63"/>
      <c r="O51" s="63"/>
      <c r="P51" s="63"/>
      <c r="Q51" s="63"/>
      <c r="R51" s="63"/>
      <c r="S51" s="63"/>
      <c r="T51" s="63"/>
      <c r="U51" s="63"/>
    </row>
    <row r="52" spans="1:21" s="72" customFormat="1" x14ac:dyDescent="0.2">
      <c r="A52" s="97"/>
      <c r="B52" s="37"/>
      <c r="D52" s="98" t="s">
        <v>742</v>
      </c>
      <c r="G52" s="99"/>
      <c r="I52" s="100"/>
      <c r="J52" s="101"/>
      <c r="K52" s="64"/>
      <c r="M52" s="102">
        <f>SUM(M13:M51)</f>
        <v>1457445.0900000003</v>
      </c>
      <c r="N52" s="102">
        <f>SUM(N13:N51)</f>
        <v>1457445.0900000003</v>
      </c>
      <c r="O52" s="102">
        <f>SUM(O13:O51)</f>
        <v>15333.437249999999</v>
      </c>
      <c r="P52" s="102">
        <f>SUM(P13:P51)</f>
        <v>184001.247</v>
      </c>
      <c r="Q52" s="102">
        <f>SUM(Q13:Q51)</f>
        <v>81287.582500000004</v>
      </c>
      <c r="R52" s="102"/>
      <c r="S52" s="102">
        <f>SUM(S13:S51)</f>
        <v>1169281.7249999994</v>
      </c>
      <c r="T52" s="102">
        <f>SUM(T13:T51)</f>
        <v>1250569.3075000001</v>
      </c>
      <c r="U52" s="102">
        <f>SUM(U13:U51)</f>
        <v>206875.78250000009</v>
      </c>
    </row>
    <row r="53" spans="1:21" s="72" customFormat="1" x14ac:dyDescent="0.2">
      <c r="A53" s="97"/>
      <c r="B53" s="37"/>
      <c r="D53" s="98"/>
      <c r="G53" s="99"/>
      <c r="I53" s="100"/>
      <c r="J53" s="101"/>
      <c r="K53" s="64"/>
      <c r="M53" s="103"/>
      <c r="N53" s="103"/>
      <c r="O53" s="103"/>
      <c r="P53" s="103"/>
      <c r="U53" s="103"/>
    </row>
    <row r="54" spans="1:21" s="72" customFormat="1" x14ac:dyDescent="0.2">
      <c r="A54" s="97"/>
      <c r="B54" s="37"/>
      <c r="D54" s="104" t="s">
        <v>757</v>
      </c>
      <c r="G54" s="99"/>
      <c r="I54" s="100"/>
      <c r="J54" s="101"/>
      <c r="K54" s="64"/>
      <c r="M54" s="103"/>
      <c r="N54" s="103"/>
      <c r="O54" s="103"/>
      <c r="P54" s="103"/>
      <c r="U54" s="103"/>
    </row>
    <row r="55" spans="1:21" s="343" customFormat="1" x14ac:dyDescent="0.2">
      <c r="A55" s="340"/>
      <c r="B55" s="341"/>
      <c r="C55" s="342">
        <v>24</v>
      </c>
      <c r="D55" s="343" t="s">
        <v>532</v>
      </c>
      <c r="E55" s="343">
        <v>2012</v>
      </c>
      <c r="F55" s="343">
        <v>4</v>
      </c>
      <c r="G55" s="344">
        <v>0</v>
      </c>
      <c r="I55" s="341" t="s">
        <v>347</v>
      </c>
      <c r="J55" s="341">
        <v>8</v>
      </c>
      <c r="K55" s="342">
        <f t="shared" ref="K55:K67" si="18">E55+J55</f>
        <v>2020</v>
      </c>
      <c r="L55" s="345">
        <f t="shared" ref="L55:L67" si="19">+K55+(F55/12)</f>
        <v>2020.3333333333333</v>
      </c>
      <c r="M55" s="346">
        <v>267862.78000000003</v>
      </c>
      <c r="N55" s="347">
        <f t="shared" ref="N55:N67" si="20">M55-M55*G55</f>
        <v>267862.78000000003</v>
      </c>
      <c r="O55" s="347">
        <f t="shared" ref="O55:O67" si="21">N55/J55/12</f>
        <v>2790.2372916666668</v>
      </c>
      <c r="P55" s="347">
        <f t="shared" ref="P55:P67" si="22">+O55*12</f>
        <v>33482.847500000003</v>
      </c>
      <c r="Q55" s="348">
        <f t="shared" ref="Q55:Q67" si="23">+IF(L55&lt;=$N$5,0,IF(K55&gt;$N$4,P55,(O55*F55)))</f>
        <v>0</v>
      </c>
      <c r="R55" s="347"/>
      <c r="S55" s="348">
        <f t="shared" ref="S55:S67" si="24">+IF(Q55=0,M55,IF($N$3-E55&lt;1,0,(($N$3-E55)*P55)))</f>
        <v>267862.78000000003</v>
      </c>
      <c r="T55" s="347">
        <f t="shared" ref="T55:T67" si="25">+IF(Q55=0,S55,S55+Q55)</f>
        <v>267862.78000000003</v>
      </c>
      <c r="U55" s="348">
        <f t="shared" ref="U55:U67" si="26">+M55-T55</f>
        <v>0</v>
      </c>
    </row>
    <row r="56" spans="1:21" s="343" customFormat="1" x14ac:dyDescent="0.2">
      <c r="A56" s="340"/>
      <c r="B56" s="341"/>
      <c r="C56" s="342">
        <v>24</v>
      </c>
      <c r="D56" s="343" t="s">
        <v>539</v>
      </c>
      <c r="E56" s="343">
        <v>2016</v>
      </c>
      <c r="F56" s="343">
        <v>4</v>
      </c>
      <c r="G56" s="344">
        <v>0</v>
      </c>
      <c r="I56" s="341" t="s">
        <v>347</v>
      </c>
      <c r="J56" s="341">
        <v>8</v>
      </c>
      <c r="K56" s="342">
        <f t="shared" si="18"/>
        <v>2024</v>
      </c>
      <c r="L56" s="345">
        <f t="shared" si="19"/>
        <v>2024.3333333333333</v>
      </c>
      <c r="M56" s="346">
        <v>4550.08</v>
      </c>
      <c r="N56" s="347">
        <f t="shared" si="20"/>
        <v>4550.08</v>
      </c>
      <c r="O56" s="347">
        <f t="shared" si="21"/>
        <v>47.396666666666668</v>
      </c>
      <c r="P56" s="347">
        <f t="shared" si="22"/>
        <v>568.76</v>
      </c>
      <c r="Q56" s="348">
        <f t="shared" si="23"/>
        <v>568.76</v>
      </c>
      <c r="R56" s="347"/>
      <c r="S56" s="348">
        <f t="shared" si="24"/>
        <v>3412.56</v>
      </c>
      <c r="T56" s="347">
        <f t="shared" si="25"/>
        <v>3981.3199999999997</v>
      </c>
      <c r="U56" s="348">
        <f t="shared" si="26"/>
        <v>568.76000000000022</v>
      </c>
    </row>
    <row r="57" spans="1:21" s="343" customFormat="1" x14ac:dyDescent="0.2">
      <c r="A57" s="340"/>
      <c r="B57" s="341"/>
      <c r="C57" s="342">
        <v>6</v>
      </c>
      <c r="D57" s="343" t="s">
        <v>541</v>
      </c>
      <c r="E57" s="343">
        <v>2017</v>
      </c>
      <c r="F57" s="343">
        <v>9</v>
      </c>
      <c r="G57" s="344">
        <v>0</v>
      </c>
      <c r="I57" s="341" t="s">
        <v>347</v>
      </c>
      <c r="J57" s="341">
        <v>7</v>
      </c>
      <c r="K57" s="342">
        <f t="shared" si="18"/>
        <v>2024</v>
      </c>
      <c r="L57" s="345">
        <f t="shared" si="19"/>
        <v>2024.75</v>
      </c>
      <c r="M57" s="346">
        <v>163155.09</v>
      </c>
      <c r="N57" s="347">
        <f t="shared" si="20"/>
        <v>163155.09</v>
      </c>
      <c r="O57" s="347">
        <f t="shared" si="21"/>
        <v>1942.3225</v>
      </c>
      <c r="P57" s="347">
        <f t="shared" si="22"/>
        <v>23307.87</v>
      </c>
      <c r="Q57" s="348">
        <f t="shared" si="23"/>
        <v>23307.87</v>
      </c>
      <c r="R57" s="347"/>
      <c r="S57" s="348">
        <f t="shared" si="24"/>
        <v>116539.34999999999</v>
      </c>
      <c r="T57" s="347">
        <f t="shared" si="25"/>
        <v>139847.22</v>
      </c>
      <c r="U57" s="348">
        <f t="shared" si="26"/>
        <v>23307.869999999995</v>
      </c>
    </row>
    <row r="58" spans="1:21" s="343" customFormat="1" x14ac:dyDescent="0.2">
      <c r="A58" s="340"/>
      <c r="B58" s="341"/>
      <c r="C58" s="342">
        <v>6</v>
      </c>
      <c r="D58" s="343" t="s">
        <v>546</v>
      </c>
      <c r="E58" s="343">
        <v>2017</v>
      </c>
      <c r="F58" s="343">
        <v>9</v>
      </c>
      <c r="G58" s="344">
        <v>0</v>
      </c>
      <c r="I58" s="341" t="s">
        <v>347</v>
      </c>
      <c r="J58" s="341">
        <v>7</v>
      </c>
      <c r="K58" s="342">
        <f t="shared" si="18"/>
        <v>2024</v>
      </c>
      <c r="L58" s="345">
        <f t="shared" si="19"/>
        <v>2024.75</v>
      </c>
      <c r="M58" s="346">
        <v>112739.2</v>
      </c>
      <c r="N58" s="347">
        <f t="shared" si="20"/>
        <v>112739.2</v>
      </c>
      <c r="O58" s="347">
        <f t="shared" si="21"/>
        <v>1342.1333333333334</v>
      </c>
      <c r="P58" s="347">
        <f t="shared" si="22"/>
        <v>16105.600000000002</v>
      </c>
      <c r="Q58" s="348">
        <f t="shared" si="23"/>
        <v>16105.600000000002</v>
      </c>
      <c r="R58" s="347"/>
      <c r="S58" s="348">
        <f t="shared" si="24"/>
        <v>80528.000000000015</v>
      </c>
      <c r="T58" s="347">
        <f t="shared" si="25"/>
        <v>96633.60000000002</v>
      </c>
      <c r="U58" s="348">
        <f t="shared" si="26"/>
        <v>16105.599999999977</v>
      </c>
    </row>
    <row r="59" spans="1:21" s="343" customFormat="1" x14ac:dyDescent="0.2">
      <c r="A59" s="340"/>
      <c r="B59" s="341"/>
      <c r="C59" s="342">
        <v>30</v>
      </c>
      <c r="D59" s="343" t="s">
        <v>548</v>
      </c>
      <c r="E59" s="343">
        <v>2018</v>
      </c>
      <c r="F59" s="343">
        <v>1</v>
      </c>
      <c r="G59" s="344">
        <v>0</v>
      </c>
      <c r="I59" s="341" t="s">
        <v>347</v>
      </c>
      <c r="J59" s="341">
        <v>5</v>
      </c>
      <c r="K59" s="342">
        <f t="shared" si="18"/>
        <v>2023</v>
      </c>
      <c r="L59" s="345">
        <f t="shared" si="19"/>
        <v>2023.0833333333333</v>
      </c>
      <c r="M59" s="346">
        <v>3429.47</v>
      </c>
      <c r="N59" s="347">
        <f t="shared" si="20"/>
        <v>3429.47</v>
      </c>
      <c r="O59" s="347">
        <f t="shared" si="21"/>
        <v>57.157833333333336</v>
      </c>
      <c r="P59" s="347">
        <f t="shared" si="22"/>
        <v>685.89400000000001</v>
      </c>
      <c r="Q59" s="348">
        <f t="shared" si="23"/>
        <v>0</v>
      </c>
      <c r="R59" s="347"/>
      <c r="S59" s="348">
        <f t="shared" si="24"/>
        <v>3429.47</v>
      </c>
      <c r="T59" s="347">
        <f t="shared" si="25"/>
        <v>3429.47</v>
      </c>
      <c r="U59" s="348">
        <f t="shared" si="26"/>
        <v>0</v>
      </c>
    </row>
    <row r="60" spans="1:21" s="343" customFormat="1" x14ac:dyDescent="0.2">
      <c r="A60" s="340"/>
      <c r="B60" s="341"/>
      <c r="C60" s="342">
        <v>24</v>
      </c>
      <c r="D60" s="343" t="s">
        <v>550</v>
      </c>
      <c r="E60" s="343">
        <v>2018</v>
      </c>
      <c r="F60" s="343">
        <v>3</v>
      </c>
      <c r="G60" s="344">
        <v>0</v>
      </c>
      <c r="I60" s="341" t="s">
        <v>347</v>
      </c>
      <c r="J60" s="341">
        <v>5</v>
      </c>
      <c r="K60" s="342">
        <f t="shared" si="18"/>
        <v>2023</v>
      </c>
      <c r="L60" s="345">
        <f t="shared" si="19"/>
        <v>2023.25</v>
      </c>
      <c r="M60" s="346">
        <v>3415.12</v>
      </c>
      <c r="N60" s="347">
        <f t="shared" si="20"/>
        <v>3415.12</v>
      </c>
      <c r="O60" s="347">
        <f t="shared" si="21"/>
        <v>56.918666666666667</v>
      </c>
      <c r="P60" s="347">
        <f t="shared" si="22"/>
        <v>683.024</v>
      </c>
      <c r="Q60" s="348">
        <f t="shared" si="23"/>
        <v>0</v>
      </c>
      <c r="R60" s="347"/>
      <c r="S60" s="348">
        <f t="shared" si="24"/>
        <v>3415.12</v>
      </c>
      <c r="T60" s="347">
        <f t="shared" si="25"/>
        <v>3415.12</v>
      </c>
      <c r="U60" s="348">
        <f t="shared" si="26"/>
        <v>0</v>
      </c>
    </row>
    <row r="61" spans="1:21" s="343" customFormat="1" x14ac:dyDescent="0.2">
      <c r="A61" s="340"/>
      <c r="B61" s="341"/>
      <c r="C61" s="342">
        <v>24</v>
      </c>
      <c r="D61" s="343" t="s">
        <v>554</v>
      </c>
      <c r="E61" s="343">
        <v>2018</v>
      </c>
      <c r="F61" s="343">
        <v>4</v>
      </c>
      <c r="G61" s="344">
        <v>0</v>
      </c>
      <c r="I61" s="341" t="s">
        <v>347</v>
      </c>
      <c r="J61" s="341">
        <v>5</v>
      </c>
      <c r="K61" s="342">
        <f t="shared" si="18"/>
        <v>2023</v>
      </c>
      <c r="L61" s="345">
        <f t="shared" si="19"/>
        <v>2023.3333333333333</v>
      </c>
      <c r="M61" s="346">
        <v>4199.37</v>
      </c>
      <c r="N61" s="347">
        <f t="shared" si="20"/>
        <v>4199.37</v>
      </c>
      <c r="O61" s="347">
        <f t="shared" si="21"/>
        <v>69.989500000000007</v>
      </c>
      <c r="P61" s="347">
        <f t="shared" si="22"/>
        <v>839.87400000000002</v>
      </c>
      <c r="Q61" s="348">
        <f t="shared" si="23"/>
        <v>0</v>
      </c>
      <c r="R61" s="347"/>
      <c r="S61" s="348">
        <f t="shared" si="24"/>
        <v>4199.37</v>
      </c>
      <c r="T61" s="347">
        <f t="shared" si="25"/>
        <v>4199.37</v>
      </c>
      <c r="U61" s="348">
        <f t="shared" si="26"/>
        <v>0</v>
      </c>
    </row>
    <row r="62" spans="1:21" s="343" customFormat="1" x14ac:dyDescent="0.2">
      <c r="A62" s="340"/>
      <c r="B62" s="341"/>
      <c r="C62" s="342">
        <v>30</v>
      </c>
      <c r="D62" s="343" t="s">
        <v>545</v>
      </c>
      <c r="E62" s="343">
        <v>2018</v>
      </c>
      <c r="F62" s="343">
        <v>1</v>
      </c>
      <c r="G62" s="344">
        <v>0</v>
      </c>
      <c r="I62" s="341" t="s">
        <v>347</v>
      </c>
      <c r="J62" s="341">
        <v>8</v>
      </c>
      <c r="K62" s="342">
        <f t="shared" si="18"/>
        <v>2026</v>
      </c>
      <c r="L62" s="345">
        <f t="shared" si="19"/>
        <v>2026.0833333333333</v>
      </c>
      <c r="M62" s="346">
        <v>47590.79</v>
      </c>
      <c r="N62" s="347">
        <f t="shared" si="20"/>
        <v>47590.79</v>
      </c>
      <c r="O62" s="347">
        <f t="shared" si="21"/>
        <v>495.73739583333332</v>
      </c>
      <c r="P62" s="347">
        <f t="shared" si="22"/>
        <v>5948.8487500000001</v>
      </c>
      <c r="Q62" s="348">
        <f t="shared" si="23"/>
        <v>5948.8487500000001</v>
      </c>
      <c r="R62" s="347"/>
      <c r="S62" s="348">
        <f t="shared" si="24"/>
        <v>23795.395</v>
      </c>
      <c r="T62" s="347">
        <f t="shared" si="25"/>
        <v>29744.243750000001</v>
      </c>
      <c r="U62" s="348">
        <f t="shared" si="26"/>
        <v>17846.546249999999</v>
      </c>
    </row>
    <row r="63" spans="1:21" s="343" customFormat="1" x14ac:dyDescent="0.2">
      <c r="A63" s="340"/>
      <c r="B63" s="341"/>
      <c r="C63" s="342">
        <v>24</v>
      </c>
      <c r="D63" s="343" t="s">
        <v>560</v>
      </c>
      <c r="E63" s="343">
        <v>2018</v>
      </c>
      <c r="F63" s="343">
        <v>8</v>
      </c>
      <c r="G63" s="344">
        <v>0</v>
      </c>
      <c r="I63" s="341" t="s">
        <v>347</v>
      </c>
      <c r="J63" s="341">
        <v>8</v>
      </c>
      <c r="K63" s="342">
        <f t="shared" si="18"/>
        <v>2026</v>
      </c>
      <c r="L63" s="345">
        <f t="shared" si="19"/>
        <v>2026.6666666666667</v>
      </c>
      <c r="M63" s="346">
        <v>2913.49</v>
      </c>
      <c r="N63" s="347">
        <f t="shared" si="20"/>
        <v>2913.49</v>
      </c>
      <c r="O63" s="347">
        <f t="shared" si="21"/>
        <v>30.348854166666666</v>
      </c>
      <c r="P63" s="347">
        <f t="shared" si="22"/>
        <v>364.18624999999997</v>
      </c>
      <c r="Q63" s="348">
        <f t="shared" si="23"/>
        <v>364.18624999999997</v>
      </c>
      <c r="R63" s="347"/>
      <c r="S63" s="348">
        <f t="shared" si="24"/>
        <v>1456.7449999999999</v>
      </c>
      <c r="T63" s="347">
        <f t="shared" si="25"/>
        <v>1820.9312499999999</v>
      </c>
      <c r="U63" s="348">
        <f t="shared" si="26"/>
        <v>1092.5587499999999</v>
      </c>
    </row>
    <row r="64" spans="1:21" s="343" customFormat="1" x14ac:dyDescent="0.2">
      <c r="A64" s="340"/>
      <c r="B64" s="341"/>
      <c r="C64" s="342">
        <v>24</v>
      </c>
      <c r="D64" s="343" t="s">
        <v>561</v>
      </c>
      <c r="E64" s="343">
        <v>2018</v>
      </c>
      <c r="F64" s="343">
        <v>9</v>
      </c>
      <c r="G64" s="344">
        <v>0</v>
      </c>
      <c r="I64" s="341" t="s">
        <v>347</v>
      </c>
      <c r="J64" s="341">
        <v>8</v>
      </c>
      <c r="K64" s="342">
        <f t="shared" si="18"/>
        <v>2026</v>
      </c>
      <c r="L64" s="345">
        <f t="shared" si="19"/>
        <v>2026.75</v>
      </c>
      <c r="M64" s="346">
        <v>2528.9899999999998</v>
      </c>
      <c r="N64" s="347">
        <f t="shared" si="20"/>
        <v>2528.9899999999998</v>
      </c>
      <c r="O64" s="347">
        <f t="shared" si="21"/>
        <v>26.34364583333333</v>
      </c>
      <c r="P64" s="347">
        <f t="shared" si="22"/>
        <v>316.12374999999997</v>
      </c>
      <c r="Q64" s="348">
        <f t="shared" si="23"/>
        <v>316.12374999999997</v>
      </c>
      <c r="R64" s="347"/>
      <c r="S64" s="348">
        <f t="shared" si="24"/>
        <v>1264.4949999999999</v>
      </c>
      <c r="T64" s="347">
        <f t="shared" si="25"/>
        <v>1580.6187499999999</v>
      </c>
      <c r="U64" s="348">
        <f t="shared" si="26"/>
        <v>948.37124999999992</v>
      </c>
    </row>
    <row r="65" spans="1:21" s="343" customFormat="1" x14ac:dyDescent="0.2">
      <c r="A65" s="340"/>
      <c r="B65" s="341"/>
      <c r="C65" s="342">
        <v>24</v>
      </c>
      <c r="D65" s="343" t="s">
        <v>565</v>
      </c>
      <c r="E65" s="343">
        <v>2018</v>
      </c>
      <c r="F65" s="343">
        <v>12</v>
      </c>
      <c r="G65" s="344">
        <v>0</v>
      </c>
      <c r="I65" s="341" t="s">
        <v>347</v>
      </c>
      <c r="J65" s="341">
        <v>8</v>
      </c>
      <c r="K65" s="342">
        <f t="shared" si="18"/>
        <v>2026</v>
      </c>
      <c r="L65" s="345">
        <f t="shared" si="19"/>
        <v>2027</v>
      </c>
      <c r="M65" s="346">
        <v>8303.98</v>
      </c>
      <c r="N65" s="347">
        <f t="shared" si="20"/>
        <v>8303.98</v>
      </c>
      <c r="O65" s="347">
        <f t="shared" si="21"/>
        <v>86.499791666666667</v>
      </c>
      <c r="P65" s="347">
        <f t="shared" si="22"/>
        <v>1037.9974999999999</v>
      </c>
      <c r="Q65" s="348">
        <f t="shared" si="23"/>
        <v>1037.9974999999999</v>
      </c>
      <c r="R65" s="347"/>
      <c r="S65" s="348">
        <f t="shared" si="24"/>
        <v>4151.99</v>
      </c>
      <c r="T65" s="347">
        <f t="shared" si="25"/>
        <v>5189.9874999999993</v>
      </c>
      <c r="U65" s="348">
        <f t="shared" si="26"/>
        <v>3113.9925000000003</v>
      </c>
    </row>
    <row r="66" spans="1:21" s="343" customFormat="1" x14ac:dyDescent="0.2">
      <c r="A66" s="340"/>
      <c r="B66" s="341"/>
      <c r="C66" s="343">
        <v>9</v>
      </c>
      <c r="D66" s="343" t="s">
        <v>569</v>
      </c>
      <c r="E66" s="343">
        <v>2019</v>
      </c>
      <c r="F66" s="343">
        <v>11</v>
      </c>
      <c r="G66" s="344">
        <v>0</v>
      </c>
      <c r="I66" s="341" t="s">
        <v>347</v>
      </c>
      <c r="J66" s="341">
        <v>8</v>
      </c>
      <c r="K66" s="342">
        <f t="shared" si="18"/>
        <v>2027</v>
      </c>
      <c r="L66" s="345">
        <f t="shared" si="19"/>
        <v>2027.9166666666667</v>
      </c>
      <c r="M66" s="346">
        <v>219136.03</v>
      </c>
      <c r="N66" s="347">
        <f t="shared" si="20"/>
        <v>219136.03</v>
      </c>
      <c r="O66" s="347">
        <f t="shared" si="21"/>
        <v>2282.6669791666668</v>
      </c>
      <c r="P66" s="347">
        <f t="shared" si="22"/>
        <v>27392.003750000003</v>
      </c>
      <c r="Q66" s="348">
        <f t="shared" si="23"/>
        <v>27392.003750000003</v>
      </c>
      <c r="R66" s="347"/>
      <c r="S66" s="348">
        <f t="shared" si="24"/>
        <v>82176.01125000001</v>
      </c>
      <c r="T66" s="347">
        <f t="shared" si="25"/>
        <v>109568.01500000001</v>
      </c>
      <c r="U66" s="348">
        <f t="shared" si="26"/>
        <v>109568.01499999998</v>
      </c>
    </row>
    <row r="67" spans="1:21" s="343" customFormat="1" x14ac:dyDescent="0.2">
      <c r="A67" s="340"/>
      <c r="B67" s="341"/>
      <c r="C67" s="343">
        <v>9</v>
      </c>
      <c r="D67" s="343" t="s">
        <v>571</v>
      </c>
      <c r="E67" s="343">
        <v>2019</v>
      </c>
      <c r="F67" s="343">
        <v>11</v>
      </c>
      <c r="G67" s="344">
        <v>0</v>
      </c>
      <c r="I67" s="341" t="s">
        <v>347</v>
      </c>
      <c r="J67" s="341">
        <v>8</v>
      </c>
      <c r="K67" s="342">
        <f t="shared" si="18"/>
        <v>2027</v>
      </c>
      <c r="L67" s="345">
        <f t="shared" si="19"/>
        <v>2027.9166666666667</v>
      </c>
      <c r="M67" s="346">
        <v>17095.009999999998</v>
      </c>
      <c r="N67" s="347">
        <f t="shared" si="20"/>
        <v>17095.009999999998</v>
      </c>
      <c r="O67" s="347">
        <f t="shared" si="21"/>
        <v>178.07302083333332</v>
      </c>
      <c r="P67" s="347">
        <f t="shared" si="22"/>
        <v>2136.8762499999998</v>
      </c>
      <c r="Q67" s="348">
        <f t="shared" si="23"/>
        <v>2136.8762499999998</v>
      </c>
      <c r="R67" s="347"/>
      <c r="S67" s="348">
        <f t="shared" si="24"/>
        <v>6410.6287499999999</v>
      </c>
      <c r="T67" s="347">
        <f t="shared" si="25"/>
        <v>8547.5049999999992</v>
      </c>
      <c r="U67" s="348">
        <f t="shared" si="26"/>
        <v>8547.5049999999992</v>
      </c>
    </row>
    <row r="68" spans="1:21" s="72" customFormat="1" x14ac:dyDescent="0.2">
      <c r="A68" s="97"/>
      <c r="B68" s="37"/>
      <c r="D68" s="104"/>
      <c r="G68" s="99"/>
      <c r="I68" s="100"/>
      <c r="J68" s="101"/>
      <c r="K68" s="64"/>
      <c r="M68" s="103"/>
      <c r="N68" s="103"/>
      <c r="O68" s="103"/>
      <c r="P68" s="103"/>
      <c r="U68" s="103"/>
    </row>
    <row r="69" spans="1:21" x14ac:dyDescent="0.2">
      <c r="C69" s="60"/>
      <c r="G69" s="81"/>
      <c r="I69" s="60"/>
      <c r="J69" s="82"/>
      <c r="L69" s="83"/>
      <c r="M69" s="93"/>
      <c r="N69" s="63"/>
      <c r="O69" s="63"/>
      <c r="P69" s="63"/>
      <c r="Q69" s="84"/>
      <c r="R69" s="63"/>
      <c r="S69" s="84"/>
      <c r="T69" s="63"/>
      <c r="U69" s="84"/>
    </row>
    <row r="70" spans="1:21" x14ac:dyDescent="0.2">
      <c r="C70" s="60"/>
      <c r="D70" s="72" t="s">
        <v>1546</v>
      </c>
      <c r="G70" s="81"/>
      <c r="I70" s="60"/>
      <c r="J70" s="82"/>
      <c r="L70" s="83"/>
      <c r="M70" s="102">
        <f>SUM(M55:M69)</f>
        <v>856919.4</v>
      </c>
      <c r="N70" s="102">
        <f t="shared" ref="N70:U70" si="27">SUM(N55:N69)</f>
        <v>856919.4</v>
      </c>
      <c r="O70" s="102">
        <f t="shared" si="27"/>
        <v>9405.8254791666677</v>
      </c>
      <c r="P70" s="102">
        <f t="shared" si="27"/>
        <v>112869.90575000002</v>
      </c>
      <c r="Q70" s="102">
        <f t="shared" si="27"/>
        <v>77178.266249999986</v>
      </c>
      <c r="R70" s="102">
        <f t="shared" si="27"/>
        <v>0</v>
      </c>
      <c r="S70" s="102">
        <f t="shared" si="27"/>
        <v>598641.91500000004</v>
      </c>
      <c r="T70" s="102">
        <f t="shared" si="27"/>
        <v>675820.18125000014</v>
      </c>
      <c r="U70" s="102">
        <f t="shared" si="27"/>
        <v>181099.21874999994</v>
      </c>
    </row>
    <row r="71" spans="1:21" s="72" customFormat="1" x14ac:dyDescent="0.2">
      <c r="A71" s="97"/>
      <c r="B71" s="37"/>
      <c r="D71" s="98"/>
      <c r="G71" s="99"/>
      <c r="I71" s="100"/>
      <c r="J71" s="101"/>
      <c r="K71" s="64"/>
      <c r="M71" s="103"/>
      <c r="N71" s="103"/>
      <c r="O71" s="103"/>
      <c r="P71" s="103"/>
      <c r="U71" s="103"/>
    </row>
    <row r="72" spans="1:21" s="72" customFormat="1" x14ac:dyDescent="0.2">
      <c r="A72" s="97"/>
      <c r="B72" s="37"/>
      <c r="D72" s="105" t="s">
        <v>349</v>
      </c>
      <c r="G72" s="99"/>
      <c r="I72" s="100"/>
      <c r="J72" s="101"/>
      <c r="K72" s="64"/>
      <c r="M72" s="103"/>
      <c r="N72" s="103"/>
      <c r="O72" s="103"/>
      <c r="P72" s="103"/>
      <c r="U72" s="103"/>
    </row>
    <row r="73" spans="1:21" s="234" customFormat="1" x14ac:dyDescent="0.2">
      <c r="A73" s="231"/>
      <c r="B73" s="232"/>
      <c r="C73" s="233">
        <v>70</v>
      </c>
      <c r="D73" s="234" t="s">
        <v>551</v>
      </c>
      <c r="E73" s="234">
        <v>2018</v>
      </c>
      <c r="F73" s="234">
        <v>7</v>
      </c>
      <c r="G73" s="235">
        <v>0</v>
      </c>
      <c r="I73" s="232" t="s">
        <v>347</v>
      </c>
      <c r="J73" s="236">
        <v>5</v>
      </c>
      <c r="K73" s="233">
        <f t="shared" ref="K73:K76" si="28">E73+J73</f>
        <v>2023</v>
      </c>
      <c r="L73" s="237">
        <f t="shared" ref="L73:L76" si="29">+K73+(F73/12)</f>
        <v>2023.5833333333333</v>
      </c>
      <c r="M73" s="238">
        <v>62198.080000000002</v>
      </c>
      <c r="N73" s="239">
        <f t="shared" ref="N73:N76" si="30">M73-M73*G73</f>
        <v>62198.080000000002</v>
      </c>
      <c r="O73" s="239">
        <f t="shared" ref="O73:O76" si="31">N73/J73/12</f>
        <v>1036.6346666666666</v>
      </c>
      <c r="P73" s="239">
        <f t="shared" ref="P73:P76" si="32">+O73*12</f>
        <v>12439.615999999998</v>
      </c>
      <c r="Q73" s="240">
        <f t="shared" ref="Q73:Q76" si="33">+IF(L73&lt;=$N$5,0,IF(K73&gt;$N$4,P73,(O73*F73)))</f>
        <v>0</v>
      </c>
      <c r="R73" s="239"/>
      <c r="S73" s="240">
        <f t="shared" ref="S73:S76" si="34">+IF(Q73=0,M73,IF($N$3-E73&lt;1,0,(($N$3-E73)*P73)))</f>
        <v>62198.080000000002</v>
      </c>
      <c r="T73" s="239">
        <f t="shared" ref="T73:T76" si="35">+IF(Q73=0,S73,S73+Q73)</f>
        <v>62198.080000000002</v>
      </c>
      <c r="U73" s="240">
        <f t="shared" ref="U73:U76" si="36">+M73-T73</f>
        <v>0</v>
      </c>
    </row>
    <row r="74" spans="1:21" s="234" customFormat="1" x14ac:dyDescent="0.2">
      <c r="A74" s="231"/>
      <c r="B74" s="232"/>
      <c r="C74" s="233">
        <v>70</v>
      </c>
      <c r="D74" s="234" t="s">
        <v>552</v>
      </c>
      <c r="E74" s="234">
        <v>2018</v>
      </c>
      <c r="F74" s="234">
        <v>7</v>
      </c>
      <c r="G74" s="235">
        <v>0</v>
      </c>
      <c r="I74" s="232" t="s">
        <v>347</v>
      </c>
      <c r="J74" s="236">
        <v>5</v>
      </c>
      <c r="K74" s="233">
        <f t="shared" si="28"/>
        <v>2023</v>
      </c>
      <c r="L74" s="237">
        <f t="shared" si="29"/>
        <v>2023.5833333333333</v>
      </c>
      <c r="M74" s="238">
        <v>3067.34</v>
      </c>
      <c r="N74" s="239">
        <f t="shared" si="30"/>
        <v>3067.34</v>
      </c>
      <c r="O74" s="239">
        <f t="shared" si="31"/>
        <v>51.122333333333337</v>
      </c>
      <c r="P74" s="239">
        <f t="shared" si="32"/>
        <v>613.46800000000007</v>
      </c>
      <c r="Q74" s="240">
        <f t="shared" si="33"/>
        <v>0</v>
      </c>
      <c r="R74" s="239"/>
      <c r="S74" s="240">
        <f t="shared" si="34"/>
        <v>3067.34</v>
      </c>
      <c r="T74" s="239">
        <f t="shared" si="35"/>
        <v>3067.34</v>
      </c>
      <c r="U74" s="240">
        <f t="shared" si="36"/>
        <v>0</v>
      </c>
    </row>
    <row r="75" spans="1:21" s="234" customFormat="1" x14ac:dyDescent="0.2">
      <c r="A75" s="231"/>
      <c r="B75" s="232"/>
      <c r="C75" s="233">
        <v>70</v>
      </c>
      <c r="D75" s="234" t="s">
        <v>549</v>
      </c>
      <c r="E75" s="234">
        <v>2018</v>
      </c>
      <c r="F75" s="234">
        <v>7</v>
      </c>
      <c r="G75" s="241">
        <v>0</v>
      </c>
      <c r="I75" s="232" t="s">
        <v>347</v>
      </c>
      <c r="J75" s="232">
        <v>8</v>
      </c>
      <c r="K75" s="233">
        <f t="shared" si="28"/>
        <v>2026</v>
      </c>
      <c r="L75" s="237">
        <f t="shared" si="29"/>
        <v>2026.5833333333333</v>
      </c>
      <c r="M75" s="238">
        <v>146067</v>
      </c>
      <c r="N75" s="239">
        <f t="shared" si="30"/>
        <v>146067</v>
      </c>
      <c r="O75" s="239">
        <f t="shared" si="31"/>
        <v>1521.53125</v>
      </c>
      <c r="P75" s="239">
        <f t="shared" si="32"/>
        <v>18258.375</v>
      </c>
      <c r="Q75" s="240">
        <f t="shared" si="33"/>
        <v>18258.375</v>
      </c>
      <c r="R75" s="239"/>
      <c r="S75" s="240">
        <f t="shared" si="34"/>
        <v>73033.5</v>
      </c>
      <c r="T75" s="239">
        <f t="shared" si="35"/>
        <v>91291.875</v>
      </c>
      <c r="U75" s="240">
        <f t="shared" si="36"/>
        <v>54775.125</v>
      </c>
    </row>
    <row r="76" spans="1:21" s="234" customFormat="1" x14ac:dyDescent="0.2">
      <c r="A76" s="231"/>
      <c r="B76" s="232"/>
      <c r="C76" s="233">
        <v>70</v>
      </c>
      <c r="D76" s="234" t="s">
        <v>557</v>
      </c>
      <c r="E76" s="234">
        <v>2018</v>
      </c>
      <c r="F76" s="234">
        <v>7</v>
      </c>
      <c r="G76" s="241">
        <v>0</v>
      </c>
      <c r="I76" s="232" t="s">
        <v>347</v>
      </c>
      <c r="J76" s="232">
        <v>7</v>
      </c>
      <c r="K76" s="233">
        <f t="shared" si="28"/>
        <v>2025</v>
      </c>
      <c r="L76" s="237">
        <f t="shared" si="29"/>
        <v>2025.5833333333333</v>
      </c>
      <c r="M76" s="238">
        <v>16563.97</v>
      </c>
      <c r="N76" s="239">
        <f t="shared" si="30"/>
        <v>16563.97</v>
      </c>
      <c r="O76" s="239">
        <f t="shared" si="31"/>
        <v>197.19011904761908</v>
      </c>
      <c r="P76" s="239">
        <f t="shared" si="32"/>
        <v>2366.2814285714289</v>
      </c>
      <c r="Q76" s="240">
        <f t="shared" si="33"/>
        <v>2366.2814285714289</v>
      </c>
      <c r="R76" s="239"/>
      <c r="S76" s="240">
        <f t="shared" si="34"/>
        <v>9465.1257142857157</v>
      </c>
      <c r="T76" s="239">
        <f t="shared" si="35"/>
        <v>11831.407142857144</v>
      </c>
      <c r="U76" s="240">
        <f t="shared" si="36"/>
        <v>4732.562857142857</v>
      </c>
    </row>
    <row r="77" spans="1:21" s="72" customFormat="1" x14ac:dyDescent="0.2">
      <c r="A77" s="97"/>
      <c r="B77" s="37"/>
      <c r="D77" s="98"/>
      <c r="G77" s="99"/>
      <c r="I77" s="100"/>
      <c r="J77" s="101"/>
      <c r="K77" s="64"/>
      <c r="M77" s="103"/>
      <c r="N77" s="103"/>
      <c r="O77" s="103"/>
      <c r="P77" s="103"/>
      <c r="U77" s="103"/>
    </row>
    <row r="78" spans="1:21" s="72" customFormat="1" x14ac:dyDescent="0.2">
      <c r="A78" s="97"/>
      <c r="B78" s="37"/>
      <c r="D78" s="98" t="s">
        <v>748</v>
      </c>
      <c r="G78" s="99"/>
      <c r="I78" s="100"/>
      <c r="J78" s="101"/>
      <c r="K78" s="64"/>
      <c r="M78" s="102">
        <f t="shared" ref="M78:U78" si="37">SUM(M73:M77)</f>
        <v>227896.38999999998</v>
      </c>
      <c r="N78" s="102">
        <f t="shared" si="37"/>
        <v>227896.38999999998</v>
      </c>
      <c r="O78" s="102">
        <f t="shared" si="37"/>
        <v>2806.4783690476188</v>
      </c>
      <c r="P78" s="102">
        <f t="shared" si="37"/>
        <v>33677.740428571429</v>
      </c>
      <c r="Q78" s="102">
        <f t="shared" si="37"/>
        <v>20624.65642857143</v>
      </c>
      <c r="R78" s="102">
        <f t="shared" si="37"/>
        <v>0</v>
      </c>
      <c r="S78" s="102">
        <f t="shared" si="37"/>
        <v>147764.04571428569</v>
      </c>
      <c r="T78" s="102">
        <f t="shared" si="37"/>
        <v>168388.70214285713</v>
      </c>
      <c r="U78" s="102">
        <f t="shared" si="37"/>
        <v>59507.687857142853</v>
      </c>
    </row>
    <row r="79" spans="1:21" x14ac:dyDescent="0.2">
      <c r="I79" s="60"/>
      <c r="M79" s="67"/>
    </row>
    <row r="80" spans="1:21" x14ac:dyDescent="0.2">
      <c r="B80" s="73"/>
      <c r="D80" s="105" t="s">
        <v>750</v>
      </c>
      <c r="I80" s="60"/>
      <c r="M80" s="67"/>
    </row>
    <row r="81" spans="1:21" x14ac:dyDescent="0.2">
      <c r="B81" s="73"/>
      <c r="D81" s="105"/>
      <c r="I81" s="60"/>
      <c r="M81" s="67"/>
    </row>
    <row r="82" spans="1:21" x14ac:dyDescent="0.2">
      <c r="A82" s="97"/>
      <c r="G82" s="81"/>
      <c r="I82" s="60"/>
      <c r="J82" s="82"/>
      <c r="M82" s="93"/>
      <c r="N82" s="63"/>
      <c r="O82" s="63"/>
      <c r="P82" s="63"/>
      <c r="Q82" s="63"/>
      <c r="R82" s="63"/>
      <c r="S82" s="63"/>
      <c r="T82" s="63"/>
      <c r="U82" s="63"/>
    </row>
    <row r="83" spans="1:21" s="72" customFormat="1" x14ac:dyDescent="0.2">
      <c r="A83" s="97"/>
      <c r="B83" s="37"/>
      <c r="D83" s="72" t="s">
        <v>749</v>
      </c>
      <c r="G83" s="37"/>
      <c r="I83" s="106"/>
      <c r="J83" s="106"/>
      <c r="K83" s="64"/>
      <c r="M83" s="107">
        <f t="shared" ref="M83:U83" si="38">SUM(M82:M82)</f>
        <v>0</v>
      </c>
      <c r="N83" s="107">
        <f t="shared" si="38"/>
        <v>0</v>
      </c>
      <c r="O83" s="107">
        <f t="shared" si="38"/>
        <v>0</v>
      </c>
      <c r="P83" s="107">
        <f t="shared" si="38"/>
        <v>0</v>
      </c>
      <c r="Q83" s="107">
        <f t="shared" si="38"/>
        <v>0</v>
      </c>
      <c r="R83" s="107">
        <f t="shared" si="38"/>
        <v>0</v>
      </c>
      <c r="S83" s="107">
        <f t="shared" si="38"/>
        <v>0</v>
      </c>
      <c r="T83" s="107">
        <f t="shared" si="38"/>
        <v>0</v>
      </c>
      <c r="U83" s="107">
        <f t="shared" si="38"/>
        <v>0</v>
      </c>
    </row>
    <row r="84" spans="1:21" x14ac:dyDescent="0.2">
      <c r="I84" s="95"/>
      <c r="J84" s="95"/>
    </row>
    <row r="85" spans="1:21" x14ac:dyDescent="0.2">
      <c r="I85" s="95"/>
      <c r="J85" s="95"/>
    </row>
    <row r="86" spans="1:21" s="72" customFormat="1" ht="12.75" thickBot="1" x14ac:dyDescent="0.25">
      <c r="A86" s="97"/>
      <c r="B86" s="37"/>
      <c r="D86" s="72" t="s">
        <v>294</v>
      </c>
      <c r="G86" s="99"/>
      <c r="I86" s="100"/>
      <c r="J86" s="101"/>
      <c r="K86" s="64"/>
      <c r="M86" s="266">
        <f t="shared" ref="M86:U86" si="39">M52+M78+M70+M83</f>
        <v>2542260.8800000004</v>
      </c>
      <c r="N86" s="108">
        <f t="shared" si="39"/>
        <v>2542260.8800000004</v>
      </c>
      <c r="O86" s="108">
        <f t="shared" si="39"/>
        <v>27545.741098214283</v>
      </c>
      <c r="P86" s="108">
        <f t="shared" si="39"/>
        <v>330548.89317857148</v>
      </c>
      <c r="Q86" s="108">
        <f t="shared" si="39"/>
        <v>179090.50517857142</v>
      </c>
      <c r="R86" s="108">
        <f t="shared" si="39"/>
        <v>0</v>
      </c>
      <c r="S86" s="108">
        <f t="shared" si="39"/>
        <v>1915687.6857142851</v>
      </c>
      <c r="T86" s="108">
        <f t="shared" si="39"/>
        <v>2094778.1908928573</v>
      </c>
      <c r="U86" s="108">
        <f t="shared" si="39"/>
        <v>447482.68910714291</v>
      </c>
    </row>
    <row r="87" spans="1:21" ht="12.75" thickTop="1" x14ac:dyDescent="0.2">
      <c r="J87" s="33"/>
    </row>
    <row r="88" spans="1:21" x14ac:dyDescent="0.2">
      <c r="I88" s="95"/>
      <c r="J88" s="95"/>
    </row>
    <row r="89" spans="1:21" x14ac:dyDescent="0.2">
      <c r="A89" s="109"/>
      <c r="B89" s="110"/>
      <c r="C89" s="111"/>
      <c r="D89" s="111"/>
      <c r="E89" s="111"/>
      <c r="F89" s="111"/>
      <c r="G89" s="110"/>
      <c r="H89" s="111"/>
      <c r="I89" s="112"/>
      <c r="J89" s="112"/>
      <c r="K89" s="113"/>
      <c r="L89" s="111"/>
      <c r="M89" s="111"/>
      <c r="N89" s="111"/>
      <c r="O89" s="111"/>
      <c r="P89" s="111"/>
      <c r="Q89" s="111"/>
      <c r="R89" s="111"/>
      <c r="S89" s="111"/>
      <c r="T89" s="111"/>
      <c r="U89" s="111"/>
    </row>
    <row r="90" spans="1:21" hidden="1" outlineLevel="1" x14ac:dyDescent="0.2">
      <c r="I90" s="95"/>
      <c r="J90" s="95"/>
    </row>
    <row r="91" spans="1:21" hidden="1" outlineLevel="1" x14ac:dyDescent="0.2">
      <c r="I91" s="60"/>
    </row>
    <row r="92" spans="1:21" hidden="1" outlineLevel="1" x14ac:dyDescent="0.2">
      <c r="I92" s="60"/>
    </row>
    <row r="93" spans="1:21" hidden="1" outlineLevel="1" x14ac:dyDescent="0.2">
      <c r="D93" s="114" t="s">
        <v>1542</v>
      </c>
      <c r="I93" s="60"/>
    </row>
    <row r="94" spans="1:21" hidden="1" outlineLevel="1" x14ac:dyDescent="0.2">
      <c r="A94" s="231"/>
      <c r="B94" s="232"/>
      <c r="C94" s="233">
        <v>27</v>
      </c>
      <c r="D94" s="234" t="s">
        <v>533</v>
      </c>
      <c r="E94" s="234">
        <v>2012</v>
      </c>
      <c r="F94" s="234">
        <v>4</v>
      </c>
      <c r="G94" s="235">
        <v>0</v>
      </c>
      <c r="H94" s="234"/>
      <c r="I94" s="232" t="s">
        <v>347</v>
      </c>
      <c r="J94" s="236">
        <v>8</v>
      </c>
      <c r="K94" s="233">
        <f>E94+J94</f>
        <v>2020</v>
      </c>
      <c r="L94" s="237">
        <f>+K94+(F94/12)</f>
        <v>2020.3333333333333</v>
      </c>
      <c r="M94" s="238">
        <v>207269.18</v>
      </c>
      <c r="N94" s="239">
        <f>M94-M94*G94</f>
        <v>207269.18</v>
      </c>
      <c r="O94" s="239">
        <f>N94/J94/12</f>
        <v>2159.0539583333334</v>
      </c>
      <c r="P94" s="239">
        <f>+O94*12</f>
        <v>25908.647499999999</v>
      </c>
      <c r="Q94" s="240">
        <f>+IF(L94&lt;=$N$5,0,IF(K94&gt;$N$4,P94,(O94*F94)))</f>
        <v>0</v>
      </c>
      <c r="R94" s="239"/>
      <c r="S94" s="240">
        <f>+IF(Q94=0,M94,IF($N$3-E94&lt;1,0,(($N$3-E94)*P94)))</f>
        <v>207269.18</v>
      </c>
      <c r="T94" s="239">
        <f>+IF(Q94=0,S94,S94+Q94)</f>
        <v>207269.18</v>
      </c>
      <c r="U94" s="240">
        <f>+M94-T94</f>
        <v>0</v>
      </c>
    </row>
    <row r="95" spans="1:21" hidden="1" outlineLevel="1" x14ac:dyDescent="0.2">
      <c r="A95" s="231"/>
      <c r="B95" s="232"/>
      <c r="C95" s="233">
        <v>27</v>
      </c>
      <c r="D95" s="234" t="s">
        <v>564</v>
      </c>
      <c r="E95" s="234">
        <v>2018</v>
      </c>
      <c r="F95" s="234">
        <v>12</v>
      </c>
      <c r="G95" s="241">
        <v>0</v>
      </c>
      <c r="H95" s="234"/>
      <c r="I95" s="232" t="s">
        <v>347</v>
      </c>
      <c r="J95" s="232">
        <v>8</v>
      </c>
      <c r="K95" s="233">
        <f>E95+J95</f>
        <v>2026</v>
      </c>
      <c r="L95" s="237">
        <f>+K95+(F95/12)</f>
        <v>2027</v>
      </c>
      <c r="M95" s="238">
        <v>4859.46</v>
      </c>
      <c r="N95" s="239">
        <f>M95-M95*G95</f>
        <v>4859.46</v>
      </c>
      <c r="O95" s="239">
        <f>N95/J95/12</f>
        <v>50.619374999999998</v>
      </c>
      <c r="P95" s="239">
        <f>+O95*12</f>
        <v>607.4325</v>
      </c>
      <c r="Q95" s="240">
        <f>+IF(L95&lt;=$N$5,0,IF(K95&gt;$N$4,P95,(O95*F95)))</f>
        <v>607.4325</v>
      </c>
      <c r="R95" s="239"/>
      <c r="S95" s="240">
        <f>+IF(Q95=0,M95,IF($N$3-E95&lt;1,0,(($N$3-E95)*P95)))</f>
        <v>2429.73</v>
      </c>
      <c r="T95" s="239">
        <f>+IF(Q95=0,S95,S95+Q95)</f>
        <v>3037.1624999999999</v>
      </c>
      <c r="U95" s="240">
        <f>+M95-T95</f>
        <v>1822.2975000000001</v>
      </c>
    </row>
    <row r="96" spans="1:21" hidden="1" outlineLevel="1" x14ac:dyDescent="0.2">
      <c r="D96" s="118"/>
      <c r="E96" s="92"/>
      <c r="F96" s="92"/>
      <c r="G96" s="81"/>
      <c r="H96" s="63"/>
      <c r="I96" s="60"/>
      <c r="J96" s="82"/>
      <c r="M96" s="119"/>
      <c r="N96" s="63"/>
      <c r="O96" s="63"/>
      <c r="P96" s="63"/>
      <c r="Q96" s="63"/>
      <c r="R96" s="63"/>
      <c r="S96" s="63"/>
      <c r="T96" s="63"/>
      <c r="U96" s="63"/>
    </row>
    <row r="97" spans="1:21" hidden="1" outlineLevel="1" x14ac:dyDescent="0.2">
      <c r="D97" s="118"/>
      <c r="E97" s="92"/>
      <c r="F97" s="92"/>
      <c r="G97" s="81"/>
      <c r="H97" s="63"/>
      <c r="I97" s="82"/>
      <c r="J97" s="82"/>
      <c r="M97" s="93"/>
      <c r="N97" s="63"/>
      <c r="O97" s="63"/>
      <c r="P97" s="63"/>
      <c r="Q97" s="63"/>
      <c r="R97" s="63"/>
      <c r="S97" s="63"/>
      <c r="T97" s="63"/>
      <c r="U97" s="63"/>
    </row>
    <row r="98" spans="1:21" s="124" customFormat="1" collapsed="1" x14ac:dyDescent="0.2">
      <c r="A98" s="120"/>
      <c r="B98" s="60"/>
      <c r="C98" s="33"/>
      <c r="D98" s="118"/>
      <c r="E98" s="92"/>
      <c r="F98" s="92"/>
      <c r="G98" s="81"/>
      <c r="H98" s="121"/>
      <c r="I98" s="122"/>
      <c r="J98" s="82"/>
      <c r="K98" s="123"/>
      <c r="M98" s="93"/>
      <c r="N98" s="121"/>
      <c r="O98" s="121"/>
      <c r="P98" s="121"/>
      <c r="Q98" s="121"/>
      <c r="R98" s="121"/>
      <c r="S98" s="121"/>
      <c r="T98" s="121"/>
      <c r="U98" s="121"/>
    </row>
    <row r="99" spans="1:21" x14ac:dyDescent="0.2">
      <c r="D99" s="118"/>
      <c r="E99" s="92"/>
      <c r="F99" s="92"/>
      <c r="G99" s="81"/>
      <c r="H99" s="63"/>
      <c r="I99" s="60"/>
      <c r="J99" s="82"/>
      <c r="M99" s="93"/>
      <c r="N99" s="63"/>
      <c r="O99" s="63"/>
      <c r="P99" s="63"/>
      <c r="Q99" s="63"/>
      <c r="R99" s="63"/>
      <c r="S99" s="63"/>
      <c r="T99" s="63"/>
      <c r="U99" s="63"/>
    </row>
    <row r="100" spans="1:21" x14ac:dyDescent="0.2">
      <c r="D100" s="118"/>
      <c r="E100" s="92"/>
      <c r="F100" s="92"/>
      <c r="G100" s="81"/>
      <c r="H100" s="63"/>
      <c r="I100" s="60"/>
      <c r="J100" s="82"/>
      <c r="M100" s="93"/>
      <c r="N100" s="63"/>
      <c r="O100" s="63"/>
      <c r="P100" s="63"/>
      <c r="Q100" s="63"/>
      <c r="R100" s="63"/>
      <c r="S100" s="63"/>
      <c r="T100" s="63"/>
      <c r="U100" s="63"/>
    </row>
    <row r="101" spans="1:21" x14ac:dyDescent="0.2">
      <c r="D101" s="118"/>
      <c r="E101" s="92"/>
      <c r="F101" s="92"/>
      <c r="G101" s="81"/>
      <c r="H101" s="63"/>
      <c r="I101" s="60"/>
      <c r="J101" s="82"/>
      <c r="M101" s="93"/>
      <c r="N101" s="63"/>
      <c r="O101" s="63"/>
      <c r="P101" s="63"/>
      <c r="Q101" s="63"/>
      <c r="R101" s="63"/>
      <c r="S101" s="63"/>
      <c r="T101" s="63"/>
      <c r="U101" s="63"/>
    </row>
    <row r="102" spans="1:21" x14ac:dyDescent="0.2">
      <c r="D102" s="118"/>
      <c r="E102" s="92"/>
      <c r="F102" s="92"/>
      <c r="G102" s="81"/>
      <c r="H102" s="63"/>
      <c r="I102" s="60"/>
      <c r="J102" s="82"/>
      <c r="M102" s="93"/>
      <c r="N102" s="63"/>
      <c r="O102" s="63"/>
      <c r="P102" s="63"/>
      <c r="Q102" s="63"/>
      <c r="R102" s="63"/>
      <c r="S102" s="63"/>
      <c r="T102" s="63"/>
      <c r="U102" s="63"/>
    </row>
    <row r="103" spans="1:21" x14ac:dyDescent="0.2">
      <c r="B103" s="115"/>
      <c r="D103" s="118"/>
      <c r="E103" s="92"/>
      <c r="F103" s="92"/>
      <c r="G103" s="81"/>
      <c r="I103" s="60"/>
      <c r="J103" s="82"/>
      <c r="M103" s="93"/>
      <c r="N103" s="63"/>
      <c r="O103" s="63"/>
      <c r="P103" s="63"/>
      <c r="Q103" s="63"/>
      <c r="R103" s="63"/>
      <c r="S103" s="63"/>
      <c r="T103" s="63"/>
      <c r="U103" s="63"/>
    </row>
    <row r="104" spans="1:21" x14ac:dyDescent="0.2">
      <c r="D104" s="118"/>
      <c r="E104" s="92"/>
      <c r="F104" s="92"/>
      <c r="G104" s="81"/>
      <c r="I104" s="60"/>
      <c r="J104" s="82"/>
      <c r="M104" s="93"/>
      <c r="N104" s="63"/>
      <c r="O104" s="63"/>
      <c r="P104" s="63"/>
      <c r="Q104" s="63"/>
      <c r="R104" s="63"/>
      <c r="S104" s="63"/>
      <c r="T104" s="63"/>
      <c r="U104" s="63"/>
    </row>
    <row r="105" spans="1:21" x14ac:dyDescent="0.2">
      <c r="D105" s="118"/>
      <c r="E105" s="92"/>
      <c r="F105" s="92"/>
      <c r="G105" s="81"/>
      <c r="I105" s="60"/>
      <c r="J105" s="82"/>
      <c r="M105" s="93"/>
      <c r="N105" s="63"/>
      <c r="O105" s="63"/>
      <c r="P105" s="63"/>
      <c r="Q105" s="63"/>
      <c r="R105" s="63"/>
      <c r="S105" s="63"/>
      <c r="T105" s="63"/>
      <c r="U105" s="63"/>
    </row>
    <row r="106" spans="1:21" x14ac:dyDescent="0.2">
      <c r="D106" s="118"/>
      <c r="E106" s="92"/>
      <c r="F106" s="92"/>
      <c r="G106" s="81"/>
      <c r="I106" s="60"/>
      <c r="J106" s="82"/>
      <c r="M106" s="93"/>
      <c r="N106" s="63"/>
      <c r="O106" s="63"/>
      <c r="P106" s="63"/>
      <c r="Q106" s="63"/>
      <c r="R106" s="63"/>
      <c r="S106" s="63"/>
      <c r="T106" s="63"/>
      <c r="U106" s="63"/>
    </row>
    <row r="107" spans="1:21" x14ac:dyDescent="0.2">
      <c r="I107" s="60"/>
    </row>
    <row r="108" spans="1:21" x14ac:dyDescent="0.2">
      <c r="D108" s="92"/>
      <c r="E108" s="92"/>
      <c r="F108" s="92"/>
      <c r="G108" s="81"/>
      <c r="I108" s="60"/>
      <c r="J108" s="82"/>
      <c r="M108" s="93"/>
      <c r="N108" s="63"/>
      <c r="O108" s="63"/>
      <c r="P108" s="63"/>
      <c r="Q108" s="63"/>
      <c r="R108" s="63"/>
      <c r="S108" s="63"/>
      <c r="T108" s="63"/>
      <c r="U108" s="63"/>
    </row>
    <row r="109" spans="1:21" x14ac:dyDescent="0.2">
      <c r="B109" s="115"/>
      <c r="D109" s="92"/>
      <c r="G109" s="81"/>
      <c r="I109" s="60"/>
      <c r="J109" s="82"/>
      <c r="M109" s="93"/>
      <c r="N109" s="63"/>
      <c r="O109" s="63"/>
      <c r="P109" s="63"/>
      <c r="Q109" s="63"/>
      <c r="R109" s="63"/>
      <c r="S109" s="63"/>
      <c r="T109" s="63"/>
      <c r="U109" s="63"/>
    </row>
    <row r="110" spans="1:21" x14ac:dyDescent="0.2">
      <c r="D110" s="92"/>
      <c r="G110" s="81"/>
      <c r="I110" s="60"/>
      <c r="J110" s="82"/>
      <c r="M110" s="93"/>
      <c r="N110" s="63"/>
      <c r="O110" s="63"/>
      <c r="P110" s="63"/>
      <c r="Q110" s="63"/>
      <c r="R110" s="63"/>
      <c r="S110" s="63"/>
      <c r="T110" s="63"/>
      <c r="U110" s="63"/>
    </row>
    <row r="111" spans="1:21" x14ac:dyDescent="0.2">
      <c r="I111" s="60"/>
    </row>
    <row r="112" spans="1:21" x14ac:dyDescent="0.2">
      <c r="C112" s="62"/>
      <c r="G112" s="116"/>
      <c r="I112" s="60"/>
      <c r="M112" s="53"/>
      <c r="N112" s="63"/>
      <c r="O112" s="63"/>
      <c r="P112" s="63"/>
      <c r="Q112" s="63"/>
      <c r="R112" s="63"/>
      <c r="S112" s="63"/>
      <c r="T112" s="63"/>
      <c r="U112" s="63"/>
    </row>
    <row r="113" spans="2:21" x14ac:dyDescent="0.2">
      <c r="C113" s="62"/>
      <c r="D113" s="92"/>
      <c r="E113" s="92"/>
      <c r="F113" s="92"/>
      <c r="G113" s="81"/>
      <c r="I113" s="60"/>
      <c r="J113" s="82"/>
      <c r="M113" s="93"/>
      <c r="N113" s="63"/>
      <c r="O113" s="63"/>
      <c r="P113" s="63"/>
      <c r="Q113" s="63"/>
      <c r="R113" s="63"/>
      <c r="S113" s="63"/>
      <c r="T113" s="63"/>
      <c r="U113" s="63"/>
    </row>
    <row r="114" spans="2:21" x14ac:dyDescent="0.2">
      <c r="C114" s="62"/>
      <c r="D114" s="92"/>
      <c r="E114" s="92"/>
      <c r="F114" s="92"/>
      <c r="G114" s="81"/>
      <c r="I114" s="60"/>
      <c r="J114" s="82"/>
      <c r="M114" s="93"/>
      <c r="N114" s="63"/>
      <c r="O114" s="63"/>
      <c r="P114" s="63"/>
      <c r="Q114" s="63"/>
      <c r="R114" s="63"/>
      <c r="S114" s="63"/>
      <c r="T114" s="63"/>
      <c r="U114" s="63"/>
    </row>
    <row r="115" spans="2:21" x14ac:dyDescent="0.2">
      <c r="I115" s="60"/>
    </row>
    <row r="116" spans="2:21" x14ac:dyDescent="0.2">
      <c r="B116" s="115"/>
      <c r="D116" s="118"/>
      <c r="E116" s="92"/>
      <c r="F116" s="92"/>
      <c r="G116" s="81"/>
      <c r="I116" s="60"/>
      <c r="J116" s="82"/>
      <c r="M116" s="93"/>
      <c r="N116" s="63"/>
      <c r="O116" s="63"/>
      <c r="P116" s="63"/>
      <c r="Q116" s="63"/>
      <c r="R116" s="63"/>
      <c r="S116" s="63"/>
      <c r="T116" s="63"/>
      <c r="U116" s="63"/>
    </row>
    <row r="117" spans="2:21" x14ac:dyDescent="0.2">
      <c r="I117" s="60"/>
    </row>
    <row r="118" spans="2:21" x14ac:dyDescent="0.2">
      <c r="I118" s="60"/>
    </row>
    <row r="119" spans="2:21" x14ac:dyDescent="0.2">
      <c r="I119" s="60"/>
    </row>
    <row r="120" spans="2:21" x14ac:dyDescent="0.2">
      <c r="I120" s="60"/>
    </row>
    <row r="121" spans="2:21" x14ac:dyDescent="0.2">
      <c r="I121" s="60"/>
    </row>
    <row r="122" spans="2:21" x14ac:dyDescent="0.2">
      <c r="I122" s="60"/>
    </row>
    <row r="123" spans="2:21" x14ac:dyDescent="0.2">
      <c r="I123" s="60"/>
    </row>
    <row r="124" spans="2:21" x14ac:dyDescent="0.2">
      <c r="I124" s="60"/>
    </row>
    <row r="125" spans="2:21" x14ac:dyDescent="0.2">
      <c r="I125" s="60"/>
    </row>
    <row r="126" spans="2:21" x14ac:dyDescent="0.2">
      <c r="I126" s="60"/>
    </row>
    <row r="127" spans="2:21" x14ac:dyDescent="0.2">
      <c r="I127" s="60"/>
    </row>
    <row r="128" spans="2:21" x14ac:dyDescent="0.2">
      <c r="I128" s="60"/>
    </row>
    <row r="129" spans="9:9" x14ac:dyDescent="0.2">
      <c r="I129" s="60"/>
    </row>
    <row r="130" spans="9:9" x14ac:dyDescent="0.2">
      <c r="I130" s="60"/>
    </row>
    <row r="131" spans="9:9" x14ac:dyDescent="0.2">
      <c r="I131" s="60"/>
    </row>
    <row r="132" spans="9:9" x14ac:dyDescent="0.2">
      <c r="I132" s="60"/>
    </row>
    <row r="133" spans="9:9" x14ac:dyDescent="0.2">
      <c r="I133" s="60"/>
    </row>
    <row r="134" spans="9:9" x14ac:dyDescent="0.2">
      <c r="I134" s="60"/>
    </row>
    <row r="135" spans="9:9" x14ac:dyDescent="0.2">
      <c r="I135" s="60"/>
    </row>
    <row r="136" spans="9:9" x14ac:dyDescent="0.2">
      <c r="I136" s="60"/>
    </row>
    <row r="137" spans="9:9" x14ac:dyDescent="0.2">
      <c r="I137" s="60"/>
    </row>
    <row r="138" spans="9:9" x14ac:dyDescent="0.2">
      <c r="I138" s="60"/>
    </row>
    <row r="139" spans="9:9" x14ac:dyDescent="0.2">
      <c r="I139" s="60"/>
    </row>
    <row r="140" spans="9:9" x14ac:dyDescent="0.2">
      <c r="I140" s="60"/>
    </row>
    <row r="141" spans="9:9" x14ac:dyDescent="0.2">
      <c r="I141" s="60"/>
    </row>
    <row r="142" spans="9:9" x14ac:dyDescent="0.2">
      <c r="I142" s="60"/>
    </row>
    <row r="143" spans="9:9" x14ac:dyDescent="0.2">
      <c r="I143" s="60"/>
    </row>
    <row r="144" spans="9:9" x14ac:dyDescent="0.2">
      <c r="I144" s="60"/>
    </row>
    <row r="145" spans="9:9" x14ac:dyDescent="0.2">
      <c r="I145" s="60"/>
    </row>
    <row r="146" spans="9:9" x14ac:dyDescent="0.2">
      <c r="I146" s="60"/>
    </row>
    <row r="147" spans="9:9" x14ac:dyDescent="0.2">
      <c r="I147" s="60"/>
    </row>
    <row r="148" spans="9:9" x14ac:dyDescent="0.2">
      <c r="I148" s="60"/>
    </row>
    <row r="149" spans="9:9" x14ac:dyDescent="0.2">
      <c r="I149" s="60"/>
    </row>
    <row r="150" spans="9:9" x14ac:dyDescent="0.2">
      <c r="I150" s="60"/>
    </row>
    <row r="151" spans="9:9" x14ac:dyDescent="0.2">
      <c r="I151" s="60"/>
    </row>
    <row r="152" spans="9:9" x14ac:dyDescent="0.2">
      <c r="I152" s="60"/>
    </row>
    <row r="153" spans="9:9" x14ac:dyDescent="0.2">
      <c r="I153" s="60"/>
    </row>
    <row r="154" spans="9:9" x14ac:dyDescent="0.2">
      <c r="I154" s="60"/>
    </row>
    <row r="155" spans="9:9" x14ac:dyDescent="0.2">
      <c r="I155" s="60"/>
    </row>
    <row r="156" spans="9:9" x14ac:dyDescent="0.2">
      <c r="I156" s="60"/>
    </row>
    <row r="157" spans="9:9" x14ac:dyDescent="0.2">
      <c r="I157" s="60"/>
    </row>
    <row r="158" spans="9:9" x14ac:dyDescent="0.2">
      <c r="I158" s="60"/>
    </row>
    <row r="159" spans="9:9" x14ac:dyDescent="0.2">
      <c r="I159" s="60"/>
    </row>
    <row r="160" spans="9:9" x14ac:dyDescent="0.2">
      <c r="I160" s="60"/>
    </row>
    <row r="161" spans="9:9" x14ac:dyDescent="0.2">
      <c r="I161" s="60"/>
    </row>
    <row r="162" spans="9:9" x14ac:dyDescent="0.2">
      <c r="I162" s="60"/>
    </row>
    <row r="163" spans="9:9" x14ac:dyDescent="0.2">
      <c r="I163" s="60"/>
    </row>
    <row r="164" spans="9:9" x14ac:dyDescent="0.2">
      <c r="I164" s="60"/>
    </row>
    <row r="165" spans="9:9" x14ac:dyDescent="0.2">
      <c r="I165" s="60"/>
    </row>
    <row r="166" spans="9:9" x14ac:dyDescent="0.2">
      <c r="I166" s="60"/>
    </row>
    <row r="167" spans="9:9" x14ac:dyDescent="0.2">
      <c r="I167" s="60"/>
    </row>
    <row r="168" spans="9:9" x14ac:dyDescent="0.2">
      <c r="I168" s="60"/>
    </row>
    <row r="169" spans="9:9" x14ac:dyDescent="0.2">
      <c r="I169" s="60"/>
    </row>
    <row r="170" spans="9:9" x14ac:dyDescent="0.2">
      <c r="I170" s="60"/>
    </row>
    <row r="171" spans="9:9" x14ac:dyDescent="0.2">
      <c r="I171" s="60"/>
    </row>
    <row r="172" spans="9:9" x14ac:dyDescent="0.2">
      <c r="I172" s="60"/>
    </row>
    <row r="173" spans="9:9" x14ac:dyDescent="0.2">
      <c r="I173" s="60"/>
    </row>
    <row r="174" spans="9:9" x14ac:dyDescent="0.2">
      <c r="I174" s="60"/>
    </row>
    <row r="175" spans="9:9" x14ac:dyDescent="0.2">
      <c r="I175" s="60"/>
    </row>
    <row r="176" spans="9:9" x14ac:dyDescent="0.2">
      <c r="I176" s="60"/>
    </row>
    <row r="177" spans="9:9" x14ac:dyDescent="0.2">
      <c r="I177" s="60"/>
    </row>
    <row r="178" spans="9:9" x14ac:dyDescent="0.2">
      <c r="I178" s="60"/>
    </row>
    <row r="179" spans="9:9" x14ac:dyDescent="0.2">
      <c r="I179" s="60"/>
    </row>
    <row r="180" spans="9:9" x14ac:dyDescent="0.2">
      <c r="I180" s="60"/>
    </row>
    <row r="181" spans="9:9" x14ac:dyDescent="0.2">
      <c r="I181" s="60"/>
    </row>
    <row r="182" spans="9:9" x14ac:dyDescent="0.2">
      <c r="I182" s="60"/>
    </row>
    <row r="183" spans="9:9" x14ac:dyDescent="0.2">
      <c r="I183" s="60"/>
    </row>
    <row r="184" spans="9:9" x14ac:dyDescent="0.2">
      <c r="I184" s="60"/>
    </row>
    <row r="185" spans="9:9" x14ac:dyDescent="0.2">
      <c r="I185" s="60"/>
    </row>
    <row r="186" spans="9:9" x14ac:dyDescent="0.2">
      <c r="I186" s="60"/>
    </row>
    <row r="187" spans="9:9" x14ac:dyDescent="0.2">
      <c r="I187" s="60"/>
    </row>
    <row r="188" spans="9:9" x14ac:dyDescent="0.2">
      <c r="I188" s="60"/>
    </row>
    <row r="189" spans="9:9" x14ac:dyDescent="0.2">
      <c r="I189" s="60"/>
    </row>
    <row r="190" spans="9:9" x14ac:dyDescent="0.2">
      <c r="I190" s="60"/>
    </row>
    <row r="191" spans="9:9" x14ac:dyDescent="0.2">
      <c r="I191" s="60"/>
    </row>
    <row r="192" spans="9:9" x14ac:dyDescent="0.2">
      <c r="I192" s="60"/>
    </row>
    <row r="193" spans="9:9" x14ac:dyDescent="0.2">
      <c r="I193" s="60"/>
    </row>
    <row r="194" spans="9:9" x14ac:dyDescent="0.2">
      <c r="I194" s="60"/>
    </row>
    <row r="195" spans="9:9" x14ac:dyDescent="0.2">
      <c r="I195" s="60"/>
    </row>
    <row r="196" spans="9:9" x14ac:dyDescent="0.2">
      <c r="I196" s="60"/>
    </row>
    <row r="197" spans="9:9" x14ac:dyDescent="0.2">
      <c r="I197" s="60"/>
    </row>
    <row r="198" spans="9:9" x14ac:dyDescent="0.2">
      <c r="I198" s="60"/>
    </row>
    <row r="199" spans="9:9" x14ac:dyDescent="0.2">
      <c r="I199" s="60"/>
    </row>
    <row r="200" spans="9:9" x14ac:dyDescent="0.2">
      <c r="I200" s="60"/>
    </row>
    <row r="201" spans="9:9" x14ac:dyDescent="0.2">
      <c r="I201" s="60"/>
    </row>
    <row r="202" spans="9:9" x14ac:dyDescent="0.2">
      <c r="I202" s="60"/>
    </row>
    <row r="203" spans="9:9" x14ac:dyDescent="0.2">
      <c r="I203" s="60"/>
    </row>
    <row r="204" spans="9:9" x14ac:dyDescent="0.2">
      <c r="I204" s="60"/>
    </row>
    <row r="205" spans="9:9" x14ac:dyDescent="0.2">
      <c r="I205" s="60"/>
    </row>
    <row r="206" spans="9:9" x14ac:dyDescent="0.2">
      <c r="I206" s="60"/>
    </row>
    <row r="207" spans="9:9" x14ac:dyDescent="0.2">
      <c r="I207" s="60"/>
    </row>
    <row r="208" spans="9:9" x14ac:dyDescent="0.2">
      <c r="I208" s="60"/>
    </row>
    <row r="209" spans="9:9" x14ac:dyDescent="0.2">
      <c r="I209" s="60"/>
    </row>
    <row r="210" spans="9:9" x14ac:dyDescent="0.2">
      <c r="I210" s="60"/>
    </row>
    <row r="211" spans="9:9" x14ac:dyDescent="0.2">
      <c r="I211" s="60"/>
    </row>
    <row r="212" spans="9:9" x14ac:dyDescent="0.2">
      <c r="I212" s="60"/>
    </row>
    <row r="213" spans="9:9" x14ac:dyDescent="0.2">
      <c r="I213" s="60"/>
    </row>
    <row r="214" spans="9:9" x14ac:dyDescent="0.2">
      <c r="I214" s="60"/>
    </row>
    <row r="215" spans="9:9" x14ac:dyDescent="0.2">
      <c r="I215" s="60"/>
    </row>
    <row r="216" spans="9:9" x14ac:dyDescent="0.2">
      <c r="I216" s="60"/>
    </row>
    <row r="217" spans="9:9" x14ac:dyDescent="0.2">
      <c r="I217" s="60"/>
    </row>
    <row r="218" spans="9:9" x14ac:dyDescent="0.2">
      <c r="I218" s="60"/>
    </row>
    <row r="219" spans="9:9" x14ac:dyDescent="0.2">
      <c r="I219" s="60"/>
    </row>
    <row r="220" spans="9:9" x14ac:dyDescent="0.2">
      <c r="I220" s="60"/>
    </row>
    <row r="221" spans="9:9" x14ac:dyDescent="0.2">
      <c r="I221" s="60"/>
    </row>
    <row r="222" spans="9:9" x14ac:dyDescent="0.2">
      <c r="I222" s="60"/>
    </row>
    <row r="223" spans="9:9" x14ac:dyDescent="0.2">
      <c r="I223" s="60"/>
    </row>
    <row r="224" spans="9:9" x14ac:dyDescent="0.2">
      <c r="I224" s="60"/>
    </row>
    <row r="225" spans="9:9" x14ac:dyDescent="0.2">
      <c r="I225" s="60"/>
    </row>
    <row r="226" spans="9:9" x14ac:dyDescent="0.2">
      <c r="I226" s="60"/>
    </row>
    <row r="227" spans="9:9" x14ac:dyDescent="0.2">
      <c r="I227" s="60"/>
    </row>
    <row r="228" spans="9:9" x14ac:dyDescent="0.2">
      <c r="I228" s="60"/>
    </row>
    <row r="229" spans="9:9" x14ac:dyDescent="0.2">
      <c r="I229" s="60"/>
    </row>
    <row r="230" spans="9:9" x14ac:dyDescent="0.2">
      <c r="I230" s="60"/>
    </row>
    <row r="231" spans="9:9" x14ac:dyDescent="0.2">
      <c r="I231" s="60"/>
    </row>
    <row r="232" spans="9:9" x14ac:dyDescent="0.2">
      <c r="I232" s="60"/>
    </row>
    <row r="233" spans="9:9" x14ac:dyDescent="0.2">
      <c r="I233" s="60"/>
    </row>
    <row r="234" spans="9:9" x14ac:dyDescent="0.2">
      <c r="I234" s="60"/>
    </row>
    <row r="235" spans="9:9" x14ac:dyDescent="0.2">
      <c r="I235" s="60"/>
    </row>
    <row r="236" spans="9:9" x14ac:dyDescent="0.2">
      <c r="I236" s="60"/>
    </row>
    <row r="237" spans="9:9" x14ac:dyDescent="0.2">
      <c r="I237" s="60"/>
    </row>
    <row r="238" spans="9:9" x14ac:dyDescent="0.2">
      <c r="I238" s="60"/>
    </row>
    <row r="239" spans="9:9" x14ac:dyDescent="0.2">
      <c r="I239" s="60"/>
    </row>
    <row r="240" spans="9:9" x14ac:dyDescent="0.2">
      <c r="I240" s="60"/>
    </row>
    <row r="241" spans="9:9" x14ac:dyDescent="0.2">
      <c r="I241" s="60"/>
    </row>
    <row r="242" spans="9:9" x14ac:dyDescent="0.2">
      <c r="I242" s="60"/>
    </row>
    <row r="243" spans="9:9" x14ac:dyDescent="0.2">
      <c r="I243" s="60"/>
    </row>
    <row r="244" spans="9:9" x14ac:dyDescent="0.2">
      <c r="I244" s="60"/>
    </row>
    <row r="245" spans="9:9" x14ac:dyDescent="0.2">
      <c r="I245" s="60"/>
    </row>
    <row r="246" spans="9:9" x14ac:dyDescent="0.2">
      <c r="I246" s="60"/>
    </row>
    <row r="247" spans="9:9" x14ac:dyDescent="0.2">
      <c r="I247" s="60"/>
    </row>
    <row r="248" spans="9:9" x14ac:dyDescent="0.2">
      <c r="I248" s="60"/>
    </row>
    <row r="249" spans="9:9" x14ac:dyDescent="0.2">
      <c r="I249" s="60"/>
    </row>
    <row r="250" spans="9:9" x14ac:dyDescent="0.2">
      <c r="I250" s="60"/>
    </row>
    <row r="251" spans="9:9" x14ac:dyDescent="0.2">
      <c r="I251" s="60"/>
    </row>
    <row r="252" spans="9:9" x14ac:dyDescent="0.2">
      <c r="I252" s="60"/>
    </row>
    <row r="253" spans="9:9" x14ac:dyDescent="0.2">
      <c r="I253" s="60"/>
    </row>
    <row r="254" spans="9:9" x14ac:dyDescent="0.2">
      <c r="I254" s="60"/>
    </row>
    <row r="255" spans="9:9" x14ac:dyDescent="0.2">
      <c r="I255" s="60"/>
    </row>
    <row r="256" spans="9:9" x14ac:dyDescent="0.2">
      <c r="I256" s="60"/>
    </row>
    <row r="257" spans="9:9" x14ac:dyDescent="0.2">
      <c r="I257" s="60"/>
    </row>
    <row r="258" spans="9:9" x14ac:dyDescent="0.2">
      <c r="I258" s="60"/>
    </row>
    <row r="259" spans="9:9" x14ac:dyDescent="0.2">
      <c r="I259" s="60"/>
    </row>
    <row r="260" spans="9:9" x14ac:dyDescent="0.2">
      <c r="I260" s="60"/>
    </row>
    <row r="261" spans="9:9" x14ac:dyDescent="0.2">
      <c r="I261" s="60"/>
    </row>
    <row r="262" spans="9:9" x14ac:dyDescent="0.2">
      <c r="I262" s="60"/>
    </row>
    <row r="263" spans="9:9" x14ac:dyDescent="0.2">
      <c r="I263" s="60"/>
    </row>
    <row r="264" spans="9:9" x14ac:dyDescent="0.2">
      <c r="I264" s="60"/>
    </row>
    <row r="265" spans="9:9" x14ac:dyDescent="0.2">
      <c r="I265" s="60"/>
    </row>
    <row r="266" spans="9:9" x14ac:dyDescent="0.2">
      <c r="I266" s="60"/>
    </row>
    <row r="267" spans="9:9" x14ac:dyDescent="0.2">
      <c r="I267" s="60"/>
    </row>
    <row r="268" spans="9:9" x14ac:dyDescent="0.2">
      <c r="I268" s="60"/>
    </row>
    <row r="269" spans="9:9" x14ac:dyDescent="0.2">
      <c r="I269" s="60"/>
    </row>
    <row r="270" spans="9:9" x14ac:dyDescent="0.2">
      <c r="I270" s="60"/>
    </row>
    <row r="271" spans="9:9" x14ac:dyDescent="0.2">
      <c r="I271" s="60"/>
    </row>
    <row r="272" spans="9:9" x14ac:dyDescent="0.2">
      <c r="I272" s="60"/>
    </row>
    <row r="273" spans="9:9" x14ac:dyDescent="0.2">
      <c r="I273" s="60"/>
    </row>
    <row r="274" spans="9:9" x14ac:dyDescent="0.2">
      <c r="I274" s="60"/>
    </row>
    <row r="275" spans="9:9" x14ac:dyDescent="0.2">
      <c r="I275" s="60"/>
    </row>
    <row r="276" spans="9:9" x14ac:dyDescent="0.2">
      <c r="I276" s="60"/>
    </row>
    <row r="277" spans="9:9" x14ac:dyDescent="0.2">
      <c r="I277" s="60"/>
    </row>
    <row r="278" spans="9:9" x14ac:dyDescent="0.2">
      <c r="I278" s="60"/>
    </row>
    <row r="279" spans="9:9" x14ac:dyDescent="0.2">
      <c r="I279" s="60"/>
    </row>
    <row r="280" spans="9:9" x14ac:dyDescent="0.2">
      <c r="I280" s="60"/>
    </row>
    <row r="281" spans="9:9" x14ac:dyDescent="0.2">
      <c r="I281" s="60"/>
    </row>
    <row r="282" spans="9:9" x14ac:dyDescent="0.2">
      <c r="I282" s="60"/>
    </row>
    <row r="283" spans="9:9" x14ac:dyDescent="0.2">
      <c r="I283" s="60"/>
    </row>
    <row r="284" spans="9:9" x14ac:dyDescent="0.2">
      <c r="I284" s="60"/>
    </row>
    <row r="285" spans="9:9" x14ac:dyDescent="0.2">
      <c r="I285" s="60"/>
    </row>
    <row r="286" spans="9:9" x14ac:dyDescent="0.2">
      <c r="I286" s="60"/>
    </row>
    <row r="287" spans="9:9" x14ac:dyDescent="0.2">
      <c r="I287" s="60"/>
    </row>
    <row r="288" spans="9:9" x14ac:dyDescent="0.2">
      <c r="I288" s="60"/>
    </row>
    <row r="289" spans="9:9" x14ac:dyDescent="0.2">
      <c r="I289" s="60"/>
    </row>
    <row r="290" spans="9:9" x14ac:dyDescent="0.2">
      <c r="I290" s="60"/>
    </row>
    <row r="291" spans="9:9" x14ac:dyDescent="0.2">
      <c r="I291" s="60"/>
    </row>
    <row r="292" spans="9:9" x14ac:dyDescent="0.2">
      <c r="I292" s="60"/>
    </row>
    <row r="293" spans="9:9" x14ac:dyDescent="0.2">
      <c r="I293" s="60"/>
    </row>
    <row r="294" spans="9:9" x14ac:dyDescent="0.2">
      <c r="I294" s="60"/>
    </row>
    <row r="295" spans="9:9" x14ac:dyDescent="0.2">
      <c r="I295" s="60"/>
    </row>
    <row r="296" spans="9:9" x14ac:dyDescent="0.2">
      <c r="I296" s="60"/>
    </row>
    <row r="297" spans="9:9" x14ac:dyDescent="0.2">
      <c r="I297" s="60"/>
    </row>
    <row r="298" spans="9:9" x14ac:dyDescent="0.2">
      <c r="I298" s="60"/>
    </row>
    <row r="299" spans="9:9" x14ac:dyDescent="0.2">
      <c r="I299" s="60"/>
    </row>
    <row r="300" spans="9:9" x14ac:dyDescent="0.2">
      <c r="I300" s="60"/>
    </row>
    <row r="301" spans="9:9" x14ac:dyDescent="0.2">
      <c r="I301" s="60"/>
    </row>
    <row r="302" spans="9:9" x14ac:dyDescent="0.2">
      <c r="I302" s="60"/>
    </row>
    <row r="303" spans="9:9" x14ac:dyDescent="0.2">
      <c r="I303" s="60"/>
    </row>
    <row r="304" spans="9:9" x14ac:dyDescent="0.2">
      <c r="I304" s="60"/>
    </row>
    <row r="305" spans="9:9" x14ac:dyDescent="0.2">
      <c r="I305" s="60"/>
    </row>
    <row r="306" spans="9:9" x14ac:dyDescent="0.2">
      <c r="I306" s="60"/>
    </row>
    <row r="307" spans="9:9" x14ac:dyDescent="0.2">
      <c r="I307" s="60"/>
    </row>
    <row r="308" spans="9:9" x14ac:dyDescent="0.2">
      <c r="I308" s="60"/>
    </row>
    <row r="309" spans="9:9" x14ac:dyDescent="0.2">
      <c r="I309" s="60"/>
    </row>
    <row r="310" spans="9:9" x14ac:dyDescent="0.2">
      <c r="I310" s="60"/>
    </row>
    <row r="311" spans="9:9" x14ac:dyDescent="0.2">
      <c r="I311" s="60"/>
    </row>
    <row r="312" spans="9:9" x14ac:dyDescent="0.2">
      <c r="I312" s="60"/>
    </row>
    <row r="313" spans="9:9" x14ac:dyDescent="0.2">
      <c r="I313" s="60"/>
    </row>
    <row r="314" spans="9:9" x14ac:dyDescent="0.2">
      <c r="I314" s="60"/>
    </row>
    <row r="315" spans="9:9" x14ac:dyDescent="0.2">
      <c r="I315" s="60"/>
    </row>
    <row r="316" spans="9:9" x14ac:dyDescent="0.2">
      <c r="I316" s="60"/>
    </row>
    <row r="317" spans="9:9" x14ac:dyDescent="0.2">
      <c r="I317" s="60"/>
    </row>
    <row r="318" spans="9:9" x14ac:dyDescent="0.2">
      <c r="I318" s="60"/>
    </row>
    <row r="319" spans="9:9" x14ac:dyDescent="0.2">
      <c r="I319" s="60"/>
    </row>
    <row r="320" spans="9:9" x14ac:dyDescent="0.2">
      <c r="I320" s="60"/>
    </row>
    <row r="321" spans="9:9" x14ac:dyDescent="0.2">
      <c r="I321" s="60"/>
    </row>
    <row r="322" spans="9:9" x14ac:dyDescent="0.2">
      <c r="I322" s="60"/>
    </row>
    <row r="323" spans="9:9" x14ac:dyDescent="0.2">
      <c r="I323" s="60"/>
    </row>
    <row r="324" spans="9:9" x14ac:dyDescent="0.2">
      <c r="I324" s="60"/>
    </row>
    <row r="325" spans="9:9" x14ac:dyDescent="0.2">
      <c r="I325" s="60"/>
    </row>
    <row r="326" spans="9:9" x14ac:dyDescent="0.2">
      <c r="I326" s="60"/>
    </row>
    <row r="327" spans="9:9" x14ac:dyDescent="0.2">
      <c r="I327" s="60"/>
    </row>
    <row r="328" spans="9:9" x14ac:dyDescent="0.2">
      <c r="I328" s="60"/>
    </row>
    <row r="329" spans="9:9" x14ac:dyDescent="0.2">
      <c r="I329" s="60"/>
    </row>
    <row r="330" spans="9:9" x14ac:dyDescent="0.2">
      <c r="I330" s="60"/>
    </row>
    <row r="331" spans="9:9" x14ac:dyDescent="0.2">
      <c r="I331" s="60"/>
    </row>
    <row r="332" spans="9:9" x14ac:dyDescent="0.2">
      <c r="I332" s="60"/>
    </row>
    <row r="333" spans="9:9" x14ac:dyDescent="0.2">
      <c r="I333" s="60"/>
    </row>
    <row r="334" spans="9:9" x14ac:dyDescent="0.2">
      <c r="I334" s="60"/>
    </row>
    <row r="335" spans="9:9" x14ac:dyDescent="0.2">
      <c r="I335" s="60"/>
    </row>
    <row r="336" spans="9:9" x14ac:dyDescent="0.2">
      <c r="I336" s="60"/>
    </row>
    <row r="337" spans="9:9" x14ac:dyDescent="0.2">
      <c r="I337" s="60"/>
    </row>
    <row r="338" spans="9:9" x14ac:dyDescent="0.2">
      <c r="I338" s="60"/>
    </row>
    <row r="339" spans="9:9" x14ac:dyDescent="0.2">
      <c r="I339" s="60"/>
    </row>
    <row r="340" spans="9:9" x14ac:dyDescent="0.2">
      <c r="I340" s="60"/>
    </row>
    <row r="341" spans="9:9" x14ac:dyDescent="0.2">
      <c r="I341" s="60"/>
    </row>
    <row r="342" spans="9:9" x14ac:dyDescent="0.2">
      <c r="I342" s="60"/>
    </row>
    <row r="343" spans="9:9" x14ac:dyDescent="0.2">
      <c r="I343" s="60"/>
    </row>
    <row r="344" spans="9:9" x14ac:dyDescent="0.2">
      <c r="I344" s="60"/>
    </row>
    <row r="345" spans="9:9" x14ac:dyDescent="0.2">
      <c r="I345" s="60"/>
    </row>
    <row r="346" spans="9:9" x14ac:dyDescent="0.2">
      <c r="I346" s="60"/>
    </row>
    <row r="347" spans="9:9" x14ac:dyDescent="0.2">
      <c r="I347" s="60"/>
    </row>
    <row r="348" spans="9:9" x14ac:dyDescent="0.2">
      <c r="I348" s="60"/>
    </row>
    <row r="349" spans="9:9" x14ac:dyDescent="0.2">
      <c r="I349" s="60"/>
    </row>
    <row r="350" spans="9:9" x14ac:dyDescent="0.2">
      <c r="I350" s="60"/>
    </row>
    <row r="351" spans="9:9" x14ac:dyDescent="0.2">
      <c r="I351" s="60"/>
    </row>
    <row r="352" spans="9:9" x14ac:dyDescent="0.2">
      <c r="I352" s="60"/>
    </row>
    <row r="353" spans="9:9" x14ac:dyDescent="0.2">
      <c r="I353" s="60"/>
    </row>
    <row r="354" spans="9:9" x14ac:dyDescent="0.2">
      <c r="I354" s="60"/>
    </row>
    <row r="355" spans="9:9" x14ac:dyDescent="0.2">
      <c r="I355" s="60"/>
    </row>
    <row r="356" spans="9:9" x14ac:dyDescent="0.2">
      <c r="I356" s="60"/>
    </row>
    <row r="357" spans="9:9" x14ac:dyDescent="0.2">
      <c r="I357" s="60"/>
    </row>
    <row r="358" spans="9:9" x14ac:dyDescent="0.2">
      <c r="I358" s="60"/>
    </row>
    <row r="359" spans="9:9" x14ac:dyDescent="0.2">
      <c r="I359" s="60"/>
    </row>
    <row r="360" spans="9:9" x14ac:dyDescent="0.2">
      <c r="I360" s="60"/>
    </row>
    <row r="361" spans="9:9" x14ac:dyDescent="0.2">
      <c r="I361" s="60"/>
    </row>
    <row r="362" spans="9:9" x14ac:dyDescent="0.2">
      <c r="I362" s="60"/>
    </row>
    <row r="363" spans="9:9" x14ac:dyDescent="0.2">
      <c r="I363" s="60"/>
    </row>
    <row r="364" spans="9:9" x14ac:dyDescent="0.2">
      <c r="I364" s="60"/>
    </row>
    <row r="365" spans="9:9" x14ac:dyDescent="0.2">
      <c r="I365" s="60"/>
    </row>
    <row r="366" spans="9:9" x14ac:dyDescent="0.2">
      <c r="I366" s="60"/>
    </row>
    <row r="367" spans="9:9" x14ac:dyDescent="0.2">
      <c r="I367" s="60"/>
    </row>
    <row r="368" spans="9:9" x14ac:dyDescent="0.2">
      <c r="I368" s="60"/>
    </row>
    <row r="369" spans="9:9" x14ac:dyDescent="0.2">
      <c r="I369" s="60"/>
    </row>
    <row r="370" spans="9:9" x14ac:dyDescent="0.2">
      <c r="I370" s="60"/>
    </row>
    <row r="371" spans="9:9" x14ac:dyDescent="0.2">
      <c r="I371" s="60"/>
    </row>
    <row r="372" spans="9:9" x14ac:dyDescent="0.2">
      <c r="I372" s="60"/>
    </row>
    <row r="373" spans="9:9" x14ac:dyDescent="0.2">
      <c r="I373" s="60"/>
    </row>
    <row r="374" spans="9:9" x14ac:dyDescent="0.2">
      <c r="I374" s="60"/>
    </row>
    <row r="375" spans="9:9" x14ac:dyDescent="0.2">
      <c r="I375" s="60"/>
    </row>
    <row r="376" spans="9:9" x14ac:dyDescent="0.2">
      <c r="I376" s="60"/>
    </row>
    <row r="377" spans="9:9" x14ac:dyDescent="0.2">
      <c r="I377" s="60"/>
    </row>
    <row r="378" spans="9:9" x14ac:dyDescent="0.2">
      <c r="I378" s="60"/>
    </row>
    <row r="379" spans="9:9" x14ac:dyDescent="0.2">
      <c r="I379" s="60"/>
    </row>
    <row r="380" spans="9:9" x14ac:dyDescent="0.2">
      <c r="I380" s="60"/>
    </row>
    <row r="381" spans="9:9" x14ac:dyDescent="0.2">
      <c r="I381" s="60"/>
    </row>
    <row r="382" spans="9:9" x14ac:dyDescent="0.2">
      <c r="I382" s="60"/>
    </row>
    <row r="383" spans="9:9" x14ac:dyDescent="0.2">
      <c r="I383" s="60"/>
    </row>
    <row r="384" spans="9:9" x14ac:dyDescent="0.2">
      <c r="I384" s="60"/>
    </row>
    <row r="385" spans="9:9" x14ac:dyDescent="0.2">
      <c r="I385" s="60"/>
    </row>
    <row r="386" spans="9:9" x14ac:dyDescent="0.2">
      <c r="I386" s="60"/>
    </row>
    <row r="387" spans="9:9" x14ac:dyDescent="0.2">
      <c r="I387" s="60"/>
    </row>
    <row r="388" spans="9:9" x14ac:dyDescent="0.2">
      <c r="I388" s="60"/>
    </row>
    <row r="389" spans="9:9" x14ac:dyDescent="0.2">
      <c r="I389" s="60"/>
    </row>
    <row r="390" spans="9:9" x14ac:dyDescent="0.2">
      <c r="I390" s="60"/>
    </row>
    <row r="391" spans="9:9" x14ac:dyDescent="0.2">
      <c r="I391" s="60"/>
    </row>
  </sheetData>
  <sortState xmlns:xlrd2="http://schemas.microsoft.com/office/spreadsheetml/2017/richdata2" ref="A77:WWC80">
    <sortCondition ref="E77:E80"/>
    <sortCondition ref="F77:F80"/>
  </sortState>
  <pageMargins left="0.5" right="0.5" top="0.5" bottom="0.55000000000000004" header="0.5" footer="0.5"/>
  <pageSetup scale="50" pageOrder="overThenDown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WA258"/>
  <sheetViews>
    <sheetView showGridLines="0" view="pageBreakPreview" zoomScale="80" zoomScaleNormal="100" zoomScaleSheetLayoutView="80" workbookViewId="0">
      <pane xSplit="3" ySplit="11" topLeftCell="D101" activePane="bottomRight" state="frozen"/>
      <selection activeCell="M65" sqref="M65"/>
      <selection pane="topRight" activeCell="M65" sqref="M65"/>
      <selection pane="bottomLeft" activeCell="M65" sqref="M65"/>
      <selection pane="bottomRight" activeCell="U61" sqref="U61"/>
    </sheetView>
  </sheetViews>
  <sheetFormatPr defaultColWidth="13.33203125" defaultRowHeight="12" x14ac:dyDescent="0.2"/>
  <cols>
    <col min="1" max="1" width="12.33203125" style="33" bestFit="1" customWidth="1"/>
    <col min="2" max="2" width="8.6640625" style="33" customWidth="1"/>
    <col min="3" max="3" width="39" style="33" bestFit="1" customWidth="1"/>
    <col min="4" max="4" width="11.1640625" style="60" bestFit="1" customWidth="1"/>
    <col min="5" max="5" width="8.1640625" style="60" customWidth="1"/>
    <col min="6" max="6" width="10" style="33" customWidth="1"/>
    <col min="7" max="7" width="2" style="33" customWidth="1"/>
    <col min="8" max="8" width="9.83203125" style="33" customWidth="1"/>
    <col min="9" max="9" width="11.6640625" style="60" bestFit="1" customWidth="1"/>
    <col min="10" max="10" width="10.33203125" style="33" customWidth="1"/>
    <col min="11" max="11" width="13.33203125" style="33" customWidth="1"/>
    <col min="12" max="12" width="15.1640625" style="33" bestFit="1" customWidth="1"/>
    <col min="13" max="13" width="16.5" style="33" bestFit="1" customWidth="1"/>
    <col min="14" max="15" width="13.33203125" style="33" customWidth="1"/>
    <col min="16" max="16" width="12.33203125" style="33" bestFit="1" customWidth="1"/>
    <col min="17" max="17" width="18.1640625" style="33" bestFit="1" customWidth="1"/>
    <col min="18" max="19" width="21" style="33" bestFit="1" customWidth="1"/>
    <col min="20" max="256" width="13.33203125" style="33"/>
    <col min="257" max="257" width="12.33203125" style="33" bestFit="1" customWidth="1"/>
    <col min="258" max="258" width="8.6640625" style="33" customWidth="1"/>
    <col min="259" max="259" width="30.6640625" style="33" customWidth="1"/>
    <col min="260" max="260" width="10.5" style="33" customWidth="1"/>
    <col min="261" max="261" width="8.1640625" style="33" customWidth="1"/>
    <col min="262" max="262" width="10" style="33" customWidth="1"/>
    <col min="263" max="263" width="2" style="33" customWidth="1"/>
    <col min="264" max="264" width="9.83203125" style="33" customWidth="1"/>
    <col min="265" max="265" width="11.6640625" style="33" bestFit="1" customWidth="1"/>
    <col min="266" max="266" width="10.33203125" style="33" customWidth="1"/>
    <col min="267" max="267" width="13.33203125" style="33" customWidth="1"/>
    <col min="268" max="268" width="15.1640625" style="33" bestFit="1" customWidth="1"/>
    <col min="269" max="269" width="16.5" style="33" bestFit="1" customWidth="1"/>
    <col min="270" max="271" width="13.33203125" style="33" customWidth="1"/>
    <col min="272" max="272" width="11.6640625" style="33" bestFit="1" customWidth="1"/>
    <col min="273" max="273" width="18.1640625" style="33" bestFit="1" customWidth="1"/>
    <col min="274" max="275" width="21" style="33" bestFit="1" customWidth="1"/>
    <col min="276" max="512" width="13.33203125" style="33"/>
    <col min="513" max="513" width="12.33203125" style="33" bestFit="1" customWidth="1"/>
    <col min="514" max="514" width="8.6640625" style="33" customWidth="1"/>
    <col min="515" max="515" width="30.6640625" style="33" customWidth="1"/>
    <col min="516" max="516" width="10.5" style="33" customWidth="1"/>
    <col min="517" max="517" width="8.1640625" style="33" customWidth="1"/>
    <col min="518" max="518" width="10" style="33" customWidth="1"/>
    <col min="519" max="519" width="2" style="33" customWidth="1"/>
    <col min="520" max="520" width="9.83203125" style="33" customWidth="1"/>
    <col min="521" max="521" width="11.6640625" style="33" bestFit="1" customWidth="1"/>
    <col min="522" max="522" width="10.33203125" style="33" customWidth="1"/>
    <col min="523" max="523" width="13.33203125" style="33" customWidth="1"/>
    <col min="524" max="524" width="15.1640625" style="33" bestFit="1" customWidth="1"/>
    <col min="525" max="525" width="16.5" style="33" bestFit="1" customWidth="1"/>
    <col min="526" max="527" width="13.33203125" style="33" customWidth="1"/>
    <col min="528" max="528" width="11.6640625" style="33" bestFit="1" customWidth="1"/>
    <col min="529" max="529" width="18.1640625" style="33" bestFit="1" customWidth="1"/>
    <col min="530" max="531" width="21" style="33" bestFit="1" customWidth="1"/>
    <col min="532" max="768" width="13.33203125" style="33"/>
    <col min="769" max="769" width="12.33203125" style="33" bestFit="1" customWidth="1"/>
    <col min="770" max="770" width="8.6640625" style="33" customWidth="1"/>
    <col min="771" max="771" width="30.6640625" style="33" customWidth="1"/>
    <col min="772" max="772" width="10.5" style="33" customWidth="1"/>
    <col min="773" max="773" width="8.1640625" style="33" customWidth="1"/>
    <col min="774" max="774" width="10" style="33" customWidth="1"/>
    <col min="775" max="775" width="2" style="33" customWidth="1"/>
    <col min="776" max="776" width="9.83203125" style="33" customWidth="1"/>
    <col min="777" max="777" width="11.6640625" style="33" bestFit="1" customWidth="1"/>
    <col min="778" max="778" width="10.33203125" style="33" customWidth="1"/>
    <col min="779" max="779" width="13.33203125" style="33" customWidth="1"/>
    <col min="780" max="780" width="15.1640625" style="33" bestFit="1" customWidth="1"/>
    <col min="781" max="781" width="16.5" style="33" bestFit="1" customWidth="1"/>
    <col min="782" max="783" width="13.33203125" style="33" customWidth="1"/>
    <col min="784" max="784" width="11.6640625" style="33" bestFit="1" customWidth="1"/>
    <col min="785" max="785" width="18.1640625" style="33" bestFit="1" customWidth="1"/>
    <col min="786" max="787" width="21" style="33" bestFit="1" customWidth="1"/>
    <col min="788" max="1024" width="13.33203125" style="33"/>
    <col min="1025" max="1025" width="12.33203125" style="33" bestFit="1" customWidth="1"/>
    <col min="1026" max="1026" width="8.6640625" style="33" customWidth="1"/>
    <col min="1027" max="1027" width="30.6640625" style="33" customWidth="1"/>
    <col min="1028" max="1028" width="10.5" style="33" customWidth="1"/>
    <col min="1029" max="1029" width="8.1640625" style="33" customWidth="1"/>
    <col min="1030" max="1030" width="10" style="33" customWidth="1"/>
    <col min="1031" max="1031" width="2" style="33" customWidth="1"/>
    <col min="1032" max="1032" width="9.83203125" style="33" customWidth="1"/>
    <col min="1033" max="1033" width="11.6640625" style="33" bestFit="1" customWidth="1"/>
    <col min="1034" max="1034" width="10.33203125" style="33" customWidth="1"/>
    <col min="1035" max="1035" width="13.33203125" style="33" customWidth="1"/>
    <col min="1036" max="1036" width="15.1640625" style="33" bestFit="1" customWidth="1"/>
    <col min="1037" max="1037" width="16.5" style="33" bestFit="1" customWidth="1"/>
    <col min="1038" max="1039" width="13.33203125" style="33" customWidth="1"/>
    <col min="1040" max="1040" width="11.6640625" style="33" bestFit="1" customWidth="1"/>
    <col min="1041" max="1041" width="18.1640625" style="33" bestFit="1" customWidth="1"/>
    <col min="1042" max="1043" width="21" style="33" bestFit="1" customWidth="1"/>
    <col min="1044" max="1280" width="13.33203125" style="33"/>
    <col min="1281" max="1281" width="12.33203125" style="33" bestFit="1" customWidth="1"/>
    <col min="1282" max="1282" width="8.6640625" style="33" customWidth="1"/>
    <col min="1283" max="1283" width="30.6640625" style="33" customWidth="1"/>
    <col min="1284" max="1284" width="10.5" style="33" customWidth="1"/>
    <col min="1285" max="1285" width="8.1640625" style="33" customWidth="1"/>
    <col min="1286" max="1286" width="10" style="33" customWidth="1"/>
    <col min="1287" max="1287" width="2" style="33" customWidth="1"/>
    <col min="1288" max="1288" width="9.83203125" style="33" customWidth="1"/>
    <col min="1289" max="1289" width="11.6640625" style="33" bestFit="1" customWidth="1"/>
    <col min="1290" max="1290" width="10.33203125" style="33" customWidth="1"/>
    <col min="1291" max="1291" width="13.33203125" style="33" customWidth="1"/>
    <col min="1292" max="1292" width="15.1640625" style="33" bestFit="1" customWidth="1"/>
    <col min="1293" max="1293" width="16.5" style="33" bestFit="1" customWidth="1"/>
    <col min="1294" max="1295" width="13.33203125" style="33" customWidth="1"/>
    <col min="1296" max="1296" width="11.6640625" style="33" bestFit="1" customWidth="1"/>
    <col min="1297" max="1297" width="18.1640625" style="33" bestFit="1" customWidth="1"/>
    <col min="1298" max="1299" width="21" style="33" bestFit="1" customWidth="1"/>
    <col min="1300" max="1536" width="13.33203125" style="33"/>
    <col min="1537" max="1537" width="12.33203125" style="33" bestFit="1" customWidth="1"/>
    <col min="1538" max="1538" width="8.6640625" style="33" customWidth="1"/>
    <col min="1539" max="1539" width="30.6640625" style="33" customWidth="1"/>
    <col min="1540" max="1540" width="10.5" style="33" customWidth="1"/>
    <col min="1541" max="1541" width="8.1640625" style="33" customWidth="1"/>
    <col min="1542" max="1542" width="10" style="33" customWidth="1"/>
    <col min="1543" max="1543" width="2" style="33" customWidth="1"/>
    <col min="1544" max="1544" width="9.83203125" style="33" customWidth="1"/>
    <col min="1545" max="1545" width="11.6640625" style="33" bestFit="1" customWidth="1"/>
    <col min="1546" max="1546" width="10.33203125" style="33" customWidth="1"/>
    <col min="1547" max="1547" width="13.33203125" style="33" customWidth="1"/>
    <col min="1548" max="1548" width="15.1640625" style="33" bestFit="1" customWidth="1"/>
    <col min="1549" max="1549" width="16.5" style="33" bestFit="1" customWidth="1"/>
    <col min="1550" max="1551" width="13.33203125" style="33" customWidth="1"/>
    <col min="1552" max="1552" width="11.6640625" style="33" bestFit="1" customWidth="1"/>
    <col min="1553" max="1553" width="18.1640625" style="33" bestFit="1" customWidth="1"/>
    <col min="1554" max="1555" width="21" style="33" bestFit="1" customWidth="1"/>
    <col min="1556" max="1792" width="13.33203125" style="33"/>
    <col min="1793" max="1793" width="12.33203125" style="33" bestFit="1" customWidth="1"/>
    <col min="1794" max="1794" width="8.6640625" style="33" customWidth="1"/>
    <col min="1795" max="1795" width="30.6640625" style="33" customWidth="1"/>
    <col min="1796" max="1796" width="10.5" style="33" customWidth="1"/>
    <col min="1797" max="1797" width="8.1640625" style="33" customWidth="1"/>
    <col min="1798" max="1798" width="10" style="33" customWidth="1"/>
    <col min="1799" max="1799" width="2" style="33" customWidth="1"/>
    <col min="1800" max="1800" width="9.83203125" style="33" customWidth="1"/>
    <col min="1801" max="1801" width="11.6640625" style="33" bestFit="1" customWidth="1"/>
    <col min="1802" max="1802" width="10.33203125" style="33" customWidth="1"/>
    <col min="1803" max="1803" width="13.33203125" style="33" customWidth="1"/>
    <col min="1804" max="1804" width="15.1640625" style="33" bestFit="1" customWidth="1"/>
    <col min="1805" max="1805" width="16.5" style="33" bestFit="1" customWidth="1"/>
    <col min="1806" max="1807" width="13.33203125" style="33" customWidth="1"/>
    <col min="1808" max="1808" width="11.6640625" style="33" bestFit="1" customWidth="1"/>
    <col min="1809" max="1809" width="18.1640625" style="33" bestFit="1" customWidth="1"/>
    <col min="1810" max="1811" width="21" style="33" bestFit="1" customWidth="1"/>
    <col min="1812" max="2048" width="13.33203125" style="33"/>
    <col min="2049" max="2049" width="12.33203125" style="33" bestFit="1" customWidth="1"/>
    <col min="2050" max="2050" width="8.6640625" style="33" customWidth="1"/>
    <col min="2051" max="2051" width="30.6640625" style="33" customWidth="1"/>
    <col min="2052" max="2052" width="10.5" style="33" customWidth="1"/>
    <col min="2053" max="2053" width="8.1640625" style="33" customWidth="1"/>
    <col min="2054" max="2054" width="10" style="33" customWidth="1"/>
    <col min="2055" max="2055" width="2" style="33" customWidth="1"/>
    <col min="2056" max="2056" width="9.83203125" style="33" customWidth="1"/>
    <col min="2057" max="2057" width="11.6640625" style="33" bestFit="1" customWidth="1"/>
    <col min="2058" max="2058" width="10.33203125" style="33" customWidth="1"/>
    <col min="2059" max="2059" width="13.33203125" style="33" customWidth="1"/>
    <col min="2060" max="2060" width="15.1640625" style="33" bestFit="1" customWidth="1"/>
    <col min="2061" max="2061" width="16.5" style="33" bestFit="1" customWidth="1"/>
    <col min="2062" max="2063" width="13.33203125" style="33" customWidth="1"/>
    <col min="2064" max="2064" width="11.6640625" style="33" bestFit="1" customWidth="1"/>
    <col min="2065" max="2065" width="18.1640625" style="33" bestFit="1" customWidth="1"/>
    <col min="2066" max="2067" width="21" style="33" bestFit="1" customWidth="1"/>
    <col min="2068" max="2304" width="13.33203125" style="33"/>
    <col min="2305" max="2305" width="12.33203125" style="33" bestFit="1" customWidth="1"/>
    <col min="2306" max="2306" width="8.6640625" style="33" customWidth="1"/>
    <col min="2307" max="2307" width="30.6640625" style="33" customWidth="1"/>
    <col min="2308" max="2308" width="10.5" style="33" customWidth="1"/>
    <col min="2309" max="2309" width="8.1640625" style="33" customWidth="1"/>
    <col min="2310" max="2310" width="10" style="33" customWidth="1"/>
    <col min="2311" max="2311" width="2" style="33" customWidth="1"/>
    <col min="2312" max="2312" width="9.83203125" style="33" customWidth="1"/>
    <col min="2313" max="2313" width="11.6640625" style="33" bestFit="1" customWidth="1"/>
    <col min="2314" max="2314" width="10.33203125" style="33" customWidth="1"/>
    <col min="2315" max="2315" width="13.33203125" style="33" customWidth="1"/>
    <col min="2316" max="2316" width="15.1640625" style="33" bestFit="1" customWidth="1"/>
    <col min="2317" max="2317" width="16.5" style="33" bestFit="1" customWidth="1"/>
    <col min="2318" max="2319" width="13.33203125" style="33" customWidth="1"/>
    <col min="2320" max="2320" width="11.6640625" style="33" bestFit="1" customWidth="1"/>
    <col min="2321" max="2321" width="18.1640625" style="33" bestFit="1" customWidth="1"/>
    <col min="2322" max="2323" width="21" style="33" bestFit="1" customWidth="1"/>
    <col min="2324" max="2560" width="13.33203125" style="33"/>
    <col min="2561" max="2561" width="12.33203125" style="33" bestFit="1" customWidth="1"/>
    <col min="2562" max="2562" width="8.6640625" style="33" customWidth="1"/>
    <col min="2563" max="2563" width="30.6640625" style="33" customWidth="1"/>
    <col min="2564" max="2564" width="10.5" style="33" customWidth="1"/>
    <col min="2565" max="2565" width="8.1640625" style="33" customWidth="1"/>
    <col min="2566" max="2566" width="10" style="33" customWidth="1"/>
    <col min="2567" max="2567" width="2" style="33" customWidth="1"/>
    <col min="2568" max="2568" width="9.83203125" style="33" customWidth="1"/>
    <col min="2569" max="2569" width="11.6640625" style="33" bestFit="1" customWidth="1"/>
    <col min="2570" max="2570" width="10.33203125" style="33" customWidth="1"/>
    <col min="2571" max="2571" width="13.33203125" style="33" customWidth="1"/>
    <col min="2572" max="2572" width="15.1640625" style="33" bestFit="1" customWidth="1"/>
    <col min="2573" max="2573" width="16.5" style="33" bestFit="1" customWidth="1"/>
    <col min="2574" max="2575" width="13.33203125" style="33" customWidth="1"/>
    <col min="2576" max="2576" width="11.6640625" style="33" bestFit="1" customWidth="1"/>
    <col min="2577" max="2577" width="18.1640625" style="33" bestFit="1" customWidth="1"/>
    <col min="2578" max="2579" width="21" style="33" bestFit="1" customWidth="1"/>
    <col min="2580" max="2816" width="13.33203125" style="33"/>
    <col min="2817" max="2817" width="12.33203125" style="33" bestFit="1" customWidth="1"/>
    <col min="2818" max="2818" width="8.6640625" style="33" customWidth="1"/>
    <col min="2819" max="2819" width="30.6640625" style="33" customWidth="1"/>
    <col min="2820" max="2820" width="10.5" style="33" customWidth="1"/>
    <col min="2821" max="2821" width="8.1640625" style="33" customWidth="1"/>
    <col min="2822" max="2822" width="10" style="33" customWidth="1"/>
    <col min="2823" max="2823" width="2" style="33" customWidth="1"/>
    <col min="2824" max="2824" width="9.83203125" style="33" customWidth="1"/>
    <col min="2825" max="2825" width="11.6640625" style="33" bestFit="1" customWidth="1"/>
    <col min="2826" max="2826" width="10.33203125" style="33" customWidth="1"/>
    <col min="2827" max="2827" width="13.33203125" style="33" customWidth="1"/>
    <col min="2828" max="2828" width="15.1640625" style="33" bestFit="1" customWidth="1"/>
    <col min="2829" max="2829" width="16.5" style="33" bestFit="1" customWidth="1"/>
    <col min="2830" max="2831" width="13.33203125" style="33" customWidth="1"/>
    <col min="2832" max="2832" width="11.6640625" style="33" bestFit="1" customWidth="1"/>
    <col min="2833" max="2833" width="18.1640625" style="33" bestFit="1" customWidth="1"/>
    <col min="2834" max="2835" width="21" style="33" bestFit="1" customWidth="1"/>
    <col min="2836" max="3072" width="13.33203125" style="33"/>
    <col min="3073" max="3073" width="12.33203125" style="33" bestFit="1" customWidth="1"/>
    <col min="3074" max="3074" width="8.6640625" style="33" customWidth="1"/>
    <col min="3075" max="3075" width="30.6640625" style="33" customWidth="1"/>
    <col min="3076" max="3076" width="10.5" style="33" customWidth="1"/>
    <col min="3077" max="3077" width="8.1640625" style="33" customWidth="1"/>
    <col min="3078" max="3078" width="10" style="33" customWidth="1"/>
    <col min="3079" max="3079" width="2" style="33" customWidth="1"/>
    <col min="3080" max="3080" width="9.83203125" style="33" customWidth="1"/>
    <col min="3081" max="3081" width="11.6640625" style="33" bestFit="1" customWidth="1"/>
    <col min="3082" max="3082" width="10.33203125" style="33" customWidth="1"/>
    <col min="3083" max="3083" width="13.33203125" style="33" customWidth="1"/>
    <col min="3084" max="3084" width="15.1640625" style="33" bestFit="1" customWidth="1"/>
    <col min="3085" max="3085" width="16.5" style="33" bestFit="1" customWidth="1"/>
    <col min="3086" max="3087" width="13.33203125" style="33" customWidth="1"/>
    <col min="3088" max="3088" width="11.6640625" style="33" bestFit="1" customWidth="1"/>
    <col min="3089" max="3089" width="18.1640625" style="33" bestFit="1" customWidth="1"/>
    <col min="3090" max="3091" width="21" style="33" bestFit="1" customWidth="1"/>
    <col min="3092" max="3328" width="13.33203125" style="33"/>
    <col min="3329" max="3329" width="12.33203125" style="33" bestFit="1" customWidth="1"/>
    <col min="3330" max="3330" width="8.6640625" style="33" customWidth="1"/>
    <col min="3331" max="3331" width="30.6640625" style="33" customWidth="1"/>
    <col min="3332" max="3332" width="10.5" style="33" customWidth="1"/>
    <col min="3333" max="3333" width="8.1640625" style="33" customWidth="1"/>
    <col min="3334" max="3334" width="10" style="33" customWidth="1"/>
    <col min="3335" max="3335" width="2" style="33" customWidth="1"/>
    <col min="3336" max="3336" width="9.83203125" style="33" customWidth="1"/>
    <col min="3337" max="3337" width="11.6640625" style="33" bestFit="1" customWidth="1"/>
    <col min="3338" max="3338" width="10.33203125" style="33" customWidth="1"/>
    <col min="3339" max="3339" width="13.33203125" style="33" customWidth="1"/>
    <col min="3340" max="3340" width="15.1640625" style="33" bestFit="1" customWidth="1"/>
    <col min="3341" max="3341" width="16.5" style="33" bestFit="1" customWidth="1"/>
    <col min="3342" max="3343" width="13.33203125" style="33" customWidth="1"/>
    <col min="3344" max="3344" width="11.6640625" style="33" bestFit="1" customWidth="1"/>
    <col min="3345" max="3345" width="18.1640625" style="33" bestFit="1" customWidth="1"/>
    <col min="3346" max="3347" width="21" style="33" bestFit="1" customWidth="1"/>
    <col min="3348" max="3584" width="13.33203125" style="33"/>
    <col min="3585" max="3585" width="12.33203125" style="33" bestFit="1" customWidth="1"/>
    <col min="3586" max="3586" width="8.6640625" style="33" customWidth="1"/>
    <col min="3587" max="3587" width="30.6640625" style="33" customWidth="1"/>
    <col min="3588" max="3588" width="10.5" style="33" customWidth="1"/>
    <col min="3589" max="3589" width="8.1640625" style="33" customWidth="1"/>
    <col min="3590" max="3590" width="10" style="33" customWidth="1"/>
    <col min="3591" max="3591" width="2" style="33" customWidth="1"/>
    <col min="3592" max="3592" width="9.83203125" style="33" customWidth="1"/>
    <col min="3593" max="3593" width="11.6640625" style="33" bestFit="1" customWidth="1"/>
    <col min="3594" max="3594" width="10.33203125" style="33" customWidth="1"/>
    <col min="3595" max="3595" width="13.33203125" style="33" customWidth="1"/>
    <col min="3596" max="3596" width="15.1640625" style="33" bestFit="1" customWidth="1"/>
    <col min="3597" max="3597" width="16.5" style="33" bestFit="1" customWidth="1"/>
    <col min="3598" max="3599" width="13.33203125" style="33" customWidth="1"/>
    <col min="3600" max="3600" width="11.6640625" style="33" bestFit="1" customWidth="1"/>
    <col min="3601" max="3601" width="18.1640625" style="33" bestFit="1" customWidth="1"/>
    <col min="3602" max="3603" width="21" style="33" bestFit="1" customWidth="1"/>
    <col min="3604" max="3840" width="13.33203125" style="33"/>
    <col min="3841" max="3841" width="12.33203125" style="33" bestFit="1" customWidth="1"/>
    <col min="3842" max="3842" width="8.6640625" style="33" customWidth="1"/>
    <col min="3843" max="3843" width="30.6640625" style="33" customWidth="1"/>
    <col min="3844" max="3844" width="10.5" style="33" customWidth="1"/>
    <col min="3845" max="3845" width="8.1640625" style="33" customWidth="1"/>
    <col min="3846" max="3846" width="10" style="33" customWidth="1"/>
    <col min="3847" max="3847" width="2" style="33" customWidth="1"/>
    <col min="3848" max="3848" width="9.83203125" style="33" customWidth="1"/>
    <col min="3849" max="3849" width="11.6640625" style="33" bestFit="1" customWidth="1"/>
    <col min="3850" max="3850" width="10.33203125" style="33" customWidth="1"/>
    <col min="3851" max="3851" width="13.33203125" style="33" customWidth="1"/>
    <col min="3852" max="3852" width="15.1640625" style="33" bestFit="1" customWidth="1"/>
    <col min="3853" max="3853" width="16.5" style="33" bestFit="1" customWidth="1"/>
    <col min="3854" max="3855" width="13.33203125" style="33" customWidth="1"/>
    <col min="3856" max="3856" width="11.6640625" style="33" bestFit="1" customWidth="1"/>
    <col min="3857" max="3857" width="18.1640625" style="33" bestFit="1" customWidth="1"/>
    <col min="3858" max="3859" width="21" style="33" bestFit="1" customWidth="1"/>
    <col min="3860" max="4096" width="13.33203125" style="33"/>
    <col min="4097" max="4097" width="12.33203125" style="33" bestFit="1" customWidth="1"/>
    <col min="4098" max="4098" width="8.6640625" style="33" customWidth="1"/>
    <col min="4099" max="4099" width="30.6640625" style="33" customWidth="1"/>
    <col min="4100" max="4100" width="10.5" style="33" customWidth="1"/>
    <col min="4101" max="4101" width="8.1640625" style="33" customWidth="1"/>
    <col min="4102" max="4102" width="10" style="33" customWidth="1"/>
    <col min="4103" max="4103" width="2" style="33" customWidth="1"/>
    <col min="4104" max="4104" width="9.83203125" style="33" customWidth="1"/>
    <col min="4105" max="4105" width="11.6640625" style="33" bestFit="1" customWidth="1"/>
    <col min="4106" max="4106" width="10.33203125" style="33" customWidth="1"/>
    <col min="4107" max="4107" width="13.33203125" style="33" customWidth="1"/>
    <col min="4108" max="4108" width="15.1640625" style="33" bestFit="1" customWidth="1"/>
    <col min="4109" max="4109" width="16.5" style="33" bestFit="1" customWidth="1"/>
    <col min="4110" max="4111" width="13.33203125" style="33" customWidth="1"/>
    <col min="4112" max="4112" width="11.6640625" style="33" bestFit="1" customWidth="1"/>
    <col min="4113" max="4113" width="18.1640625" style="33" bestFit="1" customWidth="1"/>
    <col min="4114" max="4115" width="21" style="33" bestFit="1" customWidth="1"/>
    <col min="4116" max="4352" width="13.33203125" style="33"/>
    <col min="4353" max="4353" width="12.33203125" style="33" bestFit="1" customWidth="1"/>
    <col min="4354" max="4354" width="8.6640625" style="33" customWidth="1"/>
    <col min="4355" max="4355" width="30.6640625" style="33" customWidth="1"/>
    <col min="4356" max="4356" width="10.5" style="33" customWidth="1"/>
    <col min="4357" max="4357" width="8.1640625" style="33" customWidth="1"/>
    <col min="4358" max="4358" width="10" style="33" customWidth="1"/>
    <col min="4359" max="4359" width="2" style="33" customWidth="1"/>
    <col min="4360" max="4360" width="9.83203125" style="33" customWidth="1"/>
    <col min="4361" max="4361" width="11.6640625" style="33" bestFit="1" customWidth="1"/>
    <col min="4362" max="4362" width="10.33203125" style="33" customWidth="1"/>
    <col min="4363" max="4363" width="13.33203125" style="33" customWidth="1"/>
    <col min="4364" max="4364" width="15.1640625" style="33" bestFit="1" customWidth="1"/>
    <col min="4365" max="4365" width="16.5" style="33" bestFit="1" customWidth="1"/>
    <col min="4366" max="4367" width="13.33203125" style="33" customWidth="1"/>
    <col min="4368" max="4368" width="11.6640625" style="33" bestFit="1" customWidth="1"/>
    <col min="4369" max="4369" width="18.1640625" style="33" bestFit="1" customWidth="1"/>
    <col min="4370" max="4371" width="21" style="33" bestFit="1" customWidth="1"/>
    <col min="4372" max="4608" width="13.33203125" style="33"/>
    <col min="4609" max="4609" width="12.33203125" style="33" bestFit="1" customWidth="1"/>
    <col min="4610" max="4610" width="8.6640625" style="33" customWidth="1"/>
    <col min="4611" max="4611" width="30.6640625" style="33" customWidth="1"/>
    <col min="4612" max="4612" width="10.5" style="33" customWidth="1"/>
    <col min="4613" max="4613" width="8.1640625" style="33" customWidth="1"/>
    <col min="4614" max="4614" width="10" style="33" customWidth="1"/>
    <col min="4615" max="4615" width="2" style="33" customWidth="1"/>
    <col min="4616" max="4616" width="9.83203125" style="33" customWidth="1"/>
    <col min="4617" max="4617" width="11.6640625" style="33" bestFit="1" customWidth="1"/>
    <col min="4618" max="4618" width="10.33203125" style="33" customWidth="1"/>
    <col min="4619" max="4619" width="13.33203125" style="33" customWidth="1"/>
    <col min="4620" max="4620" width="15.1640625" style="33" bestFit="1" customWidth="1"/>
    <col min="4621" max="4621" width="16.5" style="33" bestFit="1" customWidth="1"/>
    <col min="4622" max="4623" width="13.33203125" style="33" customWidth="1"/>
    <col min="4624" max="4624" width="11.6640625" style="33" bestFit="1" customWidth="1"/>
    <col min="4625" max="4625" width="18.1640625" style="33" bestFit="1" customWidth="1"/>
    <col min="4626" max="4627" width="21" style="33" bestFit="1" customWidth="1"/>
    <col min="4628" max="4864" width="13.33203125" style="33"/>
    <col min="4865" max="4865" width="12.33203125" style="33" bestFit="1" customWidth="1"/>
    <col min="4866" max="4866" width="8.6640625" style="33" customWidth="1"/>
    <col min="4867" max="4867" width="30.6640625" style="33" customWidth="1"/>
    <col min="4868" max="4868" width="10.5" style="33" customWidth="1"/>
    <col min="4869" max="4869" width="8.1640625" style="33" customWidth="1"/>
    <col min="4870" max="4870" width="10" style="33" customWidth="1"/>
    <col min="4871" max="4871" width="2" style="33" customWidth="1"/>
    <col min="4872" max="4872" width="9.83203125" style="33" customWidth="1"/>
    <col min="4873" max="4873" width="11.6640625" style="33" bestFit="1" customWidth="1"/>
    <col min="4874" max="4874" width="10.33203125" style="33" customWidth="1"/>
    <col min="4875" max="4875" width="13.33203125" style="33" customWidth="1"/>
    <col min="4876" max="4876" width="15.1640625" style="33" bestFit="1" customWidth="1"/>
    <col min="4877" max="4877" width="16.5" style="33" bestFit="1" customWidth="1"/>
    <col min="4878" max="4879" width="13.33203125" style="33" customWidth="1"/>
    <col min="4880" max="4880" width="11.6640625" style="33" bestFit="1" customWidth="1"/>
    <col min="4881" max="4881" width="18.1640625" style="33" bestFit="1" customWidth="1"/>
    <col min="4882" max="4883" width="21" style="33" bestFit="1" customWidth="1"/>
    <col min="4884" max="5120" width="13.33203125" style="33"/>
    <col min="5121" max="5121" width="12.33203125" style="33" bestFit="1" customWidth="1"/>
    <col min="5122" max="5122" width="8.6640625" style="33" customWidth="1"/>
    <col min="5123" max="5123" width="30.6640625" style="33" customWidth="1"/>
    <col min="5124" max="5124" width="10.5" style="33" customWidth="1"/>
    <col min="5125" max="5125" width="8.1640625" style="33" customWidth="1"/>
    <col min="5126" max="5126" width="10" style="33" customWidth="1"/>
    <col min="5127" max="5127" width="2" style="33" customWidth="1"/>
    <col min="5128" max="5128" width="9.83203125" style="33" customWidth="1"/>
    <col min="5129" max="5129" width="11.6640625" style="33" bestFit="1" customWidth="1"/>
    <col min="5130" max="5130" width="10.33203125" style="33" customWidth="1"/>
    <col min="5131" max="5131" width="13.33203125" style="33" customWidth="1"/>
    <col min="5132" max="5132" width="15.1640625" style="33" bestFit="1" customWidth="1"/>
    <col min="5133" max="5133" width="16.5" style="33" bestFit="1" customWidth="1"/>
    <col min="5134" max="5135" width="13.33203125" style="33" customWidth="1"/>
    <col min="5136" max="5136" width="11.6640625" style="33" bestFit="1" customWidth="1"/>
    <col min="5137" max="5137" width="18.1640625" style="33" bestFit="1" customWidth="1"/>
    <col min="5138" max="5139" width="21" style="33" bestFit="1" customWidth="1"/>
    <col min="5140" max="5376" width="13.33203125" style="33"/>
    <col min="5377" max="5377" width="12.33203125" style="33" bestFit="1" customWidth="1"/>
    <col min="5378" max="5378" width="8.6640625" style="33" customWidth="1"/>
    <col min="5379" max="5379" width="30.6640625" style="33" customWidth="1"/>
    <col min="5380" max="5380" width="10.5" style="33" customWidth="1"/>
    <col min="5381" max="5381" width="8.1640625" style="33" customWidth="1"/>
    <col min="5382" max="5382" width="10" style="33" customWidth="1"/>
    <col min="5383" max="5383" width="2" style="33" customWidth="1"/>
    <col min="5384" max="5384" width="9.83203125" style="33" customWidth="1"/>
    <col min="5385" max="5385" width="11.6640625" style="33" bestFit="1" customWidth="1"/>
    <col min="5386" max="5386" width="10.33203125" style="33" customWidth="1"/>
    <col min="5387" max="5387" width="13.33203125" style="33" customWidth="1"/>
    <col min="5388" max="5388" width="15.1640625" style="33" bestFit="1" customWidth="1"/>
    <col min="5389" max="5389" width="16.5" style="33" bestFit="1" customWidth="1"/>
    <col min="5390" max="5391" width="13.33203125" style="33" customWidth="1"/>
    <col min="5392" max="5392" width="11.6640625" style="33" bestFit="1" customWidth="1"/>
    <col min="5393" max="5393" width="18.1640625" style="33" bestFit="1" customWidth="1"/>
    <col min="5394" max="5395" width="21" style="33" bestFit="1" customWidth="1"/>
    <col min="5396" max="5632" width="13.33203125" style="33"/>
    <col min="5633" max="5633" width="12.33203125" style="33" bestFit="1" customWidth="1"/>
    <col min="5634" max="5634" width="8.6640625" style="33" customWidth="1"/>
    <col min="5635" max="5635" width="30.6640625" style="33" customWidth="1"/>
    <col min="5636" max="5636" width="10.5" style="33" customWidth="1"/>
    <col min="5637" max="5637" width="8.1640625" style="33" customWidth="1"/>
    <col min="5638" max="5638" width="10" style="33" customWidth="1"/>
    <col min="5639" max="5639" width="2" style="33" customWidth="1"/>
    <col min="5640" max="5640" width="9.83203125" style="33" customWidth="1"/>
    <col min="5641" max="5641" width="11.6640625" style="33" bestFit="1" customWidth="1"/>
    <col min="5642" max="5642" width="10.33203125" style="33" customWidth="1"/>
    <col min="5643" max="5643" width="13.33203125" style="33" customWidth="1"/>
    <col min="5644" max="5644" width="15.1640625" style="33" bestFit="1" customWidth="1"/>
    <col min="5645" max="5645" width="16.5" style="33" bestFit="1" customWidth="1"/>
    <col min="5646" max="5647" width="13.33203125" style="33" customWidth="1"/>
    <col min="5648" max="5648" width="11.6640625" style="33" bestFit="1" customWidth="1"/>
    <col min="5649" max="5649" width="18.1640625" style="33" bestFit="1" customWidth="1"/>
    <col min="5650" max="5651" width="21" style="33" bestFit="1" customWidth="1"/>
    <col min="5652" max="5888" width="13.33203125" style="33"/>
    <col min="5889" max="5889" width="12.33203125" style="33" bestFit="1" customWidth="1"/>
    <col min="5890" max="5890" width="8.6640625" style="33" customWidth="1"/>
    <col min="5891" max="5891" width="30.6640625" style="33" customWidth="1"/>
    <col min="5892" max="5892" width="10.5" style="33" customWidth="1"/>
    <col min="5893" max="5893" width="8.1640625" style="33" customWidth="1"/>
    <col min="5894" max="5894" width="10" style="33" customWidth="1"/>
    <col min="5895" max="5895" width="2" style="33" customWidth="1"/>
    <col min="5896" max="5896" width="9.83203125" style="33" customWidth="1"/>
    <col min="5897" max="5897" width="11.6640625" style="33" bestFit="1" customWidth="1"/>
    <col min="5898" max="5898" width="10.33203125" style="33" customWidth="1"/>
    <col min="5899" max="5899" width="13.33203125" style="33" customWidth="1"/>
    <col min="5900" max="5900" width="15.1640625" style="33" bestFit="1" customWidth="1"/>
    <col min="5901" max="5901" width="16.5" style="33" bestFit="1" customWidth="1"/>
    <col min="5902" max="5903" width="13.33203125" style="33" customWidth="1"/>
    <col min="5904" max="5904" width="11.6640625" style="33" bestFit="1" customWidth="1"/>
    <col min="5905" max="5905" width="18.1640625" style="33" bestFit="1" customWidth="1"/>
    <col min="5906" max="5907" width="21" style="33" bestFit="1" customWidth="1"/>
    <col min="5908" max="6144" width="13.33203125" style="33"/>
    <col min="6145" max="6145" width="12.33203125" style="33" bestFit="1" customWidth="1"/>
    <col min="6146" max="6146" width="8.6640625" style="33" customWidth="1"/>
    <col min="6147" max="6147" width="30.6640625" style="33" customWidth="1"/>
    <col min="6148" max="6148" width="10.5" style="33" customWidth="1"/>
    <col min="6149" max="6149" width="8.1640625" style="33" customWidth="1"/>
    <col min="6150" max="6150" width="10" style="33" customWidth="1"/>
    <col min="6151" max="6151" width="2" style="33" customWidth="1"/>
    <col min="6152" max="6152" width="9.83203125" style="33" customWidth="1"/>
    <col min="6153" max="6153" width="11.6640625" style="33" bestFit="1" customWidth="1"/>
    <col min="6154" max="6154" width="10.33203125" style="33" customWidth="1"/>
    <col min="6155" max="6155" width="13.33203125" style="33" customWidth="1"/>
    <col min="6156" max="6156" width="15.1640625" style="33" bestFit="1" customWidth="1"/>
    <col min="6157" max="6157" width="16.5" style="33" bestFit="1" customWidth="1"/>
    <col min="6158" max="6159" width="13.33203125" style="33" customWidth="1"/>
    <col min="6160" max="6160" width="11.6640625" style="33" bestFit="1" customWidth="1"/>
    <col min="6161" max="6161" width="18.1640625" style="33" bestFit="1" customWidth="1"/>
    <col min="6162" max="6163" width="21" style="33" bestFit="1" customWidth="1"/>
    <col min="6164" max="6400" width="13.33203125" style="33"/>
    <col min="6401" max="6401" width="12.33203125" style="33" bestFit="1" customWidth="1"/>
    <col min="6402" max="6402" width="8.6640625" style="33" customWidth="1"/>
    <col min="6403" max="6403" width="30.6640625" style="33" customWidth="1"/>
    <col min="6404" max="6404" width="10.5" style="33" customWidth="1"/>
    <col min="6405" max="6405" width="8.1640625" style="33" customWidth="1"/>
    <col min="6406" max="6406" width="10" style="33" customWidth="1"/>
    <col min="6407" max="6407" width="2" style="33" customWidth="1"/>
    <col min="6408" max="6408" width="9.83203125" style="33" customWidth="1"/>
    <col min="6409" max="6409" width="11.6640625" style="33" bestFit="1" customWidth="1"/>
    <col min="6410" max="6410" width="10.33203125" style="33" customWidth="1"/>
    <col min="6411" max="6411" width="13.33203125" style="33" customWidth="1"/>
    <col min="6412" max="6412" width="15.1640625" style="33" bestFit="1" customWidth="1"/>
    <col min="6413" max="6413" width="16.5" style="33" bestFit="1" customWidth="1"/>
    <col min="6414" max="6415" width="13.33203125" style="33" customWidth="1"/>
    <col min="6416" max="6416" width="11.6640625" style="33" bestFit="1" customWidth="1"/>
    <col min="6417" max="6417" width="18.1640625" style="33" bestFit="1" customWidth="1"/>
    <col min="6418" max="6419" width="21" style="33" bestFit="1" customWidth="1"/>
    <col min="6420" max="6656" width="13.33203125" style="33"/>
    <col min="6657" max="6657" width="12.33203125" style="33" bestFit="1" customWidth="1"/>
    <col min="6658" max="6658" width="8.6640625" style="33" customWidth="1"/>
    <col min="6659" max="6659" width="30.6640625" style="33" customWidth="1"/>
    <col min="6660" max="6660" width="10.5" style="33" customWidth="1"/>
    <col min="6661" max="6661" width="8.1640625" style="33" customWidth="1"/>
    <col min="6662" max="6662" width="10" style="33" customWidth="1"/>
    <col min="6663" max="6663" width="2" style="33" customWidth="1"/>
    <col min="6664" max="6664" width="9.83203125" style="33" customWidth="1"/>
    <col min="6665" max="6665" width="11.6640625" style="33" bestFit="1" customWidth="1"/>
    <col min="6666" max="6666" width="10.33203125" style="33" customWidth="1"/>
    <col min="6667" max="6667" width="13.33203125" style="33" customWidth="1"/>
    <col min="6668" max="6668" width="15.1640625" style="33" bestFit="1" customWidth="1"/>
    <col min="6669" max="6669" width="16.5" style="33" bestFit="1" customWidth="1"/>
    <col min="6670" max="6671" width="13.33203125" style="33" customWidth="1"/>
    <col min="6672" max="6672" width="11.6640625" style="33" bestFit="1" customWidth="1"/>
    <col min="6673" max="6673" width="18.1640625" style="33" bestFit="1" customWidth="1"/>
    <col min="6674" max="6675" width="21" style="33" bestFit="1" customWidth="1"/>
    <col min="6676" max="6912" width="13.33203125" style="33"/>
    <col min="6913" max="6913" width="12.33203125" style="33" bestFit="1" customWidth="1"/>
    <col min="6914" max="6914" width="8.6640625" style="33" customWidth="1"/>
    <col min="6915" max="6915" width="30.6640625" style="33" customWidth="1"/>
    <col min="6916" max="6916" width="10.5" style="33" customWidth="1"/>
    <col min="6917" max="6917" width="8.1640625" style="33" customWidth="1"/>
    <col min="6918" max="6918" width="10" style="33" customWidth="1"/>
    <col min="6919" max="6919" width="2" style="33" customWidth="1"/>
    <col min="6920" max="6920" width="9.83203125" style="33" customWidth="1"/>
    <col min="6921" max="6921" width="11.6640625" style="33" bestFit="1" customWidth="1"/>
    <col min="6922" max="6922" width="10.33203125" style="33" customWidth="1"/>
    <col min="6923" max="6923" width="13.33203125" style="33" customWidth="1"/>
    <col min="6924" max="6924" width="15.1640625" style="33" bestFit="1" customWidth="1"/>
    <col min="6925" max="6925" width="16.5" style="33" bestFit="1" customWidth="1"/>
    <col min="6926" max="6927" width="13.33203125" style="33" customWidth="1"/>
    <col min="6928" max="6928" width="11.6640625" style="33" bestFit="1" customWidth="1"/>
    <col min="6929" max="6929" width="18.1640625" style="33" bestFit="1" customWidth="1"/>
    <col min="6930" max="6931" width="21" style="33" bestFit="1" customWidth="1"/>
    <col min="6932" max="7168" width="13.33203125" style="33"/>
    <col min="7169" max="7169" width="12.33203125" style="33" bestFit="1" customWidth="1"/>
    <col min="7170" max="7170" width="8.6640625" style="33" customWidth="1"/>
    <col min="7171" max="7171" width="30.6640625" style="33" customWidth="1"/>
    <col min="7172" max="7172" width="10.5" style="33" customWidth="1"/>
    <col min="7173" max="7173" width="8.1640625" style="33" customWidth="1"/>
    <col min="7174" max="7174" width="10" style="33" customWidth="1"/>
    <col min="7175" max="7175" width="2" style="33" customWidth="1"/>
    <col min="7176" max="7176" width="9.83203125" style="33" customWidth="1"/>
    <col min="7177" max="7177" width="11.6640625" style="33" bestFit="1" customWidth="1"/>
    <col min="7178" max="7178" width="10.33203125" style="33" customWidth="1"/>
    <col min="7179" max="7179" width="13.33203125" style="33" customWidth="1"/>
    <col min="7180" max="7180" width="15.1640625" style="33" bestFit="1" customWidth="1"/>
    <col min="7181" max="7181" width="16.5" style="33" bestFit="1" customWidth="1"/>
    <col min="7182" max="7183" width="13.33203125" style="33" customWidth="1"/>
    <col min="7184" max="7184" width="11.6640625" style="33" bestFit="1" customWidth="1"/>
    <col min="7185" max="7185" width="18.1640625" style="33" bestFit="1" customWidth="1"/>
    <col min="7186" max="7187" width="21" style="33" bestFit="1" customWidth="1"/>
    <col min="7188" max="7424" width="13.33203125" style="33"/>
    <col min="7425" max="7425" width="12.33203125" style="33" bestFit="1" customWidth="1"/>
    <col min="7426" max="7426" width="8.6640625" style="33" customWidth="1"/>
    <col min="7427" max="7427" width="30.6640625" style="33" customWidth="1"/>
    <col min="7428" max="7428" width="10.5" style="33" customWidth="1"/>
    <col min="7429" max="7429" width="8.1640625" style="33" customWidth="1"/>
    <col min="7430" max="7430" width="10" style="33" customWidth="1"/>
    <col min="7431" max="7431" width="2" style="33" customWidth="1"/>
    <col min="7432" max="7432" width="9.83203125" style="33" customWidth="1"/>
    <col min="7433" max="7433" width="11.6640625" style="33" bestFit="1" customWidth="1"/>
    <col min="7434" max="7434" width="10.33203125" style="33" customWidth="1"/>
    <col min="7435" max="7435" width="13.33203125" style="33" customWidth="1"/>
    <col min="7436" max="7436" width="15.1640625" style="33" bestFit="1" customWidth="1"/>
    <col min="7437" max="7437" width="16.5" style="33" bestFit="1" customWidth="1"/>
    <col min="7438" max="7439" width="13.33203125" style="33" customWidth="1"/>
    <col min="7440" max="7440" width="11.6640625" style="33" bestFit="1" customWidth="1"/>
    <col min="7441" max="7441" width="18.1640625" style="33" bestFit="1" customWidth="1"/>
    <col min="7442" max="7443" width="21" style="33" bestFit="1" customWidth="1"/>
    <col min="7444" max="7680" width="13.33203125" style="33"/>
    <col min="7681" max="7681" width="12.33203125" style="33" bestFit="1" customWidth="1"/>
    <col min="7682" max="7682" width="8.6640625" style="33" customWidth="1"/>
    <col min="7683" max="7683" width="30.6640625" style="33" customWidth="1"/>
    <col min="7684" max="7684" width="10.5" style="33" customWidth="1"/>
    <col min="7685" max="7685" width="8.1640625" style="33" customWidth="1"/>
    <col min="7686" max="7686" width="10" style="33" customWidth="1"/>
    <col min="7687" max="7687" width="2" style="33" customWidth="1"/>
    <col min="7688" max="7688" width="9.83203125" style="33" customWidth="1"/>
    <col min="7689" max="7689" width="11.6640625" style="33" bestFit="1" customWidth="1"/>
    <col min="7690" max="7690" width="10.33203125" style="33" customWidth="1"/>
    <col min="7691" max="7691" width="13.33203125" style="33" customWidth="1"/>
    <col min="7692" max="7692" width="15.1640625" style="33" bestFit="1" customWidth="1"/>
    <col min="7693" max="7693" width="16.5" style="33" bestFit="1" customWidth="1"/>
    <col min="7694" max="7695" width="13.33203125" style="33" customWidth="1"/>
    <col min="7696" max="7696" width="11.6640625" style="33" bestFit="1" customWidth="1"/>
    <col min="7697" max="7697" width="18.1640625" style="33" bestFit="1" customWidth="1"/>
    <col min="7698" max="7699" width="21" style="33" bestFit="1" customWidth="1"/>
    <col min="7700" max="7936" width="13.33203125" style="33"/>
    <col min="7937" max="7937" width="12.33203125" style="33" bestFit="1" customWidth="1"/>
    <col min="7938" max="7938" width="8.6640625" style="33" customWidth="1"/>
    <col min="7939" max="7939" width="30.6640625" style="33" customWidth="1"/>
    <col min="7940" max="7940" width="10.5" style="33" customWidth="1"/>
    <col min="7941" max="7941" width="8.1640625" style="33" customWidth="1"/>
    <col min="7942" max="7942" width="10" style="33" customWidth="1"/>
    <col min="7943" max="7943" width="2" style="33" customWidth="1"/>
    <col min="7944" max="7944" width="9.83203125" style="33" customWidth="1"/>
    <col min="7945" max="7945" width="11.6640625" style="33" bestFit="1" customWidth="1"/>
    <col min="7946" max="7946" width="10.33203125" style="33" customWidth="1"/>
    <col min="7947" max="7947" width="13.33203125" style="33" customWidth="1"/>
    <col min="7948" max="7948" width="15.1640625" style="33" bestFit="1" customWidth="1"/>
    <col min="7949" max="7949" width="16.5" style="33" bestFit="1" customWidth="1"/>
    <col min="7950" max="7951" width="13.33203125" style="33" customWidth="1"/>
    <col min="7952" max="7952" width="11.6640625" style="33" bestFit="1" customWidth="1"/>
    <col min="7953" max="7953" width="18.1640625" style="33" bestFit="1" customWidth="1"/>
    <col min="7954" max="7955" width="21" style="33" bestFit="1" customWidth="1"/>
    <col min="7956" max="8192" width="13.33203125" style="33"/>
    <col min="8193" max="8193" width="12.33203125" style="33" bestFit="1" customWidth="1"/>
    <col min="8194" max="8194" width="8.6640625" style="33" customWidth="1"/>
    <col min="8195" max="8195" width="30.6640625" style="33" customWidth="1"/>
    <col min="8196" max="8196" width="10.5" style="33" customWidth="1"/>
    <col min="8197" max="8197" width="8.1640625" style="33" customWidth="1"/>
    <col min="8198" max="8198" width="10" style="33" customWidth="1"/>
    <col min="8199" max="8199" width="2" style="33" customWidth="1"/>
    <col min="8200" max="8200" width="9.83203125" style="33" customWidth="1"/>
    <col min="8201" max="8201" width="11.6640625" style="33" bestFit="1" customWidth="1"/>
    <col min="8202" max="8202" width="10.33203125" style="33" customWidth="1"/>
    <col min="8203" max="8203" width="13.33203125" style="33" customWidth="1"/>
    <col min="8204" max="8204" width="15.1640625" style="33" bestFit="1" customWidth="1"/>
    <col min="8205" max="8205" width="16.5" style="33" bestFit="1" customWidth="1"/>
    <col min="8206" max="8207" width="13.33203125" style="33" customWidth="1"/>
    <col min="8208" max="8208" width="11.6640625" style="33" bestFit="1" customWidth="1"/>
    <col min="8209" max="8209" width="18.1640625" style="33" bestFit="1" customWidth="1"/>
    <col min="8210" max="8211" width="21" style="33" bestFit="1" customWidth="1"/>
    <col min="8212" max="8448" width="13.33203125" style="33"/>
    <col min="8449" max="8449" width="12.33203125" style="33" bestFit="1" customWidth="1"/>
    <col min="8450" max="8450" width="8.6640625" style="33" customWidth="1"/>
    <col min="8451" max="8451" width="30.6640625" style="33" customWidth="1"/>
    <col min="8452" max="8452" width="10.5" style="33" customWidth="1"/>
    <col min="8453" max="8453" width="8.1640625" style="33" customWidth="1"/>
    <col min="8454" max="8454" width="10" style="33" customWidth="1"/>
    <col min="8455" max="8455" width="2" style="33" customWidth="1"/>
    <col min="8456" max="8456" width="9.83203125" style="33" customWidth="1"/>
    <col min="8457" max="8457" width="11.6640625" style="33" bestFit="1" customWidth="1"/>
    <col min="8458" max="8458" width="10.33203125" style="33" customWidth="1"/>
    <col min="8459" max="8459" width="13.33203125" style="33" customWidth="1"/>
    <col min="8460" max="8460" width="15.1640625" style="33" bestFit="1" customWidth="1"/>
    <col min="8461" max="8461" width="16.5" style="33" bestFit="1" customWidth="1"/>
    <col min="8462" max="8463" width="13.33203125" style="33" customWidth="1"/>
    <col min="8464" max="8464" width="11.6640625" style="33" bestFit="1" customWidth="1"/>
    <col min="8465" max="8465" width="18.1640625" style="33" bestFit="1" customWidth="1"/>
    <col min="8466" max="8467" width="21" style="33" bestFit="1" customWidth="1"/>
    <col min="8468" max="8704" width="13.33203125" style="33"/>
    <col min="8705" max="8705" width="12.33203125" style="33" bestFit="1" customWidth="1"/>
    <col min="8706" max="8706" width="8.6640625" style="33" customWidth="1"/>
    <col min="8707" max="8707" width="30.6640625" style="33" customWidth="1"/>
    <col min="8708" max="8708" width="10.5" style="33" customWidth="1"/>
    <col min="8709" max="8709" width="8.1640625" style="33" customWidth="1"/>
    <col min="8710" max="8710" width="10" style="33" customWidth="1"/>
    <col min="8711" max="8711" width="2" style="33" customWidth="1"/>
    <col min="8712" max="8712" width="9.83203125" style="33" customWidth="1"/>
    <col min="8713" max="8713" width="11.6640625" style="33" bestFit="1" customWidth="1"/>
    <col min="8714" max="8714" width="10.33203125" style="33" customWidth="1"/>
    <col min="8715" max="8715" width="13.33203125" style="33" customWidth="1"/>
    <col min="8716" max="8716" width="15.1640625" style="33" bestFit="1" customWidth="1"/>
    <col min="8717" max="8717" width="16.5" style="33" bestFit="1" customWidth="1"/>
    <col min="8718" max="8719" width="13.33203125" style="33" customWidth="1"/>
    <col min="8720" max="8720" width="11.6640625" style="33" bestFit="1" customWidth="1"/>
    <col min="8721" max="8721" width="18.1640625" style="33" bestFit="1" customWidth="1"/>
    <col min="8722" max="8723" width="21" style="33" bestFit="1" customWidth="1"/>
    <col min="8724" max="8960" width="13.33203125" style="33"/>
    <col min="8961" max="8961" width="12.33203125" style="33" bestFit="1" customWidth="1"/>
    <col min="8962" max="8962" width="8.6640625" style="33" customWidth="1"/>
    <col min="8963" max="8963" width="30.6640625" style="33" customWidth="1"/>
    <col min="8964" max="8964" width="10.5" style="33" customWidth="1"/>
    <col min="8965" max="8965" width="8.1640625" style="33" customWidth="1"/>
    <col min="8966" max="8966" width="10" style="33" customWidth="1"/>
    <col min="8967" max="8967" width="2" style="33" customWidth="1"/>
    <col min="8968" max="8968" width="9.83203125" style="33" customWidth="1"/>
    <col min="8969" max="8969" width="11.6640625" style="33" bestFit="1" customWidth="1"/>
    <col min="8970" max="8970" width="10.33203125" style="33" customWidth="1"/>
    <col min="8971" max="8971" width="13.33203125" style="33" customWidth="1"/>
    <col min="8972" max="8972" width="15.1640625" style="33" bestFit="1" customWidth="1"/>
    <col min="8973" max="8973" width="16.5" style="33" bestFit="1" customWidth="1"/>
    <col min="8974" max="8975" width="13.33203125" style="33" customWidth="1"/>
    <col min="8976" max="8976" width="11.6640625" style="33" bestFit="1" customWidth="1"/>
    <col min="8977" max="8977" width="18.1640625" style="33" bestFit="1" customWidth="1"/>
    <col min="8978" max="8979" width="21" style="33" bestFit="1" customWidth="1"/>
    <col min="8980" max="9216" width="13.33203125" style="33"/>
    <col min="9217" max="9217" width="12.33203125" style="33" bestFit="1" customWidth="1"/>
    <col min="9218" max="9218" width="8.6640625" style="33" customWidth="1"/>
    <col min="9219" max="9219" width="30.6640625" style="33" customWidth="1"/>
    <col min="9220" max="9220" width="10.5" style="33" customWidth="1"/>
    <col min="9221" max="9221" width="8.1640625" style="33" customWidth="1"/>
    <col min="9222" max="9222" width="10" style="33" customWidth="1"/>
    <col min="9223" max="9223" width="2" style="33" customWidth="1"/>
    <col min="9224" max="9224" width="9.83203125" style="33" customWidth="1"/>
    <col min="9225" max="9225" width="11.6640625" style="33" bestFit="1" customWidth="1"/>
    <col min="9226" max="9226" width="10.33203125" style="33" customWidth="1"/>
    <col min="9227" max="9227" width="13.33203125" style="33" customWidth="1"/>
    <col min="9228" max="9228" width="15.1640625" style="33" bestFit="1" customWidth="1"/>
    <col min="9229" max="9229" width="16.5" style="33" bestFit="1" customWidth="1"/>
    <col min="9230" max="9231" width="13.33203125" style="33" customWidth="1"/>
    <col min="9232" max="9232" width="11.6640625" style="33" bestFit="1" customWidth="1"/>
    <col min="9233" max="9233" width="18.1640625" style="33" bestFit="1" customWidth="1"/>
    <col min="9234" max="9235" width="21" style="33" bestFit="1" customWidth="1"/>
    <col min="9236" max="9472" width="13.33203125" style="33"/>
    <col min="9473" max="9473" width="12.33203125" style="33" bestFit="1" customWidth="1"/>
    <col min="9474" max="9474" width="8.6640625" style="33" customWidth="1"/>
    <col min="9475" max="9475" width="30.6640625" style="33" customWidth="1"/>
    <col min="9476" max="9476" width="10.5" style="33" customWidth="1"/>
    <col min="9477" max="9477" width="8.1640625" style="33" customWidth="1"/>
    <col min="9478" max="9478" width="10" style="33" customWidth="1"/>
    <col min="9479" max="9479" width="2" style="33" customWidth="1"/>
    <col min="9480" max="9480" width="9.83203125" style="33" customWidth="1"/>
    <col min="9481" max="9481" width="11.6640625" style="33" bestFit="1" customWidth="1"/>
    <col min="9482" max="9482" width="10.33203125" style="33" customWidth="1"/>
    <col min="9483" max="9483" width="13.33203125" style="33" customWidth="1"/>
    <col min="9484" max="9484" width="15.1640625" style="33" bestFit="1" customWidth="1"/>
    <col min="9485" max="9485" width="16.5" style="33" bestFit="1" customWidth="1"/>
    <col min="9486" max="9487" width="13.33203125" style="33" customWidth="1"/>
    <col min="9488" max="9488" width="11.6640625" style="33" bestFit="1" customWidth="1"/>
    <col min="9489" max="9489" width="18.1640625" style="33" bestFit="1" customWidth="1"/>
    <col min="9490" max="9491" width="21" style="33" bestFit="1" customWidth="1"/>
    <col min="9492" max="9728" width="13.33203125" style="33"/>
    <col min="9729" max="9729" width="12.33203125" style="33" bestFit="1" customWidth="1"/>
    <col min="9730" max="9730" width="8.6640625" style="33" customWidth="1"/>
    <col min="9731" max="9731" width="30.6640625" style="33" customWidth="1"/>
    <col min="9732" max="9732" width="10.5" style="33" customWidth="1"/>
    <col min="9733" max="9733" width="8.1640625" style="33" customWidth="1"/>
    <col min="9734" max="9734" width="10" style="33" customWidth="1"/>
    <col min="9735" max="9735" width="2" style="33" customWidth="1"/>
    <col min="9736" max="9736" width="9.83203125" style="33" customWidth="1"/>
    <col min="9737" max="9737" width="11.6640625" style="33" bestFit="1" customWidth="1"/>
    <col min="9738" max="9738" width="10.33203125" style="33" customWidth="1"/>
    <col min="9739" max="9739" width="13.33203125" style="33" customWidth="1"/>
    <col min="9740" max="9740" width="15.1640625" style="33" bestFit="1" customWidth="1"/>
    <col min="9741" max="9741" width="16.5" style="33" bestFit="1" customWidth="1"/>
    <col min="9742" max="9743" width="13.33203125" style="33" customWidth="1"/>
    <col min="9744" max="9744" width="11.6640625" style="33" bestFit="1" customWidth="1"/>
    <col min="9745" max="9745" width="18.1640625" style="33" bestFit="1" customWidth="1"/>
    <col min="9746" max="9747" width="21" style="33" bestFit="1" customWidth="1"/>
    <col min="9748" max="9984" width="13.33203125" style="33"/>
    <col min="9985" max="9985" width="12.33203125" style="33" bestFit="1" customWidth="1"/>
    <col min="9986" max="9986" width="8.6640625" style="33" customWidth="1"/>
    <col min="9987" max="9987" width="30.6640625" style="33" customWidth="1"/>
    <col min="9988" max="9988" width="10.5" style="33" customWidth="1"/>
    <col min="9989" max="9989" width="8.1640625" style="33" customWidth="1"/>
    <col min="9990" max="9990" width="10" style="33" customWidth="1"/>
    <col min="9991" max="9991" width="2" style="33" customWidth="1"/>
    <col min="9992" max="9992" width="9.83203125" style="33" customWidth="1"/>
    <col min="9993" max="9993" width="11.6640625" style="33" bestFit="1" customWidth="1"/>
    <col min="9994" max="9994" width="10.33203125" style="33" customWidth="1"/>
    <col min="9995" max="9995" width="13.33203125" style="33" customWidth="1"/>
    <col min="9996" max="9996" width="15.1640625" style="33" bestFit="1" customWidth="1"/>
    <col min="9997" max="9997" width="16.5" style="33" bestFit="1" customWidth="1"/>
    <col min="9998" max="9999" width="13.33203125" style="33" customWidth="1"/>
    <col min="10000" max="10000" width="11.6640625" style="33" bestFit="1" customWidth="1"/>
    <col min="10001" max="10001" width="18.1640625" style="33" bestFit="1" customWidth="1"/>
    <col min="10002" max="10003" width="21" style="33" bestFit="1" customWidth="1"/>
    <col min="10004" max="10240" width="13.33203125" style="33"/>
    <col min="10241" max="10241" width="12.33203125" style="33" bestFit="1" customWidth="1"/>
    <col min="10242" max="10242" width="8.6640625" style="33" customWidth="1"/>
    <col min="10243" max="10243" width="30.6640625" style="33" customWidth="1"/>
    <col min="10244" max="10244" width="10.5" style="33" customWidth="1"/>
    <col min="10245" max="10245" width="8.1640625" style="33" customWidth="1"/>
    <col min="10246" max="10246" width="10" style="33" customWidth="1"/>
    <col min="10247" max="10247" width="2" style="33" customWidth="1"/>
    <col min="10248" max="10248" width="9.83203125" style="33" customWidth="1"/>
    <col min="10249" max="10249" width="11.6640625" style="33" bestFit="1" customWidth="1"/>
    <col min="10250" max="10250" width="10.33203125" style="33" customWidth="1"/>
    <col min="10251" max="10251" width="13.33203125" style="33" customWidth="1"/>
    <col min="10252" max="10252" width="15.1640625" style="33" bestFit="1" customWidth="1"/>
    <col min="10253" max="10253" width="16.5" style="33" bestFit="1" customWidth="1"/>
    <col min="10254" max="10255" width="13.33203125" style="33" customWidth="1"/>
    <col min="10256" max="10256" width="11.6640625" style="33" bestFit="1" customWidth="1"/>
    <col min="10257" max="10257" width="18.1640625" style="33" bestFit="1" customWidth="1"/>
    <col min="10258" max="10259" width="21" style="33" bestFit="1" customWidth="1"/>
    <col min="10260" max="10496" width="13.33203125" style="33"/>
    <col min="10497" max="10497" width="12.33203125" style="33" bestFit="1" customWidth="1"/>
    <col min="10498" max="10498" width="8.6640625" style="33" customWidth="1"/>
    <col min="10499" max="10499" width="30.6640625" style="33" customWidth="1"/>
    <col min="10500" max="10500" width="10.5" style="33" customWidth="1"/>
    <col min="10501" max="10501" width="8.1640625" style="33" customWidth="1"/>
    <col min="10502" max="10502" width="10" style="33" customWidth="1"/>
    <col min="10503" max="10503" width="2" style="33" customWidth="1"/>
    <col min="10504" max="10504" width="9.83203125" style="33" customWidth="1"/>
    <col min="10505" max="10505" width="11.6640625" style="33" bestFit="1" customWidth="1"/>
    <col min="10506" max="10506" width="10.33203125" style="33" customWidth="1"/>
    <col min="10507" max="10507" width="13.33203125" style="33" customWidth="1"/>
    <col min="10508" max="10508" width="15.1640625" style="33" bestFit="1" customWidth="1"/>
    <col min="10509" max="10509" width="16.5" style="33" bestFit="1" customWidth="1"/>
    <col min="10510" max="10511" width="13.33203125" style="33" customWidth="1"/>
    <col min="10512" max="10512" width="11.6640625" style="33" bestFit="1" customWidth="1"/>
    <col min="10513" max="10513" width="18.1640625" style="33" bestFit="1" customWidth="1"/>
    <col min="10514" max="10515" width="21" style="33" bestFit="1" customWidth="1"/>
    <col min="10516" max="10752" width="13.33203125" style="33"/>
    <col min="10753" max="10753" width="12.33203125" style="33" bestFit="1" customWidth="1"/>
    <col min="10754" max="10754" width="8.6640625" style="33" customWidth="1"/>
    <col min="10755" max="10755" width="30.6640625" style="33" customWidth="1"/>
    <col min="10756" max="10756" width="10.5" style="33" customWidth="1"/>
    <col min="10757" max="10757" width="8.1640625" style="33" customWidth="1"/>
    <col min="10758" max="10758" width="10" style="33" customWidth="1"/>
    <col min="10759" max="10759" width="2" style="33" customWidth="1"/>
    <col min="10760" max="10760" width="9.83203125" style="33" customWidth="1"/>
    <col min="10761" max="10761" width="11.6640625" style="33" bestFit="1" customWidth="1"/>
    <col min="10762" max="10762" width="10.33203125" style="33" customWidth="1"/>
    <col min="10763" max="10763" width="13.33203125" style="33" customWidth="1"/>
    <col min="10764" max="10764" width="15.1640625" style="33" bestFit="1" customWidth="1"/>
    <col min="10765" max="10765" width="16.5" style="33" bestFit="1" customWidth="1"/>
    <col min="10766" max="10767" width="13.33203125" style="33" customWidth="1"/>
    <col min="10768" max="10768" width="11.6640625" style="33" bestFit="1" customWidth="1"/>
    <col min="10769" max="10769" width="18.1640625" style="33" bestFit="1" customWidth="1"/>
    <col min="10770" max="10771" width="21" style="33" bestFit="1" customWidth="1"/>
    <col min="10772" max="11008" width="13.33203125" style="33"/>
    <col min="11009" max="11009" width="12.33203125" style="33" bestFit="1" customWidth="1"/>
    <col min="11010" max="11010" width="8.6640625" style="33" customWidth="1"/>
    <col min="11011" max="11011" width="30.6640625" style="33" customWidth="1"/>
    <col min="11012" max="11012" width="10.5" style="33" customWidth="1"/>
    <col min="11013" max="11013" width="8.1640625" style="33" customWidth="1"/>
    <col min="11014" max="11014" width="10" style="33" customWidth="1"/>
    <col min="11015" max="11015" width="2" style="33" customWidth="1"/>
    <col min="11016" max="11016" width="9.83203125" style="33" customWidth="1"/>
    <col min="11017" max="11017" width="11.6640625" style="33" bestFit="1" customWidth="1"/>
    <col min="11018" max="11018" width="10.33203125" style="33" customWidth="1"/>
    <col min="11019" max="11019" width="13.33203125" style="33" customWidth="1"/>
    <col min="11020" max="11020" width="15.1640625" style="33" bestFit="1" customWidth="1"/>
    <col min="11021" max="11021" width="16.5" style="33" bestFit="1" customWidth="1"/>
    <col min="11022" max="11023" width="13.33203125" style="33" customWidth="1"/>
    <col min="11024" max="11024" width="11.6640625" style="33" bestFit="1" customWidth="1"/>
    <col min="11025" max="11025" width="18.1640625" style="33" bestFit="1" customWidth="1"/>
    <col min="11026" max="11027" width="21" style="33" bestFit="1" customWidth="1"/>
    <col min="11028" max="11264" width="13.33203125" style="33"/>
    <col min="11265" max="11265" width="12.33203125" style="33" bestFit="1" customWidth="1"/>
    <col min="11266" max="11266" width="8.6640625" style="33" customWidth="1"/>
    <col min="11267" max="11267" width="30.6640625" style="33" customWidth="1"/>
    <col min="11268" max="11268" width="10.5" style="33" customWidth="1"/>
    <col min="11269" max="11269" width="8.1640625" style="33" customWidth="1"/>
    <col min="11270" max="11270" width="10" style="33" customWidth="1"/>
    <col min="11271" max="11271" width="2" style="33" customWidth="1"/>
    <col min="11272" max="11272" width="9.83203125" style="33" customWidth="1"/>
    <col min="11273" max="11273" width="11.6640625" style="33" bestFit="1" customWidth="1"/>
    <col min="11274" max="11274" width="10.33203125" style="33" customWidth="1"/>
    <col min="11275" max="11275" width="13.33203125" style="33" customWidth="1"/>
    <col min="11276" max="11276" width="15.1640625" style="33" bestFit="1" customWidth="1"/>
    <col min="11277" max="11277" width="16.5" style="33" bestFit="1" customWidth="1"/>
    <col min="11278" max="11279" width="13.33203125" style="33" customWidth="1"/>
    <col min="11280" max="11280" width="11.6640625" style="33" bestFit="1" customWidth="1"/>
    <col min="11281" max="11281" width="18.1640625" style="33" bestFit="1" customWidth="1"/>
    <col min="11282" max="11283" width="21" style="33" bestFit="1" customWidth="1"/>
    <col min="11284" max="11520" width="13.33203125" style="33"/>
    <col min="11521" max="11521" width="12.33203125" style="33" bestFit="1" customWidth="1"/>
    <col min="11522" max="11522" width="8.6640625" style="33" customWidth="1"/>
    <col min="11523" max="11523" width="30.6640625" style="33" customWidth="1"/>
    <col min="11524" max="11524" width="10.5" style="33" customWidth="1"/>
    <col min="11525" max="11525" width="8.1640625" style="33" customWidth="1"/>
    <col min="11526" max="11526" width="10" style="33" customWidth="1"/>
    <col min="11527" max="11527" width="2" style="33" customWidth="1"/>
    <col min="11528" max="11528" width="9.83203125" style="33" customWidth="1"/>
    <col min="11529" max="11529" width="11.6640625" style="33" bestFit="1" customWidth="1"/>
    <col min="11530" max="11530" width="10.33203125" style="33" customWidth="1"/>
    <col min="11531" max="11531" width="13.33203125" style="33" customWidth="1"/>
    <col min="11532" max="11532" width="15.1640625" style="33" bestFit="1" customWidth="1"/>
    <col min="11533" max="11533" width="16.5" style="33" bestFit="1" customWidth="1"/>
    <col min="11534" max="11535" width="13.33203125" style="33" customWidth="1"/>
    <col min="11536" max="11536" width="11.6640625" style="33" bestFit="1" customWidth="1"/>
    <col min="11537" max="11537" width="18.1640625" style="33" bestFit="1" customWidth="1"/>
    <col min="11538" max="11539" width="21" style="33" bestFit="1" customWidth="1"/>
    <col min="11540" max="11776" width="13.33203125" style="33"/>
    <col min="11777" max="11777" width="12.33203125" style="33" bestFit="1" customWidth="1"/>
    <col min="11778" max="11778" width="8.6640625" style="33" customWidth="1"/>
    <col min="11779" max="11779" width="30.6640625" style="33" customWidth="1"/>
    <col min="11780" max="11780" width="10.5" style="33" customWidth="1"/>
    <col min="11781" max="11781" width="8.1640625" style="33" customWidth="1"/>
    <col min="11782" max="11782" width="10" style="33" customWidth="1"/>
    <col min="11783" max="11783" width="2" style="33" customWidth="1"/>
    <col min="11784" max="11784" width="9.83203125" style="33" customWidth="1"/>
    <col min="11785" max="11785" width="11.6640625" style="33" bestFit="1" customWidth="1"/>
    <col min="11786" max="11786" width="10.33203125" style="33" customWidth="1"/>
    <col min="11787" max="11787" width="13.33203125" style="33" customWidth="1"/>
    <col min="11788" max="11788" width="15.1640625" style="33" bestFit="1" customWidth="1"/>
    <col min="11789" max="11789" width="16.5" style="33" bestFit="1" customWidth="1"/>
    <col min="11790" max="11791" width="13.33203125" style="33" customWidth="1"/>
    <col min="11792" max="11792" width="11.6640625" style="33" bestFit="1" customWidth="1"/>
    <col min="11793" max="11793" width="18.1640625" style="33" bestFit="1" customWidth="1"/>
    <col min="11794" max="11795" width="21" style="33" bestFit="1" customWidth="1"/>
    <col min="11796" max="12032" width="13.33203125" style="33"/>
    <col min="12033" max="12033" width="12.33203125" style="33" bestFit="1" customWidth="1"/>
    <col min="12034" max="12034" width="8.6640625" style="33" customWidth="1"/>
    <col min="12035" max="12035" width="30.6640625" style="33" customWidth="1"/>
    <col min="12036" max="12036" width="10.5" style="33" customWidth="1"/>
    <col min="12037" max="12037" width="8.1640625" style="33" customWidth="1"/>
    <col min="12038" max="12038" width="10" style="33" customWidth="1"/>
    <col min="12039" max="12039" width="2" style="33" customWidth="1"/>
    <col min="12040" max="12040" width="9.83203125" style="33" customWidth="1"/>
    <col min="12041" max="12041" width="11.6640625" style="33" bestFit="1" customWidth="1"/>
    <col min="12042" max="12042" width="10.33203125" style="33" customWidth="1"/>
    <col min="12043" max="12043" width="13.33203125" style="33" customWidth="1"/>
    <col min="12044" max="12044" width="15.1640625" style="33" bestFit="1" customWidth="1"/>
    <col min="12045" max="12045" width="16.5" style="33" bestFit="1" customWidth="1"/>
    <col min="12046" max="12047" width="13.33203125" style="33" customWidth="1"/>
    <col min="12048" max="12048" width="11.6640625" style="33" bestFit="1" customWidth="1"/>
    <col min="12049" max="12049" width="18.1640625" style="33" bestFit="1" customWidth="1"/>
    <col min="12050" max="12051" width="21" style="33" bestFit="1" customWidth="1"/>
    <col min="12052" max="12288" width="13.33203125" style="33"/>
    <col min="12289" max="12289" width="12.33203125" style="33" bestFit="1" customWidth="1"/>
    <col min="12290" max="12290" width="8.6640625" style="33" customWidth="1"/>
    <col min="12291" max="12291" width="30.6640625" style="33" customWidth="1"/>
    <col min="12292" max="12292" width="10.5" style="33" customWidth="1"/>
    <col min="12293" max="12293" width="8.1640625" style="33" customWidth="1"/>
    <col min="12294" max="12294" width="10" style="33" customWidth="1"/>
    <col min="12295" max="12295" width="2" style="33" customWidth="1"/>
    <col min="12296" max="12296" width="9.83203125" style="33" customWidth="1"/>
    <col min="12297" max="12297" width="11.6640625" style="33" bestFit="1" customWidth="1"/>
    <col min="12298" max="12298" width="10.33203125" style="33" customWidth="1"/>
    <col min="12299" max="12299" width="13.33203125" style="33" customWidth="1"/>
    <col min="12300" max="12300" width="15.1640625" style="33" bestFit="1" customWidth="1"/>
    <col min="12301" max="12301" width="16.5" style="33" bestFit="1" customWidth="1"/>
    <col min="12302" max="12303" width="13.33203125" style="33" customWidth="1"/>
    <col min="12304" max="12304" width="11.6640625" style="33" bestFit="1" customWidth="1"/>
    <col min="12305" max="12305" width="18.1640625" style="33" bestFit="1" customWidth="1"/>
    <col min="12306" max="12307" width="21" style="33" bestFit="1" customWidth="1"/>
    <col min="12308" max="12544" width="13.33203125" style="33"/>
    <col min="12545" max="12545" width="12.33203125" style="33" bestFit="1" customWidth="1"/>
    <col min="12546" max="12546" width="8.6640625" style="33" customWidth="1"/>
    <col min="12547" max="12547" width="30.6640625" style="33" customWidth="1"/>
    <col min="12548" max="12548" width="10.5" style="33" customWidth="1"/>
    <col min="12549" max="12549" width="8.1640625" style="33" customWidth="1"/>
    <col min="12550" max="12550" width="10" style="33" customWidth="1"/>
    <col min="12551" max="12551" width="2" style="33" customWidth="1"/>
    <col min="12552" max="12552" width="9.83203125" style="33" customWidth="1"/>
    <col min="12553" max="12553" width="11.6640625" style="33" bestFit="1" customWidth="1"/>
    <col min="12554" max="12554" width="10.33203125" style="33" customWidth="1"/>
    <col min="12555" max="12555" width="13.33203125" style="33" customWidth="1"/>
    <col min="12556" max="12556" width="15.1640625" style="33" bestFit="1" customWidth="1"/>
    <col min="12557" max="12557" width="16.5" style="33" bestFit="1" customWidth="1"/>
    <col min="12558" max="12559" width="13.33203125" style="33" customWidth="1"/>
    <col min="12560" max="12560" width="11.6640625" style="33" bestFit="1" customWidth="1"/>
    <col min="12561" max="12561" width="18.1640625" style="33" bestFit="1" customWidth="1"/>
    <col min="12562" max="12563" width="21" style="33" bestFit="1" customWidth="1"/>
    <col min="12564" max="12800" width="13.33203125" style="33"/>
    <col min="12801" max="12801" width="12.33203125" style="33" bestFit="1" customWidth="1"/>
    <col min="12802" max="12802" width="8.6640625" style="33" customWidth="1"/>
    <col min="12803" max="12803" width="30.6640625" style="33" customWidth="1"/>
    <col min="12804" max="12804" width="10.5" style="33" customWidth="1"/>
    <col min="12805" max="12805" width="8.1640625" style="33" customWidth="1"/>
    <col min="12806" max="12806" width="10" style="33" customWidth="1"/>
    <col min="12807" max="12807" width="2" style="33" customWidth="1"/>
    <col min="12808" max="12808" width="9.83203125" style="33" customWidth="1"/>
    <col min="12809" max="12809" width="11.6640625" style="33" bestFit="1" customWidth="1"/>
    <col min="12810" max="12810" width="10.33203125" style="33" customWidth="1"/>
    <col min="12811" max="12811" width="13.33203125" style="33" customWidth="1"/>
    <col min="12812" max="12812" width="15.1640625" style="33" bestFit="1" customWidth="1"/>
    <col min="12813" max="12813" width="16.5" style="33" bestFit="1" customWidth="1"/>
    <col min="12814" max="12815" width="13.33203125" style="33" customWidth="1"/>
    <col min="12816" max="12816" width="11.6640625" style="33" bestFit="1" customWidth="1"/>
    <col min="12817" max="12817" width="18.1640625" style="33" bestFit="1" customWidth="1"/>
    <col min="12818" max="12819" width="21" style="33" bestFit="1" customWidth="1"/>
    <col min="12820" max="13056" width="13.33203125" style="33"/>
    <col min="13057" max="13057" width="12.33203125" style="33" bestFit="1" customWidth="1"/>
    <col min="13058" max="13058" width="8.6640625" style="33" customWidth="1"/>
    <col min="13059" max="13059" width="30.6640625" style="33" customWidth="1"/>
    <col min="13060" max="13060" width="10.5" style="33" customWidth="1"/>
    <col min="13061" max="13061" width="8.1640625" style="33" customWidth="1"/>
    <col min="13062" max="13062" width="10" style="33" customWidth="1"/>
    <col min="13063" max="13063" width="2" style="33" customWidth="1"/>
    <col min="13064" max="13064" width="9.83203125" style="33" customWidth="1"/>
    <col min="13065" max="13065" width="11.6640625" style="33" bestFit="1" customWidth="1"/>
    <col min="13066" max="13066" width="10.33203125" style="33" customWidth="1"/>
    <col min="13067" max="13067" width="13.33203125" style="33" customWidth="1"/>
    <col min="13068" max="13068" width="15.1640625" style="33" bestFit="1" customWidth="1"/>
    <col min="13069" max="13069" width="16.5" style="33" bestFit="1" customWidth="1"/>
    <col min="13070" max="13071" width="13.33203125" style="33" customWidth="1"/>
    <col min="13072" max="13072" width="11.6640625" style="33" bestFit="1" customWidth="1"/>
    <col min="13073" max="13073" width="18.1640625" style="33" bestFit="1" customWidth="1"/>
    <col min="13074" max="13075" width="21" style="33" bestFit="1" customWidth="1"/>
    <col min="13076" max="13312" width="13.33203125" style="33"/>
    <col min="13313" max="13313" width="12.33203125" style="33" bestFit="1" customWidth="1"/>
    <col min="13314" max="13314" width="8.6640625" style="33" customWidth="1"/>
    <col min="13315" max="13315" width="30.6640625" style="33" customWidth="1"/>
    <col min="13316" max="13316" width="10.5" style="33" customWidth="1"/>
    <col min="13317" max="13317" width="8.1640625" style="33" customWidth="1"/>
    <col min="13318" max="13318" width="10" style="33" customWidth="1"/>
    <col min="13319" max="13319" width="2" style="33" customWidth="1"/>
    <col min="13320" max="13320" width="9.83203125" style="33" customWidth="1"/>
    <col min="13321" max="13321" width="11.6640625" style="33" bestFit="1" customWidth="1"/>
    <col min="13322" max="13322" width="10.33203125" style="33" customWidth="1"/>
    <col min="13323" max="13323" width="13.33203125" style="33" customWidth="1"/>
    <col min="13324" max="13324" width="15.1640625" style="33" bestFit="1" customWidth="1"/>
    <col min="13325" max="13325" width="16.5" style="33" bestFit="1" customWidth="1"/>
    <col min="13326" max="13327" width="13.33203125" style="33" customWidth="1"/>
    <col min="13328" max="13328" width="11.6640625" style="33" bestFit="1" customWidth="1"/>
    <col min="13329" max="13329" width="18.1640625" style="33" bestFit="1" customWidth="1"/>
    <col min="13330" max="13331" width="21" style="33" bestFit="1" customWidth="1"/>
    <col min="13332" max="13568" width="13.33203125" style="33"/>
    <col min="13569" max="13569" width="12.33203125" style="33" bestFit="1" customWidth="1"/>
    <col min="13570" max="13570" width="8.6640625" style="33" customWidth="1"/>
    <col min="13571" max="13571" width="30.6640625" style="33" customWidth="1"/>
    <col min="13572" max="13572" width="10.5" style="33" customWidth="1"/>
    <col min="13573" max="13573" width="8.1640625" style="33" customWidth="1"/>
    <col min="13574" max="13574" width="10" style="33" customWidth="1"/>
    <col min="13575" max="13575" width="2" style="33" customWidth="1"/>
    <col min="13576" max="13576" width="9.83203125" style="33" customWidth="1"/>
    <col min="13577" max="13577" width="11.6640625" style="33" bestFit="1" customWidth="1"/>
    <col min="13578" max="13578" width="10.33203125" style="33" customWidth="1"/>
    <col min="13579" max="13579" width="13.33203125" style="33" customWidth="1"/>
    <col min="13580" max="13580" width="15.1640625" style="33" bestFit="1" customWidth="1"/>
    <col min="13581" max="13581" width="16.5" style="33" bestFit="1" customWidth="1"/>
    <col min="13582" max="13583" width="13.33203125" style="33" customWidth="1"/>
    <col min="13584" max="13584" width="11.6640625" style="33" bestFit="1" customWidth="1"/>
    <col min="13585" max="13585" width="18.1640625" style="33" bestFit="1" customWidth="1"/>
    <col min="13586" max="13587" width="21" style="33" bestFit="1" customWidth="1"/>
    <col min="13588" max="13824" width="13.33203125" style="33"/>
    <col min="13825" max="13825" width="12.33203125" style="33" bestFit="1" customWidth="1"/>
    <col min="13826" max="13826" width="8.6640625" style="33" customWidth="1"/>
    <col min="13827" max="13827" width="30.6640625" style="33" customWidth="1"/>
    <col min="13828" max="13828" width="10.5" style="33" customWidth="1"/>
    <col min="13829" max="13829" width="8.1640625" style="33" customWidth="1"/>
    <col min="13830" max="13830" width="10" style="33" customWidth="1"/>
    <col min="13831" max="13831" width="2" style="33" customWidth="1"/>
    <col min="13832" max="13832" width="9.83203125" style="33" customWidth="1"/>
    <col min="13833" max="13833" width="11.6640625" style="33" bestFit="1" customWidth="1"/>
    <col min="13834" max="13834" width="10.33203125" style="33" customWidth="1"/>
    <col min="13835" max="13835" width="13.33203125" style="33" customWidth="1"/>
    <col min="13836" max="13836" width="15.1640625" style="33" bestFit="1" customWidth="1"/>
    <col min="13837" max="13837" width="16.5" style="33" bestFit="1" customWidth="1"/>
    <col min="13838" max="13839" width="13.33203125" style="33" customWidth="1"/>
    <col min="13840" max="13840" width="11.6640625" style="33" bestFit="1" customWidth="1"/>
    <col min="13841" max="13841" width="18.1640625" style="33" bestFit="1" customWidth="1"/>
    <col min="13842" max="13843" width="21" style="33" bestFit="1" customWidth="1"/>
    <col min="13844" max="14080" width="13.33203125" style="33"/>
    <col min="14081" max="14081" width="12.33203125" style="33" bestFit="1" customWidth="1"/>
    <col min="14082" max="14082" width="8.6640625" style="33" customWidth="1"/>
    <col min="14083" max="14083" width="30.6640625" style="33" customWidth="1"/>
    <col min="14084" max="14084" width="10.5" style="33" customWidth="1"/>
    <col min="14085" max="14085" width="8.1640625" style="33" customWidth="1"/>
    <col min="14086" max="14086" width="10" style="33" customWidth="1"/>
    <col min="14087" max="14087" width="2" style="33" customWidth="1"/>
    <col min="14088" max="14088" width="9.83203125" style="33" customWidth="1"/>
    <col min="14089" max="14089" width="11.6640625" style="33" bestFit="1" customWidth="1"/>
    <col min="14090" max="14090" width="10.33203125" style="33" customWidth="1"/>
    <col min="14091" max="14091" width="13.33203125" style="33" customWidth="1"/>
    <col min="14092" max="14092" width="15.1640625" style="33" bestFit="1" customWidth="1"/>
    <col min="14093" max="14093" width="16.5" style="33" bestFit="1" customWidth="1"/>
    <col min="14094" max="14095" width="13.33203125" style="33" customWidth="1"/>
    <col min="14096" max="14096" width="11.6640625" style="33" bestFit="1" customWidth="1"/>
    <col min="14097" max="14097" width="18.1640625" style="33" bestFit="1" customWidth="1"/>
    <col min="14098" max="14099" width="21" style="33" bestFit="1" customWidth="1"/>
    <col min="14100" max="14336" width="13.33203125" style="33"/>
    <col min="14337" max="14337" width="12.33203125" style="33" bestFit="1" customWidth="1"/>
    <col min="14338" max="14338" width="8.6640625" style="33" customWidth="1"/>
    <col min="14339" max="14339" width="30.6640625" style="33" customWidth="1"/>
    <col min="14340" max="14340" width="10.5" style="33" customWidth="1"/>
    <col min="14341" max="14341" width="8.1640625" style="33" customWidth="1"/>
    <col min="14342" max="14342" width="10" style="33" customWidth="1"/>
    <col min="14343" max="14343" width="2" style="33" customWidth="1"/>
    <col min="14344" max="14344" width="9.83203125" style="33" customWidth="1"/>
    <col min="14345" max="14345" width="11.6640625" style="33" bestFit="1" customWidth="1"/>
    <col min="14346" max="14346" width="10.33203125" style="33" customWidth="1"/>
    <col min="14347" max="14347" width="13.33203125" style="33" customWidth="1"/>
    <col min="14348" max="14348" width="15.1640625" style="33" bestFit="1" customWidth="1"/>
    <col min="14349" max="14349" width="16.5" style="33" bestFit="1" customWidth="1"/>
    <col min="14350" max="14351" width="13.33203125" style="33" customWidth="1"/>
    <col min="14352" max="14352" width="11.6640625" style="33" bestFit="1" customWidth="1"/>
    <col min="14353" max="14353" width="18.1640625" style="33" bestFit="1" customWidth="1"/>
    <col min="14354" max="14355" width="21" style="33" bestFit="1" customWidth="1"/>
    <col min="14356" max="14592" width="13.33203125" style="33"/>
    <col min="14593" max="14593" width="12.33203125" style="33" bestFit="1" customWidth="1"/>
    <col min="14594" max="14594" width="8.6640625" style="33" customWidth="1"/>
    <col min="14595" max="14595" width="30.6640625" style="33" customWidth="1"/>
    <col min="14596" max="14596" width="10.5" style="33" customWidth="1"/>
    <col min="14597" max="14597" width="8.1640625" style="33" customWidth="1"/>
    <col min="14598" max="14598" width="10" style="33" customWidth="1"/>
    <col min="14599" max="14599" width="2" style="33" customWidth="1"/>
    <col min="14600" max="14600" width="9.83203125" style="33" customWidth="1"/>
    <col min="14601" max="14601" width="11.6640625" style="33" bestFit="1" customWidth="1"/>
    <col min="14602" max="14602" width="10.33203125" style="33" customWidth="1"/>
    <col min="14603" max="14603" width="13.33203125" style="33" customWidth="1"/>
    <col min="14604" max="14604" width="15.1640625" style="33" bestFit="1" customWidth="1"/>
    <col min="14605" max="14605" width="16.5" style="33" bestFit="1" customWidth="1"/>
    <col min="14606" max="14607" width="13.33203125" style="33" customWidth="1"/>
    <col min="14608" max="14608" width="11.6640625" style="33" bestFit="1" customWidth="1"/>
    <col min="14609" max="14609" width="18.1640625" style="33" bestFit="1" customWidth="1"/>
    <col min="14610" max="14611" width="21" style="33" bestFit="1" customWidth="1"/>
    <col min="14612" max="14848" width="13.33203125" style="33"/>
    <col min="14849" max="14849" width="12.33203125" style="33" bestFit="1" customWidth="1"/>
    <col min="14850" max="14850" width="8.6640625" style="33" customWidth="1"/>
    <col min="14851" max="14851" width="30.6640625" style="33" customWidth="1"/>
    <col min="14852" max="14852" width="10.5" style="33" customWidth="1"/>
    <col min="14853" max="14853" width="8.1640625" style="33" customWidth="1"/>
    <col min="14854" max="14854" width="10" style="33" customWidth="1"/>
    <col min="14855" max="14855" width="2" style="33" customWidth="1"/>
    <col min="14856" max="14856" width="9.83203125" style="33" customWidth="1"/>
    <col min="14857" max="14857" width="11.6640625" style="33" bestFit="1" customWidth="1"/>
    <col min="14858" max="14858" width="10.33203125" style="33" customWidth="1"/>
    <col min="14859" max="14859" width="13.33203125" style="33" customWidth="1"/>
    <col min="14860" max="14860" width="15.1640625" style="33" bestFit="1" customWidth="1"/>
    <col min="14861" max="14861" width="16.5" style="33" bestFit="1" customWidth="1"/>
    <col min="14862" max="14863" width="13.33203125" style="33" customWidth="1"/>
    <col min="14864" max="14864" width="11.6640625" style="33" bestFit="1" customWidth="1"/>
    <col min="14865" max="14865" width="18.1640625" style="33" bestFit="1" customWidth="1"/>
    <col min="14866" max="14867" width="21" style="33" bestFit="1" customWidth="1"/>
    <col min="14868" max="15104" width="13.33203125" style="33"/>
    <col min="15105" max="15105" width="12.33203125" style="33" bestFit="1" customWidth="1"/>
    <col min="15106" max="15106" width="8.6640625" style="33" customWidth="1"/>
    <col min="15107" max="15107" width="30.6640625" style="33" customWidth="1"/>
    <col min="15108" max="15108" width="10.5" style="33" customWidth="1"/>
    <col min="15109" max="15109" width="8.1640625" style="33" customWidth="1"/>
    <col min="15110" max="15110" width="10" style="33" customWidth="1"/>
    <col min="15111" max="15111" width="2" style="33" customWidth="1"/>
    <col min="15112" max="15112" width="9.83203125" style="33" customWidth="1"/>
    <col min="15113" max="15113" width="11.6640625" style="33" bestFit="1" customWidth="1"/>
    <col min="15114" max="15114" width="10.33203125" style="33" customWidth="1"/>
    <col min="15115" max="15115" width="13.33203125" style="33" customWidth="1"/>
    <col min="15116" max="15116" width="15.1640625" style="33" bestFit="1" customWidth="1"/>
    <col min="15117" max="15117" width="16.5" style="33" bestFit="1" customWidth="1"/>
    <col min="15118" max="15119" width="13.33203125" style="33" customWidth="1"/>
    <col min="15120" max="15120" width="11.6640625" style="33" bestFit="1" customWidth="1"/>
    <col min="15121" max="15121" width="18.1640625" style="33" bestFit="1" customWidth="1"/>
    <col min="15122" max="15123" width="21" style="33" bestFit="1" customWidth="1"/>
    <col min="15124" max="15360" width="13.33203125" style="33"/>
    <col min="15361" max="15361" width="12.33203125" style="33" bestFit="1" customWidth="1"/>
    <col min="15362" max="15362" width="8.6640625" style="33" customWidth="1"/>
    <col min="15363" max="15363" width="30.6640625" style="33" customWidth="1"/>
    <col min="15364" max="15364" width="10.5" style="33" customWidth="1"/>
    <col min="15365" max="15365" width="8.1640625" style="33" customWidth="1"/>
    <col min="15366" max="15366" width="10" style="33" customWidth="1"/>
    <col min="15367" max="15367" width="2" style="33" customWidth="1"/>
    <col min="15368" max="15368" width="9.83203125" style="33" customWidth="1"/>
    <col min="15369" max="15369" width="11.6640625" style="33" bestFit="1" customWidth="1"/>
    <col min="15370" max="15370" width="10.33203125" style="33" customWidth="1"/>
    <col min="15371" max="15371" width="13.33203125" style="33" customWidth="1"/>
    <col min="15372" max="15372" width="15.1640625" style="33" bestFit="1" customWidth="1"/>
    <col min="15373" max="15373" width="16.5" style="33" bestFit="1" customWidth="1"/>
    <col min="15374" max="15375" width="13.33203125" style="33" customWidth="1"/>
    <col min="15376" max="15376" width="11.6640625" style="33" bestFit="1" customWidth="1"/>
    <col min="15377" max="15377" width="18.1640625" style="33" bestFit="1" customWidth="1"/>
    <col min="15378" max="15379" width="21" style="33" bestFit="1" customWidth="1"/>
    <col min="15380" max="15616" width="13.33203125" style="33"/>
    <col min="15617" max="15617" width="12.33203125" style="33" bestFit="1" customWidth="1"/>
    <col min="15618" max="15618" width="8.6640625" style="33" customWidth="1"/>
    <col min="15619" max="15619" width="30.6640625" style="33" customWidth="1"/>
    <col min="15620" max="15620" width="10.5" style="33" customWidth="1"/>
    <col min="15621" max="15621" width="8.1640625" style="33" customWidth="1"/>
    <col min="15622" max="15622" width="10" style="33" customWidth="1"/>
    <col min="15623" max="15623" width="2" style="33" customWidth="1"/>
    <col min="15624" max="15624" width="9.83203125" style="33" customWidth="1"/>
    <col min="15625" max="15625" width="11.6640625" style="33" bestFit="1" customWidth="1"/>
    <col min="15626" max="15626" width="10.33203125" style="33" customWidth="1"/>
    <col min="15627" max="15627" width="13.33203125" style="33" customWidth="1"/>
    <col min="15628" max="15628" width="15.1640625" style="33" bestFit="1" customWidth="1"/>
    <col min="15629" max="15629" width="16.5" style="33" bestFit="1" customWidth="1"/>
    <col min="15630" max="15631" width="13.33203125" style="33" customWidth="1"/>
    <col min="15632" max="15632" width="11.6640625" style="33" bestFit="1" customWidth="1"/>
    <col min="15633" max="15633" width="18.1640625" style="33" bestFit="1" customWidth="1"/>
    <col min="15634" max="15635" width="21" style="33" bestFit="1" customWidth="1"/>
    <col min="15636" max="15872" width="13.33203125" style="33"/>
    <col min="15873" max="15873" width="12.33203125" style="33" bestFit="1" customWidth="1"/>
    <col min="15874" max="15874" width="8.6640625" style="33" customWidth="1"/>
    <col min="15875" max="15875" width="30.6640625" style="33" customWidth="1"/>
    <col min="15876" max="15876" width="10.5" style="33" customWidth="1"/>
    <col min="15877" max="15877" width="8.1640625" style="33" customWidth="1"/>
    <col min="15878" max="15878" width="10" style="33" customWidth="1"/>
    <col min="15879" max="15879" width="2" style="33" customWidth="1"/>
    <col min="15880" max="15880" width="9.83203125" style="33" customWidth="1"/>
    <col min="15881" max="15881" width="11.6640625" style="33" bestFit="1" customWidth="1"/>
    <col min="15882" max="15882" width="10.33203125" style="33" customWidth="1"/>
    <col min="15883" max="15883" width="13.33203125" style="33" customWidth="1"/>
    <col min="15884" max="15884" width="15.1640625" style="33" bestFit="1" customWidth="1"/>
    <col min="15885" max="15885" width="16.5" style="33" bestFit="1" customWidth="1"/>
    <col min="15886" max="15887" width="13.33203125" style="33" customWidth="1"/>
    <col min="15888" max="15888" width="11.6640625" style="33" bestFit="1" customWidth="1"/>
    <col min="15889" max="15889" width="18.1640625" style="33" bestFit="1" customWidth="1"/>
    <col min="15890" max="15891" width="21" style="33" bestFit="1" customWidth="1"/>
    <col min="15892" max="16128" width="13.33203125" style="33"/>
    <col min="16129" max="16129" width="12.33203125" style="33" bestFit="1" customWidth="1"/>
    <col min="16130" max="16130" width="8.6640625" style="33" customWidth="1"/>
    <col min="16131" max="16131" width="30.6640625" style="33" customWidth="1"/>
    <col min="16132" max="16132" width="10.5" style="33" customWidth="1"/>
    <col min="16133" max="16133" width="8.1640625" style="33" customWidth="1"/>
    <col min="16134" max="16134" width="10" style="33" customWidth="1"/>
    <col min="16135" max="16135" width="2" style="33" customWidth="1"/>
    <col min="16136" max="16136" width="9.83203125" style="33" customWidth="1"/>
    <col min="16137" max="16137" width="11.6640625" style="33" bestFit="1" customWidth="1"/>
    <col min="16138" max="16138" width="10.33203125" style="33" customWidth="1"/>
    <col min="16139" max="16139" width="13.33203125" style="33" customWidth="1"/>
    <col min="16140" max="16140" width="15.1640625" style="33" bestFit="1" customWidth="1"/>
    <col min="16141" max="16141" width="16.5" style="33" bestFit="1" customWidth="1"/>
    <col min="16142" max="16143" width="13.33203125" style="33" customWidth="1"/>
    <col min="16144" max="16144" width="11.6640625" style="33" bestFit="1" customWidth="1"/>
    <col min="16145" max="16145" width="18.1640625" style="33" bestFit="1" customWidth="1"/>
    <col min="16146" max="16147" width="21" style="33" bestFit="1" customWidth="1"/>
    <col min="16148" max="16384" width="13.33203125" style="33"/>
  </cols>
  <sheetData>
    <row r="1" spans="1:19" x14ac:dyDescent="0.2">
      <c r="C1" s="61" t="str">
        <f>+Trks!D1</f>
        <v>Waste Control</v>
      </c>
      <c r="M1" s="63"/>
      <c r="N1" s="63"/>
    </row>
    <row r="2" spans="1:19" x14ac:dyDescent="0.2">
      <c r="C2" s="61" t="s">
        <v>307</v>
      </c>
      <c r="M2" s="64">
        <f>+Trks!N2</f>
        <v>12</v>
      </c>
      <c r="N2" s="65" t="s">
        <v>353</v>
      </c>
    </row>
    <row r="3" spans="1:19" x14ac:dyDescent="0.2">
      <c r="C3" s="125">
        <f>'Depr Summary'!H6</f>
        <v>44865</v>
      </c>
      <c r="M3" s="64">
        <f>+Trks!N3</f>
        <v>2022</v>
      </c>
      <c r="N3" s="65" t="s">
        <v>310</v>
      </c>
    </row>
    <row r="4" spans="1:19" x14ac:dyDescent="0.2">
      <c r="M4" s="64">
        <f>Trks!N4</f>
        <v>2023</v>
      </c>
      <c r="N4" s="65" t="s">
        <v>311</v>
      </c>
    </row>
    <row r="5" spans="1:19" x14ac:dyDescent="0.2">
      <c r="M5" s="68">
        <f>Trks!N5</f>
        <v>2024</v>
      </c>
      <c r="N5" s="65" t="s">
        <v>314</v>
      </c>
    </row>
    <row r="6" spans="1:19" x14ac:dyDescent="0.2">
      <c r="C6" s="233" t="s">
        <v>638</v>
      </c>
      <c r="D6" s="248">
        <f>SUM(L66+L105+L222+L238)</f>
        <v>914534.75</v>
      </c>
    </row>
    <row r="7" spans="1:19" x14ac:dyDescent="0.2">
      <c r="D7" s="247">
        <f>D6-L241</f>
        <v>0</v>
      </c>
    </row>
    <row r="8" spans="1:19" x14ac:dyDescent="0.2">
      <c r="B8" s="63"/>
      <c r="C8" s="63"/>
      <c r="D8" s="69"/>
      <c r="E8" s="69"/>
      <c r="F8" s="63"/>
      <c r="G8" s="63"/>
      <c r="H8" s="63"/>
      <c r="I8" s="69"/>
      <c r="J8" s="62"/>
      <c r="Q8" s="37" t="s">
        <v>281</v>
      </c>
      <c r="R8" s="37" t="s">
        <v>282</v>
      </c>
      <c r="S8" s="37"/>
    </row>
    <row r="9" spans="1:19" x14ac:dyDescent="0.2">
      <c r="A9" s="37"/>
      <c r="B9" s="37" t="s">
        <v>319</v>
      </c>
      <c r="C9" s="73" t="s">
        <v>354</v>
      </c>
      <c r="D9" s="546" t="s">
        <v>355</v>
      </c>
      <c r="E9" s="546"/>
      <c r="F9" s="71" t="s">
        <v>286</v>
      </c>
      <c r="G9" s="63"/>
      <c r="H9" s="37" t="s">
        <v>319</v>
      </c>
      <c r="I9" s="37"/>
      <c r="J9" s="37" t="s">
        <v>321</v>
      </c>
      <c r="K9" s="37" t="s">
        <v>322</v>
      </c>
      <c r="L9" s="37" t="s">
        <v>319</v>
      </c>
      <c r="M9" s="73" t="s">
        <v>319</v>
      </c>
      <c r="N9" s="73"/>
      <c r="O9" s="37"/>
      <c r="P9" s="37"/>
      <c r="Q9" s="37" t="s">
        <v>356</v>
      </c>
      <c r="R9" s="37" t="s">
        <v>356</v>
      </c>
      <c r="S9" s="37" t="s">
        <v>283</v>
      </c>
    </row>
    <row r="10" spans="1:19" x14ac:dyDescent="0.2">
      <c r="A10" s="37"/>
      <c r="B10" s="37" t="s">
        <v>357</v>
      </c>
      <c r="C10" s="73"/>
      <c r="D10" s="546"/>
      <c r="E10" s="546"/>
      <c r="F10" s="71" t="s">
        <v>326</v>
      </c>
      <c r="G10" s="63"/>
      <c r="H10" s="37" t="s">
        <v>327</v>
      </c>
      <c r="I10" s="37" t="s">
        <v>328</v>
      </c>
      <c r="J10" s="37" t="s">
        <v>329</v>
      </c>
      <c r="K10" s="37" t="s">
        <v>330</v>
      </c>
      <c r="L10" s="37" t="s">
        <v>331</v>
      </c>
      <c r="M10" s="37" t="s">
        <v>287</v>
      </c>
      <c r="N10" s="37" t="s">
        <v>332</v>
      </c>
      <c r="O10" s="37" t="s">
        <v>333</v>
      </c>
      <c r="P10" s="37" t="s">
        <v>334</v>
      </c>
      <c r="Q10" s="37" t="s">
        <v>287</v>
      </c>
      <c r="R10" s="37" t="s">
        <v>287</v>
      </c>
      <c r="S10" s="37" t="s">
        <v>290</v>
      </c>
    </row>
    <row r="11" spans="1:19" x14ac:dyDescent="0.2">
      <c r="A11" s="127" t="s">
        <v>338</v>
      </c>
      <c r="B11" s="127" t="s">
        <v>339</v>
      </c>
      <c r="C11" s="128" t="s">
        <v>340</v>
      </c>
      <c r="D11" s="127" t="s">
        <v>321</v>
      </c>
      <c r="E11" s="127" t="s">
        <v>341</v>
      </c>
      <c r="F11" s="129" t="s">
        <v>342</v>
      </c>
      <c r="G11" s="130" t="s">
        <v>343</v>
      </c>
      <c r="H11" s="127" t="s">
        <v>344</v>
      </c>
      <c r="I11" s="127" t="s">
        <v>345</v>
      </c>
      <c r="J11" s="127" t="s">
        <v>287</v>
      </c>
      <c r="K11" s="127" t="s">
        <v>287</v>
      </c>
      <c r="L11" s="127" t="s">
        <v>285</v>
      </c>
      <c r="M11" s="127" t="s">
        <v>285</v>
      </c>
      <c r="N11" s="127" t="s">
        <v>287</v>
      </c>
      <c r="O11" s="127" t="s">
        <v>287</v>
      </c>
      <c r="P11" s="40" t="s">
        <v>346</v>
      </c>
      <c r="Q11" s="131">
        <f>'Depr Summary'!F6</f>
        <v>44501</v>
      </c>
      <c r="R11" s="131">
        <f>+C3</f>
        <v>44865</v>
      </c>
      <c r="S11" s="132">
        <f>C3</f>
        <v>44865</v>
      </c>
    </row>
    <row r="12" spans="1:19" x14ac:dyDescent="0.2">
      <c r="A12" s="232"/>
      <c r="B12" s="234" t="s">
        <v>432</v>
      </c>
      <c r="C12" s="234" t="s">
        <v>394</v>
      </c>
      <c r="D12" s="232">
        <v>2005</v>
      </c>
      <c r="E12" s="232">
        <v>8</v>
      </c>
      <c r="F12" s="258">
        <v>0</v>
      </c>
      <c r="G12" s="239"/>
      <c r="H12" s="232" t="s">
        <v>351</v>
      </c>
      <c r="I12" s="236">
        <v>8</v>
      </c>
      <c r="J12" s="233">
        <f t="shared" ref="J12:J43" si="0">D12+I12</f>
        <v>2013</v>
      </c>
      <c r="K12" s="237">
        <f t="shared" ref="K12:K43" si="1">+J12+(E12/12)</f>
        <v>2013.6666666666667</v>
      </c>
      <c r="L12" s="238">
        <v>722.56</v>
      </c>
      <c r="M12" s="239">
        <f t="shared" ref="M12:M43" si="2">L12-L12*F12</f>
        <v>722.56</v>
      </c>
      <c r="N12" s="239">
        <f t="shared" ref="N12:N43" si="3">M12/I12/12</f>
        <v>7.5266666666666664</v>
      </c>
      <c r="O12" s="239">
        <f t="shared" ref="O12:O43" si="4">+N12*12</f>
        <v>90.32</v>
      </c>
      <c r="P12" s="261">
        <f t="shared" ref="P12:P43" si="5">+IF(K12&lt;=$M$5,0,IF(J12&gt;$M$4,O12,(N12*E12)))</f>
        <v>0</v>
      </c>
      <c r="Q12" s="261">
        <f t="shared" ref="Q12:Q43" si="6">+IF(P12=0,M12,IF($M$3-D12&lt;1,0,(($M$3-D12)*O12)))</f>
        <v>722.56</v>
      </c>
      <c r="R12" s="261">
        <f t="shared" ref="R12:R43" si="7">+IF(P12=0,Q12,Q12+P12)</f>
        <v>722.56</v>
      </c>
      <c r="S12" s="261">
        <f t="shared" ref="S12:S43" si="8">+L12-R12</f>
        <v>0</v>
      </c>
    </row>
    <row r="13" spans="1:19" s="234" customFormat="1" x14ac:dyDescent="0.2">
      <c r="A13" s="232"/>
      <c r="B13" s="234" t="s">
        <v>432</v>
      </c>
      <c r="C13" s="234" t="s">
        <v>394</v>
      </c>
      <c r="D13" s="232">
        <v>2005</v>
      </c>
      <c r="E13" s="232">
        <v>9</v>
      </c>
      <c r="F13" s="258">
        <v>0</v>
      </c>
      <c r="G13" s="239"/>
      <c r="H13" s="232" t="s">
        <v>351</v>
      </c>
      <c r="I13" s="236">
        <v>8</v>
      </c>
      <c r="J13" s="233">
        <f t="shared" si="0"/>
        <v>2013</v>
      </c>
      <c r="K13" s="237">
        <f t="shared" si="1"/>
        <v>2013.75</v>
      </c>
      <c r="L13" s="238">
        <v>722.56</v>
      </c>
      <c r="M13" s="239">
        <f t="shared" si="2"/>
        <v>722.56</v>
      </c>
      <c r="N13" s="239">
        <f t="shared" si="3"/>
        <v>7.5266666666666664</v>
      </c>
      <c r="O13" s="239">
        <f t="shared" si="4"/>
        <v>90.32</v>
      </c>
      <c r="P13" s="261">
        <f t="shared" si="5"/>
        <v>0</v>
      </c>
      <c r="Q13" s="261">
        <f t="shared" si="6"/>
        <v>722.56</v>
      </c>
      <c r="R13" s="261">
        <f t="shared" si="7"/>
        <v>722.56</v>
      </c>
      <c r="S13" s="261">
        <f t="shared" si="8"/>
        <v>0</v>
      </c>
    </row>
    <row r="14" spans="1:19" s="234" customFormat="1" x14ac:dyDescent="0.2">
      <c r="A14" s="232"/>
      <c r="B14" s="234" t="s">
        <v>432</v>
      </c>
      <c r="C14" s="234" t="s">
        <v>394</v>
      </c>
      <c r="D14" s="232">
        <v>2005</v>
      </c>
      <c r="E14" s="232">
        <v>10</v>
      </c>
      <c r="F14" s="258">
        <v>0</v>
      </c>
      <c r="G14" s="239"/>
      <c r="H14" s="232" t="s">
        <v>351</v>
      </c>
      <c r="I14" s="236">
        <v>8</v>
      </c>
      <c r="J14" s="233">
        <f t="shared" si="0"/>
        <v>2013</v>
      </c>
      <c r="K14" s="237">
        <f t="shared" si="1"/>
        <v>2013.8333333333333</v>
      </c>
      <c r="L14" s="238">
        <v>707.78</v>
      </c>
      <c r="M14" s="239">
        <f t="shared" si="2"/>
        <v>707.78</v>
      </c>
      <c r="N14" s="239">
        <f t="shared" si="3"/>
        <v>7.3727083333333328</v>
      </c>
      <c r="O14" s="239">
        <f t="shared" si="4"/>
        <v>88.472499999999997</v>
      </c>
      <c r="P14" s="261">
        <f t="shared" si="5"/>
        <v>0</v>
      </c>
      <c r="Q14" s="261">
        <f t="shared" si="6"/>
        <v>707.78</v>
      </c>
      <c r="R14" s="261">
        <f t="shared" si="7"/>
        <v>707.78</v>
      </c>
      <c r="S14" s="261">
        <f t="shared" si="8"/>
        <v>0</v>
      </c>
    </row>
    <row r="15" spans="1:19" s="234" customFormat="1" x14ac:dyDescent="0.2">
      <c r="A15" s="232"/>
      <c r="B15" s="234" t="s">
        <v>433</v>
      </c>
      <c r="C15" s="234" t="s">
        <v>395</v>
      </c>
      <c r="D15" s="232">
        <v>2006</v>
      </c>
      <c r="E15" s="232">
        <v>3</v>
      </c>
      <c r="F15" s="258">
        <v>0</v>
      </c>
      <c r="G15" s="239"/>
      <c r="H15" s="232" t="s">
        <v>351</v>
      </c>
      <c r="I15" s="236">
        <v>8</v>
      </c>
      <c r="J15" s="233">
        <f t="shared" si="0"/>
        <v>2014</v>
      </c>
      <c r="K15" s="237">
        <f t="shared" si="1"/>
        <v>2014.25</v>
      </c>
      <c r="L15" s="238">
        <v>546.58000000000004</v>
      </c>
      <c r="M15" s="239">
        <f t="shared" si="2"/>
        <v>546.58000000000004</v>
      </c>
      <c r="N15" s="239">
        <f t="shared" si="3"/>
        <v>5.6935416666666674</v>
      </c>
      <c r="O15" s="239">
        <f t="shared" si="4"/>
        <v>68.322500000000005</v>
      </c>
      <c r="P15" s="261">
        <f t="shared" si="5"/>
        <v>0</v>
      </c>
      <c r="Q15" s="261">
        <f t="shared" si="6"/>
        <v>546.58000000000004</v>
      </c>
      <c r="R15" s="261">
        <f t="shared" si="7"/>
        <v>546.58000000000004</v>
      </c>
      <c r="S15" s="261">
        <f t="shared" si="8"/>
        <v>0</v>
      </c>
    </row>
    <row r="16" spans="1:19" s="234" customFormat="1" x14ac:dyDescent="0.2">
      <c r="A16" s="232"/>
      <c r="B16" s="234" t="s">
        <v>432</v>
      </c>
      <c r="C16" s="234" t="s">
        <v>394</v>
      </c>
      <c r="D16" s="232">
        <v>2006</v>
      </c>
      <c r="E16" s="232">
        <v>6</v>
      </c>
      <c r="F16" s="258">
        <v>0</v>
      </c>
      <c r="G16" s="239"/>
      <c r="H16" s="232" t="s">
        <v>351</v>
      </c>
      <c r="I16" s="236">
        <v>8</v>
      </c>
      <c r="J16" s="233">
        <f t="shared" si="0"/>
        <v>2014</v>
      </c>
      <c r="K16" s="237">
        <f t="shared" si="1"/>
        <v>2014.5</v>
      </c>
      <c r="L16" s="238">
        <v>702.74</v>
      </c>
      <c r="M16" s="239">
        <f t="shared" si="2"/>
        <v>702.74</v>
      </c>
      <c r="N16" s="239">
        <f t="shared" si="3"/>
        <v>7.3202083333333334</v>
      </c>
      <c r="O16" s="239">
        <f t="shared" si="4"/>
        <v>87.842500000000001</v>
      </c>
      <c r="P16" s="261">
        <f t="shared" si="5"/>
        <v>0</v>
      </c>
      <c r="Q16" s="261">
        <f t="shared" si="6"/>
        <v>702.74</v>
      </c>
      <c r="R16" s="261">
        <f t="shared" si="7"/>
        <v>702.74</v>
      </c>
      <c r="S16" s="261">
        <f t="shared" si="8"/>
        <v>0</v>
      </c>
    </row>
    <row r="17" spans="1:19" s="234" customFormat="1" x14ac:dyDescent="0.2">
      <c r="A17" s="232"/>
      <c r="B17" s="234" t="s">
        <v>434</v>
      </c>
      <c r="C17" s="234" t="s">
        <v>396</v>
      </c>
      <c r="D17" s="232">
        <v>2006</v>
      </c>
      <c r="E17" s="232">
        <v>6</v>
      </c>
      <c r="F17" s="258">
        <v>0</v>
      </c>
      <c r="G17" s="239"/>
      <c r="H17" s="232" t="s">
        <v>351</v>
      </c>
      <c r="I17" s="236">
        <v>8</v>
      </c>
      <c r="J17" s="233">
        <f t="shared" si="0"/>
        <v>2014</v>
      </c>
      <c r="K17" s="237">
        <f t="shared" si="1"/>
        <v>2014.5</v>
      </c>
      <c r="L17" s="238">
        <v>606.89</v>
      </c>
      <c r="M17" s="239">
        <f t="shared" si="2"/>
        <v>606.89</v>
      </c>
      <c r="N17" s="239">
        <f t="shared" si="3"/>
        <v>6.3217708333333329</v>
      </c>
      <c r="O17" s="239">
        <f t="shared" si="4"/>
        <v>75.861249999999998</v>
      </c>
      <c r="P17" s="261">
        <f t="shared" si="5"/>
        <v>0</v>
      </c>
      <c r="Q17" s="261">
        <f t="shared" si="6"/>
        <v>606.89</v>
      </c>
      <c r="R17" s="261">
        <f t="shared" si="7"/>
        <v>606.89</v>
      </c>
      <c r="S17" s="261">
        <f t="shared" si="8"/>
        <v>0</v>
      </c>
    </row>
    <row r="18" spans="1:19" s="234" customFormat="1" x14ac:dyDescent="0.2">
      <c r="A18" s="232"/>
      <c r="B18" s="234" t="s">
        <v>435</v>
      </c>
      <c r="C18" s="234" t="s">
        <v>397</v>
      </c>
      <c r="D18" s="232">
        <v>2006</v>
      </c>
      <c r="E18" s="232">
        <v>6</v>
      </c>
      <c r="F18" s="258">
        <v>0</v>
      </c>
      <c r="G18" s="239"/>
      <c r="H18" s="232" t="s">
        <v>351</v>
      </c>
      <c r="I18" s="236">
        <v>8</v>
      </c>
      <c r="J18" s="233">
        <f t="shared" si="0"/>
        <v>2014</v>
      </c>
      <c r="K18" s="237">
        <f t="shared" si="1"/>
        <v>2014.5</v>
      </c>
      <c r="L18" s="238">
        <v>919.22</v>
      </c>
      <c r="M18" s="239">
        <f t="shared" si="2"/>
        <v>919.22</v>
      </c>
      <c r="N18" s="239">
        <f t="shared" si="3"/>
        <v>9.5752083333333342</v>
      </c>
      <c r="O18" s="239">
        <f t="shared" si="4"/>
        <v>114.9025</v>
      </c>
      <c r="P18" s="261">
        <f t="shared" si="5"/>
        <v>0</v>
      </c>
      <c r="Q18" s="261">
        <f t="shared" si="6"/>
        <v>919.22</v>
      </c>
      <c r="R18" s="261">
        <f t="shared" si="7"/>
        <v>919.22</v>
      </c>
      <c r="S18" s="261">
        <f t="shared" si="8"/>
        <v>0</v>
      </c>
    </row>
    <row r="19" spans="1:19" s="234" customFormat="1" x14ac:dyDescent="0.2">
      <c r="A19" s="232"/>
      <c r="B19" s="234" t="s">
        <v>432</v>
      </c>
      <c r="C19" s="234" t="s">
        <v>394</v>
      </c>
      <c r="D19" s="232">
        <v>2006</v>
      </c>
      <c r="E19" s="232">
        <v>6</v>
      </c>
      <c r="F19" s="258">
        <v>0</v>
      </c>
      <c r="G19" s="239"/>
      <c r="H19" s="232" t="s">
        <v>351</v>
      </c>
      <c r="I19" s="236">
        <v>8</v>
      </c>
      <c r="J19" s="233">
        <f t="shared" si="0"/>
        <v>2014</v>
      </c>
      <c r="K19" s="237">
        <f t="shared" si="1"/>
        <v>2014.5</v>
      </c>
      <c r="L19" s="238">
        <v>663.97</v>
      </c>
      <c r="M19" s="239">
        <f t="shared" si="2"/>
        <v>663.97</v>
      </c>
      <c r="N19" s="239">
        <f t="shared" si="3"/>
        <v>6.9163541666666672</v>
      </c>
      <c r="O19" s="239">
        <f t="shared" si="4"/>
        <v>82.996250000000003</v>
      </c>
      <c r="P19" s="261">
        <f t="shared" si="5"/>
        <v>0</v>
      </c>
      <c r="Q19" s="261">
        <f t="shared" si="6"/>
        <v>663.97</v>
      </c>
      <c r="R19" s="261">
        <f t="shared" si="7"/>
        <v>663.97</v>
      </c>
      <c r="S19" s="261">
        <f t="shared" si="8"/>
        <v>0</v>
      </c>
    </row>
    <row r="20" spans="1:19" s="234" customFormat="1" x14ac:dyDescent="0.2">
      <c r="A20" s="232"/>
      <c r="B20" s="234" t="s">
        <v>435</v>
      </c>
      <c r="C20" s="234" t="s">
        <v>397</v>
      </c>
      <c r="D20" s="232">
        <v>2006</v>
      </c>
      <c r="E20" s="232">
        <v>6</v>
      </c>
      <c r="F20" s="258">
        <v>0</v>
      </c>
      <c r="G20" s="239"/>
      <c r="H20" s="232" t="s">
        <v>351</v>
      </c>
      <c r="I20" s="236">
        <v>8</v>
      </c>
      <c r="J20" s="233">
        <f t="shared" si="0"/>
        <v>2014</v>
      </c>
      <c r="K20" s="237">
        <f t="shared" si="1"/>
        <v>2014.5</v>
      </c>
      <c r="L20" s="238">
        <v>919.22</v>
      </c>
      <c r="M20" s="239">
        <f t="shared" si="2"/>
        <v>919.22</v>
      </c>
      <c r="N20" s="239">
        <f t="shared" si="3"/>
        <v>9.5752083333333342</v>
      </c>
      <c r="O20" s="239">
        <f t="shared" si="4"/>
        <v>114.9025</v>
      </c>
      <c r="P20" s="261">
        <f t="shared" si="5"/>
        <v>0</v>
      </c>
      <c r="Q20" s="261">
        <f t="shared" si="6"/>
        <v>919.22</v>
      </c>
      <c r="R20" s="261">
        <f t="shared" si="7"/>
        <v>919.22</v>
      </c>
      <c r="S20" s="261">
        <f t="shared" si="8"/>
        <v>0</v>
      </c>
    </row>
    <row r="21" spans="1:19" s="234" customFormat="1" x14ac:dyDescent="0.2">
      <c r="A21" s="232"/>
      <c r="B21" s="234" t="s">
        <v>432</v>
      </c>
      <c r="C21" s="234" t="s">
        <v>398</v>
      </c>
      <c r="D21" s="232">
        <v>2006</v>
      </c>
      <c r="E21" s="232">
        <v>7</v>
      </c>
      <c r="F21" s="258">
        <v>0</v>
      </c>
      <c r="G21" s="239"/>
      <c r="H21" s="232" t="s">
        <v>351</v>
      </c>
      <c r="I21" s="236">
        <v>8</v>
      </c>
      <c r="J21" s="233">
        <f t="shared" si="0"/>
        <v>2014</v>
      </c>
      <c r="K21" s="237">
        <f t="shared" si="1"/>
        <v>2014.5833333333333</v>
      </c>
      <c r="L21" s="238">
        <v>2757.66</v>
      </c>
      <c r="M21" s="239">
        <f t="shared" si="2"/>
        <v>2757.66</v>
      </c>
      <c r="N21" s="239">
        <f t="shared" si="3"/>
        <v>28.725624999999997</v>
      </c>
      <c r="O21" s="239">
        <f t="shared" si="4"/>
        <v>344.70749999999998</v>
      </c>
      <c r="P21" s="261">
        <f t="shared" si="5"/>
        <v>0</v>
      </c>
      <c r="Q21" s="261">
        <f t="shared" si="6"/>
        <v>2757.66</v>
      </c>
      <c r="R21" s="261">
        <f t="shared" si="7"/>
        <v>2757.66</v>
      </c>
      <c r="S21" s="261">
        <f t="shared" si="8"/>
        <v>0</v>
      </c>
    </row>
    <row r="22" spans="1:19" s="234" customFormat="1" x14ac:dyDescent="0.2">
      <c r="A22" s="232"/>
      <c r="B22" s="234" t="s">
        <v>432</v>
      </c>
      <c r="C22" s="234" t="s">
        <v>399</v>
      </c>
      <c r="D22" s="232">
        <v>2006</v>
      </c>
      <c r="E22" s="232">
        <v>11</v>
      </c>
      <c r="F22" s="258">
        <v>0</v>
      </c>
      <c r="G22" s="239"/>
      <c r="H22" s="232" t="s">
        <v>351</v>
      </c>
      <c r="I22" s="236">
        <v>8</v>
      </c>
      <c r="J22" s="233">
        <f t="shared" si="0"/>
        <v>2014</v>
      </c>
      <c r="K22" s="237">
        <f t="shared" si="1"/>
        <v>2014.9166666666667</v>
      </c>
      <c r="L22" s="238">
        <v>2739.89</v>
      </c>
      <c r="M22" s="239">
        <f t="shared" si="2"/>
        <v>2739.89</v>
      </c>
      <c r="N22" s="239">
        <f t="shared" si="3"/>
        <v>28.540520833333332</v>
      </c>
      <c r="O22" s="239">
        <f t="shared" si="4"/>
        <v>342.48624999999998</v>
      </c>
      <c r="P22" s="261">
        <f t="shared" si="5"/>
        <v>0</v>
      </c>
      <c r="Q22" s="261">
        <f t="shared" si="6"/>
        <v>2739.89</v>
      </c>
      <c r="R22" s="261">
        <f t="shared" si="7"/>
        <v>2739.89</v>
      </c>
      <c r="S22" s="261">
        <f t="shared" si="8"/>
        <v>0</v>
      </c>
    </row>
    <row r="23" spans="1:19" s="234" customFormat="1" x14ac:dyDescent="0.2">
      <c r="A23" s="232"/>
      <c r="B23" s="234" t="s">
        <v>433</v>
      </c>
      <c r="C23" s="234" t="s">
        <v>400</v>
      </c>
      <c r="D23" s="232">
        <v>2007</v>
      </c>
      <c r="E23" s="232">
        <v>2</v>
      </c>
      <c r="F23" s="258">
        <v>0</v>
      </c>
      <c r="G23" s="239"/>
      <c r="H23" s="232" t="s">
        <v>351</v>
      </c>
      <c r="I23" s="236">
        <v>8</v>
      </c>
      <c r="J23" s="233">
        <f t="shared" si="0"/>
        <v>2015</v>
      </c>
      <c r="K23" s="237">
        <f t="shared" si="1"/>
        <v>2015.1666666666667</v>
      </c>
      <c r="L23" s="238">
        <v>835.75</v>
      </c>
      <c r="M23" s="239">
        <f t="shared" si="2"/>
        <v>835.75</v>
      </c>
      <c r="N23" s="239">
        <f t="shared" si="3"/>
        <v>8.7057291666666661</v>
      </c>
      <c r="O23" s="239">
        <f t="shared" si="4"/>
        <v>104.46875</v>
      </c>
      <c r="P23" s="261">
        <f t="shared" si="5"/>
        <v>0</v>
      </c>
      <c r="Q23" s="261">
        <f t="shared" si="6"/>
        <v>835.75</v>
      </c>
      <c r="R23" s="261">
        <f t="shared" si="7"/>
        <v>835.75</v>
      </c>
      <c r="S23" s="261">
        <f t="shared" si="8"/>
        <v>0</v>
      </c>
    </row>
    <row r="24" spans="1:19" s="234" customFormat="1" x14ac:dyDescent="0.2">
      <c r="A24" s="232"/>
      <c r="B24" s="234" t="s">
        <v>433</v>
      </c>
      <c r="C24" s="234" t="s">
        <v>401</v>
      </c>
      <c r="D24" s="232">
        <v>2007</v>
      </c>
      <c r="E24" s="232">
        <v>2</v>
      </c>
      <c r="F24" s="258">
        <v>0</v>
      </c>
      <c r="G24" s="239"/>
      <c r="H24" s="232" t="s">
        <v>351</v>
      </c>
      <c r="I24" s="236">
        <v>8</v>
      </c>
      <c r="J24" s="233">
        <f t="shared" si="0"/>
        <v>2015</v>
      </c>
      <c r="K24" s="237">
        <f t="shared" si="1"/>
        <v>2015.1666666666667</v>
      </c>
      <c r="L24" s="238">
        <v>1009.15</v>
      </c>
      <c r="M24" s="239">
        <f t="shared" si="2"/>
        <v>1009.15</v>
      </c>
      <c r="N24" s="239">
        <f t="shared" si="3"/>
        <v>10.511979166666666</v>
      </c>
      <c r="O24" s="239">
        <f t="shared" si="4"/>
        <v>126.14375</v>
      </c>
      <c r="P24" s="261">
        <f t="shared" si="5"/>
        <v>0</v>
      </c>
      <c r="Q24" s="261">
        <f t="shared" si="6"/>
        <v>1009.15</v>
      </c>
      <c r="R24" s="261">
        <f t="shared" si="7"/>
        <v>1009.15</v>
      </c>
      <c r="S24" s="261">
        <f t="shared" si="8"/>
        <v>0</v>
      </c>
    </row>
    <row r="25" spans="1:19" s="234" customFormat="1" x14ac:dyDescent="0.2">
      <c r="A25" s="232"/>
      <c r="B25" s="234" t="s">
        <v>433</v>
      </c>
      <c r="C25" s="234" t="s">
        <v>402</v>
      </c>
      <c r="D25" s="232">
        <v>2007</v>
      </c>
      <c r="E25" s="232">
        <v>5</v>
      </c>
      <c r="F25" s="258">
        <v>0</v>
      </c>
      <c r="G25" s="239"/>
      <c r="H25" s="232" t="s">
        <v>351</v>
      </c>
      <c r="I25" s="236">
        <v>8</v>
      </c>
      <c r="J25" s="233">
        <f t="shared" si="0"/>
        <v>2015</v>
      </c>
      <c r="K25" s="237">
        <f t="shared" si="1"/>
        <v>2015.4166666666667</v>
      </c>
      <c r="L25" s="238">
        <v>606.89</v>
      </c>
      <c r="M25" s="239">
        <f t="shared" si="2"/>
        <v>606.89</v>
      </c>
      <c r="N25" s="239">
        <f t="shared" si="3"/>
        <v>6.3217708333333329</v>
      </c>
      <c r="O25" s="239">
        <f t="shared" si="4"/>
        <v>75.861249999999998</v>
      </c>
      <c r="P25" s="261">
        <f t="shared" si="5"/>
        <v>0</v>
      </c>
      <c r="Q25" s="261">
        <f t="shared" si="6"/>
        <v>606.89</v>
      </c>
      <c r="R25" s="261">
        <f t="shared" si="7"/>
        <v>606.89</v>
      </c>
      <c r="S25" s="261">
        <f t="shared" si="8"/>
        <v>0</v>
      </c>
    </row>
    <row r="26" spans="1:19" s="234" customFormat="1" x14ac:dyDescent="0.2">
      <c r="A26" s="232"/>
      <c r="B26" s="234" t="s">
        <v>433</v>
      </c>
      <c r="C26" s="234" t="s">
        <v>403</v>
      </c>
      <c r="D26" s="232">
        <v>2007</v>
      </c>
      <c r="E26" s="232">
        <v>5</v>
      </c>
      <c r="F26" s="258">
        <v>0</v>
      </c>
      <c r="G26" s="239"/>
      <c r="H26" s="232" t="s">
        <v>351</v>
      </c>
      <c r="I26" s="236">
        <v>8</v>
      </c>
      <c r="J26" s="233">
        <f t="shared" si="0"/>
        <v>2015</v>
      </c>
      <c r="K26" s="237">
        <f t="shared" si="1"/>
        <v>2015.4166666666667</v>
      </c>
      <c r="L26" s="238">
        <v>702.74</v>
      </c>
      <c r="M26" s="239">
        <f t="shared" si="2"/>
        <v>702.74</v>
      </c>
      <c r="N26" s="239">
        <f t="shared" si="3"/>
        <v>7.3202083333333334</v>
      </c>
      <c r="O26" s="239">
        <f t="shared" si="4"/>
        <v>87.842500000000001</v>
      </c>
      <c r="P26" s="261">
        <f t="shared" si="5"/>
        <v>0</v>
      </c>
      <c r="Q26" s="261">
        <f t="shared" si="6"/>
        <v>702.74</v>
      </c>
      <c r="R26" s="261">
        <f t="shared" si="7"/>
        <v>702.74</v>
      </c>
      <c r="S26" s="261">
        <f t="shared" si="8"/>
        <v>0</v>
      </c>
    </row>
    <row r="27" spans="1:19" s="234" customFormat="1" x14ac:dyDescent="0.2">
      <c r="A27" s="232"/>
      <c r="B27" s="234" t="s">
        <v>433</v>
      </c>
      <c r="C27" s="234" t="s">
        <v>404</v>
      </c>
      <c r="D27" s="232">
        <v>2007</v>
      </c>
      <c r="E27" s="232">
        <v>7</v>
      </c>
      <c r="F27" s="258">
        <v>0</v>
      </c>
      <c r="G27" s="239"/>
      <c r="H27" s="232" t="s">
        <v>351</v>
      </c>
      <c r="I27" s="236">
        <v>8</v>
      </c>
      <c r="J27" s="233">
        <f t="shared" si="0"/>
        <v>2015</v>
      </c>
      <c r="K27" s="237">
        <f t="shared" si="1"/>
        <v>2015.5833333333333</v>
      </c>
      <c r="L27" s="238">
        <v>1010.23</v>
      </c>
      <c r="M27" s="239">
        <f t="shared" si="2"/>
        <v>1010.23</v>
      </c>
      <c r="N27" s="239">
        <f t="shared" si="3"/>
        <v>10.523229166666667</v>
      </c>
      <c r="O27" s="239">
        <f t="shared" si="4"/>
        <v>126.27875</v>
      </c>
      <c r="P27" s="261">
        <f t="shared" si="5"/>
        <v>0</v>
      </c>
      <c r="Q27" s="261">
        <f t="shared" si="6"/>
        <v>1010.23</v>
      </c>
      <c r="R27" s="261">
        <f t="shared" si="7"/>
        <v>1010.23</v>
      </c>
      <c r="S27" s="261">
        <f t="shared" si="8"/>
        <v>0</v>
      </c>
    </row>
    <row r="28" spans="1:19" s="234" customFormat="1" x14ac:dyDescent="0.2">
      <c r="A28" s="232"/>
      <c r="B28" s="234" t="s">
        <v>434</v>
      </c>
      <c r="C28" s="234" t="s">
        <v>405</v>
      </c>
      <c r="D28" s="232">
        <v>2007</v>
      </c>
      <c r="E28" s="232">
        <v>7</v>
      </c>
      <c r="F28" s="258">
        <v>0</v>
      </c>
      <c r="G28" s="239"/>
      <c r="H28" s="232" t="s">
        <v>351</v>
      </c>
      <c r="I28" s="236">
        <v>8</v>
      </c>
      <c r="J28" s="233">
        <f t="shared" si="0"/>
        <v>2015</v>
      </c>
      <c r="K28" s="237">
        <f t="shared" si="1"/>
        <v>2015.5833333333333</v>
      </c>
      <c r="L28" s="238">
        <v>1213.78</v>
      </c>
      <c r="M28" s="239">
        <f t="shared" si="2"/>
        <v>1213.78</v>
      </c>
      <c r="N28" s="239">
        <f t="shared" si="3"/>
        <v>12.643541666666666</v>
      </c>
      <c r="O28" s="239">
        <f t="shared" si="4"/>
        <v>151.7225</v>
      </c>
      <c r="P28" s="261">
        <f t="shared" si="5"/>
        <v>0</v>
      </c>
      <c r="Q28" s="261">
        <f t="shared" si="6"/>
        <v>1213.78</v>
      </c>
      <c r="R28" s="261">
        <f t="shared" si="7"/>
        <v>1213.78</v>
      </c>
      <c r="S28" s="261">
        <f t="shared" si="8"/>
        <v>0</v>
      </c>
    </row>
    <row r="29" spans="1:19" s="234" customFormat="1" x14ac:dyDescent="0.2">
      <c r="A29" s="232"/>
      <c r="B29" s="234" t="s">
        <v>433</v>
      </c>
      <c r="C29" s="234" t="s">
        <v>406</v>
      </c>
      <c r="D29" s="232">
        <v>2007</v>
      </c>
      <c r="E29" s="232">
        <v>7</v>
      </c>
      <c r="F29" s="258">
        <v>0</v>
      </c>
      <c r="G29" s="239"/>
      <c r="H29" s="232" t="s">
        <v>351</v>
      </c>
      <c r="I29" s="236">
        <v>8</v>
      </c>
      <c r="J29" s="233">
        <f t="shared" si="0"/>
        <v>2015</v>
      </c>
      <c r="K29" s="237">
        <f t="shared" si="1"/>
        <v>2015.5833333333333</v>
      </c>
      <c r="L29" s="238">
        <v>606.89</v>
      </c>
      <c r="M29" s="239">
        <f t="shared" si="2"/>
        <v>606.89</v>
      </c>
      <c r="N29" s="239">
        <f t="shared" si="3"/>
        <v>6.3217708333333329</v>
      </c>
      <c r="O29" s="239">
        <f t="shared" si="4"/>
        <v>75.861249999999998</v>
      </c>
      <c r="P29" s="261">
        <f t="shared" si="5"/>
        <v>0</v>
      </c>
      <c r="Q29" s="261">
        <f t="shared" si="6"/>
        <v>606.89</v>
      </c>
      <c r="R29" s="261">
        <f t="shared" si="7"/>
        <v>606.89</v>
      </c>
      <c r="S29" s="261">
        <f t="shared" si="8"/>
        <v>0</v>
      </c>
    </row>
    <row r="30" spans="1:19" s="234" customFormat="1" x14ac:dyDescent="0.2">
      <c r="A30" s="232"/>
      <c r="B30" s="234" t="s">
        <v>433</v>
      </c>
      <c r="C30" s="234" t="s">
        <v>407</v>
      </c>
      <c r="D30" s="232">
        <v>2007</v>
      </c>
      <c r="E30" s="232">
        <v>7</v>
      </c>
      <c r="F30" s="258">
        <v>0</v>
      </c>
      <c r="G30" s="239"/>
      <c r="H30" s="232" t="s">
        <v>351</v>
      </c>
      <c r="I30" s="236">
        <v>8</v>
      </c>
      <c r="J30" s="233">
        <f t="shared" si="0"/>
        <v>2015</v>
      </c>
      <c r="K30" s="237">
        <f t="shared" si="1"/>
        <v>2015.5833333333333</v>
      </c>
      <c r="L30" s="238">
        <v>702.74</v>
      </c>
      <c r="M30" s="239">
        <f t="shared" si="2"/>
        <v>702.74</v>
      </c>
      <c r="N30" s="239">
        <f t="shared" si="3"/>
        <v>7.3202083333333334</v>
      </c>
      <c r="O30" s="239">
        <f t="shared" si="4"/>
        <v>87.842500000000001</v>
      </c>
      <c r="P30" s="261">
        <f t="shared" si="5"/>
        <v>0</v>
      </c>
      <c r="Q30" s="261">
        <f t="shared" si="6"/>
        <v>702.74</v>
      </c>
      <c r="R30" s="261">
        <f t="shared" si="7"/>
        <v>702.74</v>
      </c>
      <c r="S30" s="261">
        <f t="shared" si="8"/>
        <v>0</v>
      </c>
    </row>
    <row r="31" spans="1:19" s="234" customFormat="1" x14ac:dyDescent="0.2">
      <c r="A31" s="232"/>
      <c r="B31" s="234" t="s">
        <v>433</v>
      </c>
      <c r="C31" s="234" t="s">
        <v>379</v>
      </c>
      <c r="D31" s="232">
        <v>2007</v>
      </c>
      <c r="E31" s="232">
        <v>9</v>
      </c>
      <c r="F31" s="258">
        <v>0</v>
      </c>
      <c r="G31" s="239"/>
      <c r="H31" s="232" t="s">
        <v>351</v>
      </c>
      <c r="I31" s="236">
        <v>8</v>
      </c>
      <c r="J31" s="233">
        <f t="shared" si="0"/>
        <v>2015</v>
      </c>
      <c r="K31" s="237">
        <f t="shared" si="1"/>
        <v>2015.75</v>
      </c>
      <c r="L31" s="238">
        <v>835.32</v>
      </c>
      <c r="M31" s="239">
        <f t="shared" si="2"/>
        <v>835.32</v>
      </c>
      <c r="N31" s="239">
        <f t="shared" si="3"/>
        <v>8.7012499999999999</v>
      </c>
      <c r="O31" s="239">
        <f t="shared" si="4"/>
        <v>104.41499999999999</v>
      </c>
      <c r="P31" s="261">
        <f t="shared" si="5"/>
        <v>0</v>
      </c>
      <c r="Q31" s="261">
        <f t="shared" si="6"/>
        <v>835.32</v>
      </c>
      <c r="R31" s="261">
        <f t="shared" si="7"/>
        <v>835.32</v>
      </c>
      <c r="S31" s="261">
        <f t="shared" si="8"/>
        <v>0</v>
      </c>
    </row>
    <row r="32" spans="1:19" s="234" customFormat="1" x14ac:dyDescent="0.2">
      <c r="A32" s="232"/>
      <c r="B32" s="234" t="s">
        <v>433</v>
      </c>
      <c r="C32" s="234" t="s">
        <v>379</v>
      </c>
      <c r="D32" s="232">
        <v>2007</v>
      </c>
      <c r="E32" s="232">
        <v>9</v>
      </c>
      <c r="F32" s="258">
        <v>0</v>
      </c>
      <c r="G32" s="239"/>
      <c r="H32" s="232" t="s">
        <v>351</v>
      </c>
      <c r="I32" s="236">
        <v>8</v>
      </c>
      <c r="J32" s="233">
        <f t="shared" si="0"/>
        <v>2015</v>
      </c>
      <c r="K32" s="237">
        <f t="shared" si="1"/>
        <v>2015.75</v>
      </c>
      <c r="L32" s="238">
        <v>835.32</v>
      </c>
      <c r="M32" s="239">
        <f t="shared" si="2"/>
        <v>835.32</v>
      </c>
      <c r="N32" s="239">
        <f t="shared" si="3"/>
        <v>8.7012499999999999</v>
      </c>
      <c r="O32" s="239">
        <f t="shared" si="4"/>
        <v>104.41499999999999</v>
      </c>
      <c r="P32" s="261">
        <f t="shared" si="5"/>
        <v>0</v>
      </c>
      <c r="Q32" s="261">
        <f t="shared" si="6"/>
        <v>835.32</v>
      </c>
      <c r="R32" s="261">
        <f t="shared" si="7"/>
        <v>835.32</v>
      </c>
      <c r="S32" s="261">
        <f t="shared" si="8"/>
        <v>0</v>
      </c>
    </row>
    <row r="33" spans="1:19" s="234" customFormat="1" x14ac:dyDescent="0.2">
      <c r="A33" s="232"/>
      <c r="B33" s="234" t="s">
        <v>432</v>
      </c>
      <c r="C33" s="234" t="s">
        <v>398</v>
      </c>
      <c r="D33" s="232">
        <v>2007</v>
      </c>
      <c r="E33" s="232">
        <v>9</v>
      </c>
      <c r="F33" s="258">
        <v>0</v>
      </c>
      <c r="G33" s="239"/>
      <c r="H33" s="232" t="s">
        <v>351</v>
      </c>
      <c r="I33" s="236">
        <v>8</v>
      </c>
      <c r="J33" s="233">
        <f t="shared" si="0"/>
        <v>2015</v>
      </c>
      <c r="K33" s="237">
        <f t="shared" si="1"/>
        <v>2015.75</v>
      </c>
      <c r="L33" s="238">
        <v>2757.66</v>
      </c>
      <c r="M33" s="239">
        <f t="shared" si="2"/>
        <v>2757.66</v>
      </c>
      <c r="N33" s="239">
        <f t="shared" si="3"/>
        <v>28.725624999999997</v>
      </c>
      <c r="O33" s="239">
        <f t="shared" si="4"/>
        <v>344.70749999999998</v>
      </c>
      <c r="P33" s="261">
        <f t="shared" si="5"/>
        <v>0</v>
      </c>
      <c r="Q33" s="261">
        <f t="shared" si="6"/>
        <v>2757.66</v>
      </c>
      <c r="R33" s="261">
        <f t="shared" si="7"/>
        <v>2757.66</v>
      </c>
      <c r="S33" s="261">
        <f t="shared" si="8"/>
        <v>0</v>
      </c>
    </row>
    <row r="34" spans="1:19" s="234" customFormat="1" x14ac:dyDescent="0.2">
      <c r="A34" s="232"/>
      <c r="B34" s="234" t="s">
        <v>433</v>
      </c>
      <c r="C34" s="234" t="s">
        <v>406</v>
      </c>
      <c r="D34" s="232">
        <v>2007</v>
      </c>
      <c r="E34" s="232">
        <v>9</v>
      </c>
      <c r="F34" s="258">
        <v>0</v>
      </c>
      <c r="G34" s="239"/>
      <c r="H34" s="232" t="s">
        <v>351</v>
      </c>
      <c r="I34" s="236">
        <v>8</v>
      </c>
      <c r="J34" s="233">
        <f t="shared" si="0"/>
        <v>2015</v>
      </c>
      <c r="K34" s="237">
        <f t="shared" si="1"/>
        <v>2015.75</v>
      </c>
      <c r="L34" s="238">
        <v>606.89</v>
      </c>
      <c r="M34" s="239">
        <f t="shared" si="2"/>
        <v>606.89</v>
      </c>
      <c r="N34" s="239">
        <f t="shared" si="3"/>
        <v>6.3217708333333329</v>
      </c>
      <c r="O34" s="239">
        <f t="shared" si="4"/>
        <v>75.861249999999998</v>
      </c>
      <c r="P34" s="261">
        <f t="shared" si="5"/>
        <v>0</v>
      </c>
      <c r="Q34" s="261">
        <f t="shared" si="6"/>
        <v>606.89</v>
      </c>
      <c r="R34" s="261">
        <f t="shared" si="7"/>
        <v>606.89</v>
      </c>
      <c r="S34" s="261">
        <f t="shared" si="8"/>
        <v>0</v>
      </c>
    </row>
    <row r="35" spans="1:19" s="234" customFormat="1" x14ac:dyDescent="0.2">
      <c r="A35" s="232"/>
      <c r="B35" s="234" t="s">
        <v>433</v>
      </c>
      <c r="C35" s="234" t="s">
        <v>408</v>
      </c>
      <c r="D35" s="232">
        <v>2007</v>
      </c>
      <c r="E35" s="232">
        <v>11</v>
      </c>
      <c r="F35" s="258">
        <v>0</v>
      </c>
      <c r="G35" s="239"/>
      <c r="H35" s="232" t="s">
        <v>351</v>
      </c>
      <c r="I35" s="236">
        <v>8</v>
      </c>
      <c r="J35" s="233">
        <f t="shared" si="0"/>
        <v>2015</v>
      </c>
      <c r="K35" s="237">
        <f t="shared" si="1"/>
        <v>2015.9166666666667</v>
      </c>
      <c r="L35" s="238">
        <v>546.58000000000004</v>
      </c>
      <c r="M35" s="239">
        <f t="shared" si="2"/>
        <v>546.58000000000004</v>
      </c>
      <c r="N35" s="239">
        <f t="shared" si="3"/>
        <v>5.6935416666666674</v>
      </c>
      <c r="O35" s="239">
        <f t="shared" si="4"/>
        <v>68.322500000000005</v>
      </c>
      <c r="P35" s="261">
        <f t="shared" si="5"/>
        <v>0</v>
      </c>
      <c r="Q35" s="261">
        <f t="shared" si="6"/>
        <v>546.58000000000004</v>
      </c>
      <c r="R35" s="261">
        <f t="shared" si="7"/>
        <v>546.58000000000004</v>
      </c>
      <c r="S35" s="261">
        <f t="shared" si="8"/>
        <v>0</v>
      </c>
    </row>
    <row r="36" spans="1:19" s="234" customFormat="1" x14ac:dyDescent="0.2">
      <c r="A36" s="232"/>
      <c r="B36" s="234" t="s">
        <v>434</v>
      </c>
      <c r="C36" s="234" t="s">
        <v>409</v>
      </c>
      <c r="D36" s="232">
        <v>2007</v>
      </c>
      <c r="E36" s="232">
        <v>11</v>
      </c>
      <c r="F36" s="258">
        <v>0</v>
      </c>
      <c r="G36" s="239"/>
      <c r="H36" s="232" t="s">
        <v>351</v>
      </c>
      <c r="I36" s="236">
        <v>8</v>
      </c>
      <c r="J36" s="233">
        <f t="shared" si="0"/>
        <v>2015</v>
      </c>
      <c r="K36" s="237">
        <f t="shared" si="1"/>
        <v>2015.9166666666667</v>
      </c>
      <c r="L36" s="238">
        <v>1670.64</v>
      </c>
      <c r="M36" s="239">
        <f t="shared" si="2"/>
        <v>1670.64</v>
      </c>
      <c r="N36" s="239">
        <f t="shared" si="3"/>
        <v>17.4025</v>
      </c>
      <c r="O36" s="239">
        <f t="shared" si="4"/>
        <v>208.82999999999998</v>
      </c>
      <c r="P36" s="261">
        <f t="shared" si="5"/>
        <v>0</v>
      </c>
      <c r="Q36" s="261">
        <f t="shared" si="6"/>
        <v>1670.64</v>
      </c>
      <c r="R36" s="261">
        <f t="shared" si="7"/>
        <v>1670.64</v>
      </c>
      <c r="S36" s="261">
        <f t="shared" si="8"/>
        <v>0</v>
      </c>
    </row>
    <row r="37" spans="1:19" s="234" customFormat="1" x14ac:dyDescent="0.2">
      <c r="A37" s="232"/>
      <c r="B37" s="234" t="s">
        <v>433</v>
      </c>
      <c r="C37" s="234" t="s">
        <v>410</v>
      </c>
      <c r="D37" s="232">
        <v>2008</v>
      </c>
      <c r="E37" s="232">
        <v>1</v>
      </c>
      <c r="F37" s="258">
        <v>0</v>
      </c>
      <c r="G37" s="239"/>
      <c r="H37" s="232" t="s">
        <v>351</v>
      </c>
      <c r="I37" s="236">
        <v>8</v>
      </c>
      <c r="J37" s="233">
        <f t="shared" si="0"/>
        <v>2016</v>
      </c>
      <c r="K37" s="237">
        <f t="shared" si="1"/>
        <v>2016.0833333333333</v>
      </c>
      <c r="L37" s="238">
        <v>702.74</v>
      </c>
      <c r="M37" s="239">
        <f t="shared" si="2"/>
        <v>702.74</v>
      </c>
      <c r="N37" s="239">
        <f t="shared" si="3"/>
        <v>7.3202083333333334</v>
      </c>
      <c r="O37" s="239">
        <f t="shared" si="4"/>
        <v>87.842500000000001</v>
      </c>
      <c r="P37" s="261">
        <f t="shared" si="5"/>
        <v>0</v>
      </c>
      <c r="Q37" s="261">
        <f t="shared" si="6"/>
        <v>702.74</v>
      </c>
      <c r="R37" s="261">
        <f t="shared" si="7"/>
        <v>702.74</v>
      </c>
      <c r="S37" s="261">
        <f t="shared" si="8"/>
        <v>0</v>
      </c>
    </row>
    <row r="38" spans="1:19" s="234" customFormat="1" x14ac:dyDescent="0.2">
      <c r="A38" s="232"/>
      <c r="B38" s="234" t="s">
        <v>433</v>
      </c>
      <c r="C38" s="234" t="s">
        <v>411</v>
      </c>
      <c r="D38" s="232">
        <v>2008</v>
      </c>
      <c r="E38" s="232">
        <v>1</v>
      </c>
      <c r="F38" s="258">
        <v>0</v>
      </c>
      <c r="G38" s="239"/>
      <c r="H38" s="232" t="s">
        <v>351</v>
      </c>
      <c r="I38" s="236">
        <v>8</v>
      </c>
      <c r="J38" s="233">
        <f t="shared" si="0"/>
        <v>2016</v>
      </c>
      <c r="K38" s="237">
        <f t="shared" si="1"/>
        <v>2016.0833333333333</v>
      </c>
      <c r="L38" s="238">
        <v>835.32</v>
      </c>
      <c r="M38" s="239">
        <f t="shared" si="2"/>
        <v>835.32</v>
      </c>
      <c r="N38" s="239">
        <f t="shared" si="3"/>
        <v>8.7012499999999999</v>
      </c>
      <c r="O38" s="239">
        <f t="shared" si="4"/>
        <v>104.41499999999999</v>
      </c>
      <c r="P38" s="261">
        <f t="shared" si="5"/>
        <v>0</v>
      </c>
      <c r="Q38" s="261">
        <f t="shared" si="6"/>
        <v>835.32</v>
      </c>
      <c r="R38" s="261">
        <f t="shared" si="7"/>
        <v>835.32</v>
      </c>
      <c r="S38" s="261">
        <f t="shared" si="8"/>
        <v>0</v>
      </c>
    </row>
    <row r="39" spans="1:19" s="234" customFormat="1" x14ac:dyDescent="0.2">
      <c r="A39" s="232"/>
      <c r="B39" s="234" t="s">
        <v>433</v>
      </c>
      <c r="C39" s="234" t="s">
        <v>412</v>
      </c>
      <c r="D39" s="232">
        <v>2008</v>
      </c>
      <c r="E39" s="232">
        <v>1</v>
      </c>
      <c r="F39" s="258">
        <v>0</v>
      </c>
      <c r="G39" s="239"/>
      <c r="H39" s="232" t="s">
        <v>351</v>
      </c>
      <c r="I39" s="236">
        <v>8</v>
      </c>
      <c r="J39" s="233">
        <f t="shared" si="0"/>
        <v>2016</v>
      </c>
      <c r="K39" s="237">
        <f t="shared" si="1"/>
        <v>2016.0833333333333</v>
      </c>
      <c r="L39" s="238">
        <v>919.22</v>
      </c>
      <c r="M39" s="239">
        <f t="shared" si="2"/>
        <v>919.22</v>
      </c>
      <c r="N39" s="239">
        <f t="shared" si="3"/>
        <v>9.5752083333333342</v>
      </c>
      <c r="O39" s="239">
        <f t="shared" si="4"/>
        <v>114.9025</v>
      </c>
      <c r="P39" s="261">
        <f t="shared" si="5"/>
        <v>0</v>
      </c>
      <c r="Q39" s="261">
        <f t="shared" si="6"/>
        <v>919.22</v>
      </c>
      <c r="R39" s="261">
        <f t="shared" si="7"/>
        <v>919.22</v>
      </c>
      <c r="S39" s="261">
        <f t="shared" si="8"/>
        <v>0</v>
      </c>
    </row>
    <row r="40" spans="1:19" s="234" customFormat="1" x14ac:dyDescent="0.2">
      <c r="A40" s="232"/>
      <c r="B40" s="234" t="s">
        <v>433</v>
      </c>
      <c r="C40" s="234" t="s">
        <v>413</v>
      </c>
      <c r="D40" s="232">
        <v>2008</v>
      </c>
      <c r="E40" s="232">
        <v>3</v>
      </c>
      <c r="F40" s="258">
        <v>0</v>
      </c>
      <c r="G40" s="239"/>
      <c r="H40" s="232" t="s">
        <v>351</v>
      </c>
      <c r="I40" s="236">
        <v>8</v>
      </c>
      <c r="J40" s="233">
        <f t="shared" si="0"/>
        <v>2016</v>
      </c>
      <c r="K40" s="237">
        <f t="shared" si="1"/>
        <v>2016.25</v>
      </c>
      <c r="L40" s="238">
        <v>606.89</v>
      </c>
      <c r="M40" s="239">
        <f t="shared" si="2"/>
        <v>606.89</v>
      </c>
      <c r="N40" s="239">
        <f t="shared" si="3"/>
        <v>6.3217708333333329</v>
      </c>
      <c r="O40" s="239">
        <f t="shared" si="4"/>
        <v>75.861249999999998</v>
      </c>
      <c r="P40" s="261">
        <f t="shared" si="5"/>
        <v>0</v>
      </c>
      <c r="Q40" s="261">
        <f t="shared" si="6"/>
        <v>606.89</v>
      </c>
      <c r="R40" s="261">
        <f t="shared" si="7"/>
        <v>606.89</v>
      </c>
      <c r="S40" s="261">
        <f t="shared" si="8"/>
        <v>0</v>
      </c>
    </row>
    <row r="41" spans="1:19" s="234" customFormat="1" x14ac:dyDescent="0.2">
      <c r="A41" s="232"/>
      <c r="B41" s="234" t="s">
        <v>433</v>
      </c>
      <c r="C41" s="234" t="s">
        <v>410</v>
      </c>
      <c r="D41" s="232">
        <v>2008</v>
      </c>
      <c r="E41" s="232">
        <v>3</v>
      </c>
      <c r="F41" s="258">
        <v>0</v>
      </c>
      <c r="G41" s="239"/>
      <c r="H41" s="232" t="s">
        <v>351</v>
      </c>
      <c r="I41" s="236">
        <v>8</v>
      </c>
      <c r="J41" s="233">
        <f t="shared" si="0"/>
        <v>2016</v>
      </c>
      <c r="K41" s="237">
        <f t="shared" si="1"/>
        <v>2016.25</v>
      </c>
      <c r="L41" s="238">
        <v>702.2</v>
      </c>
      <c r="M41" s="239">
        <f t="shared" si="2"/>
        <v>702.2</v>
      </c>
      <c r="N41" s="239">
        <f t="shared" si="3"/>
        <v>7.3145833333333341</v>
      </c>
      <c r="O41" s="239">
        <f t="shared" si="4"/>
        <v>87.775000000000006</v>
      </c>
      <c r="P41" s="261">
        <f t="shared" si="5"/>
        <v>0</v>
      </c>
      <c r="Q41" s="261">
        <f t="shared" si="6"/>
        <v>702.2</v>
      </c>
      <c r="R41" s="261">
        <f t="shared" si="7"/>
        <v>702.2</v>
      </c>
      <c r="S41" s="261">
        <f t="shared" si="8"/>
        <v>0</v>
      </c>
    </row>
    <row r="42" spans="1:19" s="234" customFormat="1" x14ac:dyDescent="0.2">
      <c r="A42" s="232"/>
      <c r="B42" s="234" t="s">
        <v>433</v>
      </c>
      <c r="C42" s="234" t="s">
        <v>411</v>
      </c>
      <c r="D42" s="232">
        <v>2008</v>
      </c>
      <c r="E42" s="232">
        <v>3</v>
      </c>
      <c r="F42" s="258">
        <v>0</v>
      </c>
      <c r="G42" s="239"/>
      <c r="H42" s="232" t="s">
        <v>351</v>
      </c>
      <c r="I42" s="236">
        <v>8</v>
      </c>
      <c r="J42" s="233">
        <f t="shared" si="0"/>
        <v>2016</v>
      </c>
      <c r="K42" s="237">
        <f t="shared" si="1"/>
        <v>2016.25</v>
      </c>
      <c r="L42" s="238">
        <v>835.32</v>
      </c>
      <c r="M42" s="239">
        <f t="shared" si="2"/>
        <v>835.32</v>
      </c>
      <c r="N42" s="239">
        <f t="shared" si="3"/>
        <v>8.7012499999999999</v>
      </c>
      <c r="O42" s="239">
        <f t="shared" si="4"/>
        <v>104.41499999999999</v>
      </c>
      <c r="P42" s="261">
        <f t="shared" si="5"/>
        <v>0</v>
      </c>
      <c r="Q42" s="261">
        <f t="shared" si="6"/>
        <v>835.32</v>
      </c>
      <c r="R42" s="261">
        <f t="shared" si="7"/>
        <v>835.32</v>
      </c>
      <c r="S42" s="261">
        <f t="shared" si="8"/>
        <v>0</v>
      </c>
    </row>
    <row r="43" spans="1:19" s="234" customFormat="1" x14ac:dyDescent="0.2">
      <c r="A43" s="232"/>
      <c r="B43" s="234" t="s">
        <v>433</v>
      </c>
      <c r="C43" s="234" t="s">
        <v>410</v>
      </c>
      <c r="D43" s="232">
        <v>2008</v>
      </c>
      <c r="E43" s="232">
        <v>5</v>
      </c>
      <c r="F43" s="258">
        <v>0</v>
      </c>
      <c r="G43" s="239"/>
      <c r="H43" s="232" t="s">
        <v>351</v>
      </c>
      <c r="I43" s="236">
        <v>8</v>
      </c>
      <c r="J43" s="233">
        <f t="shared" si="0"/>
        <v>2016</v>
      </c>
      <c r="K43" s="237">
        <f t="shared" si="1"/>
        <v>2016.4166666666667</v>
      </c>
      <c r="L43" s="238">
        <v>776.52</v>
      </c>
      <c r="M43" s="239">
        <f t="shared" si="2"/>
        <v>776.52</v>
      </c>
      <c r="N43" s="239">
        <f t="shared" si="3"/>
        <v>8.0887499999999992</v>
      </c>
      <c r="O43" s="239">
        <f t="shared" si="4"/>
        <v>97.064999999999998</v>
      </c>
      <c r="P43" s="261">
        <f t="shared" si="5"/>
        <v>0</v>
      </c>
      <c r="Q43" s="261">
        <f t="shared" si="6"/>
        <v>776.52</v>
      </c>
      <c r="R43" s="261">
        <f t="shared" si="7"/>
        <v>776.52</v>
      </c>
      <c r="S43" s="261">
        <f t="shared" si="8"/>
        <v>0</v>
      </c>
    </row>
    <row r="44" spans="1:19" s="234" customFormat="1" x14ac:dyDescent="0.2">
      <c r="A44" s="232"/>
      <c r="B44" s="234" t="s">
        <v>433</v>
      </c>
      <c r="C44" s="234" t="s">
        <v>414</v>
      </c>
      <c r="D44" s="232">
        <v>2008</v>
      </c>
      <c r="E44" s="232">
        <v>5</v>
      </c>
      <c r="F44" s="258">
        <v>0</v>
      </c>
      <c r="G44" s="239"/>
      <c r="H44" s="232" t="s">
        <v>351</v>
      </c>
      <c r="I44" s="236">
        <v>8</v>
      </c>
      <c r="J44" s="233">
        <f t="shared" ref="J44:J64" si="9">D44+I44</f>
        <v>2016</v>
      </c>
      <c r="K44" s="237">
        <f t="shared" ref="K44:K64" si="10">+J44+(E44/12)</f>
        <v>2016.4166666666667</v>
      </c>
      <c r="L44" s="238">
        <v>1121.7</v>
      </c>
      <c r="M44" s="239">
        <f t="shared" ref="M44:M64" si="11">L44-L44*F44</f>
        <v>1121.7</v>
      </c>
      <c r="N44" s="239">
        <f t="shared" ref="N44:N64" si="12">M44/I44/12</f>
        <v>11.684375000000001</v>
      </c>
      <c r="O44" s="239">
        <f t="shared" ref="O44:O64" si="13">+N44*12</f>
        <v>140.21250000000001</v>
      </c>
      <c r="P44" s="261">
        <f t="shared" ref="P44:P64" si="14">+IF(K44&lt;=$M$5,0,IF(J44&gt;$M$4,O44,(N44*E44)))</f>
        <v>0</v>
      </c>
      <c r="Q44" s="261">
        <f t="shared" ref="Q44:Q64" si="15">+IF(P44=0,M44,IF($M$3-D44&lt;1,0,(($M$3-D44)*O44)))</f>
        <v>1121.7</v>
      </c>
      <c r="R44" s="261">
        <f t="shared" ref="R44:R64" si="16">+IF(P44=0,Q44,Q44+P44)</f>
        <v>1121.7</v>
      </c>
      <c r="S44" s="261">
        <f t="shared" ref="S44:S64" si="17">+L44-R44</f>
        <v>0</v>
      </c>
    </row>
    <row r="45" spans="1:19" s="234" customFormat="1" x14ac:dyDescent="0.2">
      <c r="A45" s="232"/>
      <c r="B45" s="234" t="s">
        <v>433</v>
      </c>
      <c r="C45" s="234" t="s">
        <v>415</v>
      </c>
      <c r="D45" s="232">
        <v>2008</v>
      </c>
      <c r="E45" s="232">
        <v>8</v>
      </c>
      <c r="F45" s="258">
        <v>0</v>
      </c>
      <c r="G45" s="239"/>
      <c r="H45" s="232" t="s">
        <v>351</v>
      </c>
      <c r="I45" s="232">
        <v>8</v>
      </c>
      <c r="J45" s="233">
        <f t="shared" si="9"/>
        <v>2016</v>
      </c>
      <c r="K45" s="237">
        <f t="shared" si="10"/>
        <v>2016.6666666666667</v>
      </c>
      <c r="L45" s="238">
        <v>1121.7</v>
      </c>
      <c r="M45" s="239">
        <f t="shared" si="11"/>
        <v>1121.7</v>
      </c>
      <c r="N45" s="239">
        <f t="shared" si="12"/>
        <v>11.684375000000001</v>
      </c>
      <c r="O45" s="239">
        <f t="shared" si="13"/>
        <v>140.21250000000001</v>
      </c>
      <c r="P45" s="261">
        <f t="shared" si="14"/>
        <v>0</v>
      </c>
      <c r="Q45" s="261">
        <f t="shared" si="15"/>
        <v>1121.7</v>
      </c>
      <c r="R45" s="261">
        <f t="shared" si="16"/>
        <v>1121.7</v>
      </c>
      <c r="S45" s="261">
        <f t="shared" si="17"/>
        <v>0</v>
      </c>
    </row>
    <row r="46" spans="1:19" s="234" customFormat="1" x14ac:dyDescent="0.2">
      <c r="A46" s="232"/>
      <c r="B46" s="234" t="s">
        <v>436</v>
      </c>
      <c r="C46" s="234" t="s">
        <v>416</v>
      </c>
      <c r="D46" s="232">
        <v>2008</v>
      </c>
      <c r="E46" s="232">
        <v>8</v>
      </c>
      <c r="F46" s="258">
        <v>0</v>
      </c>
      <c r="G46" s="239"/>
      <c r="H46" s="232" t="s">
        <v>351</v>
      </c>
      <c r="I46" s="232">
        <v>8</v>
      </c>
      <c r="J46" s="233">
        <f t="shared" si="9"/>
        <v>2016</v>
      </c>
      <c r="K46" s="237">
        <f t="shared" si="10"/>
        <v>2016.6666666666667</v>
      </c>
      <c r="L46" s="238">
        <v>4305.8599999999997</v>
      </c>
      <c r="M46" s="239">
        <f t="shared" si="11"/>
        <v>4305.8599999999997</v>
      </c>
      <c r="N46" s="239">
        <f t="shared" si="12"/>
        <v>44.852708333333332</v>
      </c>
      <c r="O46" s="239">
        <f t="shared" si="13"/>
        <v>538.23249999999996</v>
      </c>
      <c r="P46" s="261">
        <f t="shared" si="14"/>
        <v>0</v>
      </c>
      <c r="Q46" s="261">
        <f t="shared" si="15"/>
        <v>4305.8599999999997</v>
      </c>
      <c r="R46" s="261">
        <f t="shared" si="16"/>
        <v>4305.8599999999997</v>
      </c>
      <c r="S46" s="261">
        <f t="shared" si="17"/>
        <v>0</v>
      </c>
    </row>
    <row r="47" spans="1:19" s="234" customFormat="1" x14ac:dyDescent="0.2">
      <c r="A47" s="232"/>
      <c r="B47" s="234" t="s">
        <v>433</v>
      </c>
      <c r="C47" s="234" t="s">
        <v>417</v>
      </c>
      <c r="D47" s="232">
        <v>2011</v>
      </c>
      <c r="E47" s="232">
        <v>6</v>
      </c>
      <c r="F47" s="258">
        <v>0</v>
      </c>
      <c r="G47" s="239"/>
      <c r="H47" s="232" t="s">
        <v>351</v>
      </c>
      <c r="I47" s="236">
        <v>8</v>
      </c>
      <c r="J47" s="233">
        <f t="shared" si="9"/>
        <v>2019</v>
      </c>
      <c r="K47" s="237">
        <f t="shared" si="10"/>
        <v>2019.5</v>
      </c>
      <c r="L47" s="238">
        <v>636.61</v>
      </c>
      <c r="M47" s="239">
        <f t="shared" si="11"/>
        <v>636.61</v>
      </c>
      <c r="N47" s="239">
        <f t="shared" si="12"/>
        <v>6.6313541666666671</v>
      </c>
      <c r="O47" s="239">
        <f t="shared" si="13"/>
        <v>79.576250000000002</v>
      </c>
      <c r="P47" s="261">
        <f t="shared" si="14"/>
        <v>0</v>
      </c>
      <c r="Q47" s="261">
        <f t="shared" si="15"/>
        <v>636.61</v>
      </c>
      <c r="R47" s="261">
        <f t="shared" si="16"/>
        <v>636.61</v>
      </c>
      <c r="S47" s="261">
        <f t="shared" si="17"/>
        <v>0</v>
      </c>
    </row>
    <row r="48" spans="1:19" s="234" customFormat="1" x14ac:dyDescent="0.2">
      <c r="A48" s="232"/>
      <c r="B48" s="234" t="s">
        <v>433</v>
      </c>
      <c r="C48" s="234" t="s">
        <v>418</v>
      </c>
      <c r="D48" s="232">
        <v>2013</v>
      </c>
      <c r="E48" s="232">
        <v>9</v>
      </c>
      <c r="F48" s="258">
        <v>0</v>
      </c>
      <c r="G48" s="239"/>
      <c r="H48" s="232" t="s">
        <v>351</v>
      </c>
      <c r="I48" s="236">
        <v>8</v>
      </c>
      <c r="J48" s="233">
        <f t="shared" si="9"/>
        <v>2021</v>
      </c>
      <c r="K48" s="237">
        <f t="shared" si="10"/>
        <v>2021.75</v>
      </c>
      <c r="L48" s="238">
        <v>603.72</v>
      </c>
      <c r="M48" s="239">
        <f t="shared" si="11"/>
        <v>603.72</v>
      </c>
      <c r="N48" s="239">
        <f t="shared" si="12"/>
        <v>6.2887500000000003</v>
      </c>
      <c r="O48" s="239">
        <f t="shared" si="13"/>
        <v>75.465000000000003</v>
      </c>
      <c r="P48" s="261">
        <f t="shared" si="14"/>
        <v>0</v>
      </c>
      <c r="Q48" s="261">
        <f t="shared" si="15"/>
        <v>603.72</v>
      </c>
      <c r="R48" s="261">
        <f t="shared" si="16"/>
        <v>603.72</v>
      </c>
      <c r="S48" s="261">
        <f t="shared" si="17"/>
        <v>0</v>
      </c>
    </row>
    <row r="49" spans="1:19" s="234" customFormat="1" x14ac:dyDescent="0.2">
      <c r="A49" s="232"/>
      <c r="B49" s="234" t="s">
        <v>433</v>
      </c>
      <c r="C49" s="234" t="s">
        <v>419</v>
      </c>
      <c r="D49" s="232">
        <v>2013</v>
      </c>
      <c r="E49" s="232">
        <v>9</v>
      </c>
      <c r="F49" s="258">
        <v>0</v>
      </c>
      <c r="G49" s="239"/>
      <c r="H49" s="232" t="s">
        <v>351</v>
      </c>
      <c r="I49" s="236">
        <v>8</v>
      </c>
      <c r="J49" s="233">
        <f t="shared" si="9"/>
        <v>2021</v>
      </c>
      <c r="K49" s="237">
        <f t="shared" si="10"/>
        <v>2021.75</v>
      </c>
      <c r="L49" s="238">
        <v>637.21</v>
      </c>
      <c r="M49" s="239">
        <f t="shared" si="11"/>
        <v>637.21</v>
      </c>
      <c r="N49" s="239">
        <f t="shared" si="12"/>
        <v>6.6376041666666667</v>
      </c>
      <c r="O49" s="239">
        <f t="shared" si="13"/>
        <v>79.651250000000005</v>
      </c>
      <c r="P49" s="261">
        <f t="shared" si="14"/>
        <v>0</v>
      </c>
      <c r="Q49" s="261">
        <f t="shared" si="15"/>
        <v>637.21</v>
      </c>
      <c r="R49" s="261">
        <f t="shared" si="16"/>
        <v>637.21</v>
      </c>
      <c r="S49" s="261">
        <f t="shared" si="17"/>
        <v>0</v>
      </c>
    </row>
    <row r="50" spans="1:19" s="234" customFormat="1" x14ac:dyDescent="0.2">
      <c r="B50" s="234" t="s">
        <v>437</v>
      </c>
      <c r="C50" s="234" t="s">
        <v>420</v>
      </c>
      <c r="D50" s="232">
        <v>2014</v>
      </c>
      <c r="E50" s="232">
        <v>1</v>
      </c>
      <c r="F50" s="258">
        <v>0</v>
      </c>
      <c r="G50" s="239"/>
      <c r="H50" s="232" t="s">
        <v>351</v>
      </c>
      <c r="I50" s="236">
        <v>10</v>
      </c>
      <c r="J50" s="233">
        <f t="shared" si="9"/>
        <v>2024</v>
      </c>
      <c r="K50" s="237">
        <f t="shared" si="10"/>
        <v>2024.0833333333333</v>
      </c>
      <c r="L50" s="238">
        <v>4060.89</v>
      </c>
      <c r="M50" s="239">
        <f t="shared" si="11"/>
        <v>4060.89</v>
      </c>
      <c r="N50" s="239">
        <f t="shared" si="12"/>
        <v>33.84075</v>
      </c>
      <c r="O50" s="239">
        <f t="shared" si="13"/>
        <v>406.089</v>
      </c>
      <c r="P50" s="261">
        <f t="shared" si="14"/>
        <v>406.089</v>
      </c>
      <c r="Q50" s="261">
        <f t="shared" si="15"/>
        <v>3248.712</v>
      </c>
      <c r="R50" s="261">
        <f t="shared" si="16"/>
        <v>3654.8009999999999</v>
      </c>
      <c r="S50" s="261">
        <f t="shared" si="17"/>
        <v>406.08899999999994</v>
      </c>
    </row>
    <row r="51" spans="1:19" s="234" customFormat="1" x14ac:dyDescent="0.2">
      <c r="B51" s="234" t="s">
        <v>434</v>
      </c>
      <c r="C51" s="234" t="s">
        <v>421</v>
      </c>
      <c r="D51" s="232">
        <v>2014</v>
      </c>
      <c r="E51" s="232">
        <v>1</v>
      </c>
      <c r="F51" s="258">
        <v>0</v>
      </c>
      <c r="G51" s="239"/>
      <c r="H51" s="232" t="s">
        <v>351</v>
      </c>
      <c r="I51" s="236">
        <v>10</v>
      </c>
      <c r="J51" s="233">
        <f t="shared" si="9"/>
        <v>2024</v>
      </c>
      <c r="K51" s="237">
        <f t="shared" si="10"/>
        <v>2024.0833333333333</v>
      </c>
      <c r="L51" s="245">
        <v>1531.43</v>
      </c>
      <c r="M51" s="239">
        <f t="shared" si="11"/>
        <v>1531.43</v>
      </c>
      <c r="N51" s="239">
        <f t="shared" si="12"/>
        <v>12.761916666666666</v>
      </c>
      <c r="O51" s="239">
        <f t="shared" si="13"/>
        <v>153.143</v>
      </c>
      <c r="P51" s="261">
        <f t="shared" si="14"/>
        <v>153.143</v>
      </c>
      <c r="Q51" s="261">
        <f t="shared" si="15"/>
        <v>1225.144</v>
      </c>
      <c r="R51" s="261">
        <f t="shared" si="16"/>
        <v>1378.287</v>
      </c>
      <c r="S51" s="261">
        <f t="shared" si="17"/>
        <v>153.14300000000003</v>
      </c>
    </row>
    <row r="52" spans="1:19" s="234" customFormat="1" x14ac:dyDescent="0.2">
      <c r="B52" s="234" t="s">
        <v>434</v>
      </c>
      <c r="C52" s="234" t="s">
        <v>422</v>
      </c>
      <c r="D52" s="232">
        <v>2014</v>
      </c>
      <c r="E52" s="232">
        <v>4</v>
      </c>
      <c r="F52" s="258">
        <v>0</v>
      </c>
      <c r="G52" s="239"/>
      <c r="H52" s="232" t="s">
        <v>351</v>
      </c>
      <c r="I52" s="236">
        <v>10</v>
      </c>
      <c r="J52" s="233">
        <f t="shared" si="9"/>
        <v>2024</v>
      </c>
      <c r="K52" s="237">
        <f t="shared" si="10"/>
        <v>2024.3333333333333</v>
      </c>
      <c r="L52" s="245">
        <v>1318.56</v>
      </c>
      <c r="M52" s="239">
        <f t="shared" si="11"/>
        <v>1318.56</v>
      </c>
      <c r="N52" s="239">
        <f t="shared" si="12"/>
        <v>10.988</v>
      </c>
      <c r="O52" s="239">
        <f t="shared" si="13"/>
        <v>131.85599999999999</v>
      </c>
      <c r="P52" s="261">
        <f t="shared" si="14"/>
        <v>131.85599999999999</v>
      </c>
      <c r="Q52" s="261">
        <f t="shared" si="15"/>
        <v>1054.848</v>
      </c>
      <c r="R52" s="261">
        <f t="shared" si="16"/>
        <v>1186.704</v>
      </c>
      <c r="S52" s="261">
        <f t="shared" si="17"/>
        <v>131.85599999999999</v>
      </c>
    </row>
    <row r="53" spans="1:19" s="234" customFormat="1" x14ac:dyDescent="0.2">
      <c r="B53" s="234" t="s">
        <v>434</v>
      </c>
      <c r="C53" s="234" t="s">
        <v>423</v>
      </c>
      <c r="D53" s="232">
        <v>2014</v>
      </c>
      <c r="E53" s="232">
        <v>4</v>
      </c>
      <c r="F53" s="258">
        <v>0</v>
      </c>
      <c r="G53" s="239"/>
      <c r="H53" s="232" t="s">
        <v>351</v>
      </c>
      <c r="I53" s="236">
        <v>10</v>
      </c>
      <c r="J53" s="233">
        <f t="shared" si="9"/>
        <v>2024</v>
      </c>
      <c r="K53" s="237">
        <f t="shared" si="10"/>
        <v>2024.3333333333333</v>
      </c>
      <c r="L53" s="245">
        <v>1502.64</v>
      </c>
      <c r="M53" s="239">
        <f t="shared" si="11"/>
        <v>1502.64</v>
      </c>
      <c r="N53" s="239">
        <f t="shared" si="12"/>
        <v>12.522</v>
      </c>
      <c r="O53" s="239">
        <f t="shared" si="13"/>
        <v>150.26400000000001</v>
      </c>
      <c r="P53" s="261">
        <f t="shared" si="14"/>
        <v>150.26400000000001</v>
      </c>
      <c r="Q53" s="261">
        <f t="shared" si="15"/>
        <v>1202.1120000000001</v>
      </c>
      <c r="R53" s="261">
        <f t="shared" si="16"/>
        <v>1352.3760000000002</v>
      </c>
      <c r="S53" s="261">
        <f t="shared" si="17"/>
        <v>150.2639999999999</v>
      </c>
    </row>
    <row r="54" spans="1:19" s="234" customFormat="1" x14ac:dyDescent="0.2">
      <c r="B54" s="234" t="s">
        <v>434</v>
      </c>
      <c r="C54" s="234" t="s">
        <v>422</v>
      </c>
      <c r="D54" s="232">
        <v>2014</v>
      </c>
      <c r="E54" s="232">
        <v>4</v>
      </c>
      <c r="F54" s="258">
        <v>0</v>
      </c>
      <c r="G54" s="239"/>
      <c r="H54" s="232" t="s">
        <v>351</v>
      </c>
      <c r="I54" s="236">
        <v>10</v>
      </c>
      <c r="J54" s="233">
        <f t="shared" si="9"/>
        <v>2024</v>
      </c>
      <c r="K54" s="237">
        <f t="shared" si="10"/>
        <v>2024.3333333333333</v>
      </c>
      <c r="L54" s="245">
        <v>1930.8</v>
      </c>
      <c r="M54" s="239">
        <f t="shared" si="11"/>
        <v>1930.8</v>
      </c>
      <c r="N54" s="239">
        <f t="shared" si="12"/>
        <v>16.09</v>
      </c>
      <c r="O54" s="239">
        <f t="shared" si="13"/>
        <v>193.07999999999998</v>
      </c>
      <c r="P54" s="261">
        <f t="shared" si="14"/>
        <v>193.07999999999998</v>
      </c>
      <c r="Q54" s="261">
        <f t="shared" si="15"/>
        <v>1544.6399999999999</v>
      </c>
      <c r="R54" s="261">
        <f t="shared" si="16"/>
        <v>1737.7199999999998</v>
      </c>
      <c r="S54" s="261">
        <f t="shared" si="17"/>
        <v>193.08000000000015</v>
      </c>
    </row>
    <row r="55" spans="1:19" s="234" customFormat="1" x14ac:dyDescent="0.2">
      <c r="B55" s="234" t="s">
        <v>433</v>
      </c>
      <c r="C55" s="234" t="s">
        <v>424</v>
      </c>
      <c r="D55" s="232">
        <v>2014</v>
      </c>
      <c r="E55" s="232">
        <v>5</v>
      </c>
      <c r="F55" s="258">
        <v>0</v>
      </c>
      <c r="G55" s="239"/>
      <c r="H55" s="232" t="s">
        <v>351</v>
      </c>
      <c r="I55" s="236">
        <v>10</v>
      </c>
      <c r="J55" s="233">
        <f t="shared" si="9"/>
        <v>2024</v>
      </c>
      <c r="K55" s="237">
        <f t="shared" si="10"/>
        <v>2024.4166666666667</v>
      </c>
      <c r="L55" s="245">
        <v>966.6</v>
      </c>
      <c r="M55" s="239">
        <f t="shared" si="11"/>
        <v>966.6</v>
      </c>
      <c r="N55" s="239">
        <f t="shared" si="12"/>
        <v>8.0549999999999997</v>
      </c>
      <c r="O55" s="239">
        <f t="shared" si="13"/>
        <v>96.66</v>
      </c>
      <c r="P55" s="261">
        <f t="shared" si="14"/>
        <v>96.66</v>
      </c>
      <c r="Q55" s="261">
        <f t="shared" si="15"/>
        <v>773.28</v>
      </c>
      <c r="R55" s="261">
        <f t="shared" si="16"/>
        <v>869.93999999999994</v>
      </c>
      <c r="S55" s="261">
        <f t="shared" si="17"/>
        <v>96.660000000000082</v>
      </c>
    </row>
    <row r="56" spans="1:19" s="234" customFormat="1" x14ac:dyDescent="0.2">
      <c r="B56" s="234" t="s">
        <v>433</v>
      </c>
      <c r="C56" s="234" t="s">
        <v>425</v>
      </c>
      <c r="D56" s="232">
        <v>2014</v>
      </c>
      <c r="E56" s="232">
        <v>5</v>
      </c>
      <c r="F56" s="258">
        <v>0</v>
      </c>
      <c r="G56" s="239"/>
      <c r="H56" s="232" t="s">
        <v>351</v>
      </c>
      <c r="I56" s="236">
        <v>10</v>
      </c>
      <c r="J56" s="233">
        <f t="shared" si="9"/>
        <v>2024</v>
      </c>
      <c r="K56" s="237">
        <f t="shared" si="10"/>
        <v>2024.4166666666667</v>
      </c>
      <c r="L56" s="245">
        <v>912.6</v>
      </c>
      <c r="M56" s="239">
        <f t="shared" si="11"/>
        <v>912.6</v>
      </c>
      <c r="N56" s="239">
        <f t="shared" si="12"/>
        <v>7.6050000000000004</v>
      </c>
      <c r="O56" s="239">
        <f t="shared" si="13"/>
        <v>91.26</v>
      </c>
      <c r="P56" s="261">
        <f t="shared" si="14"/>
        <v>91.26</v>
      </c>
      <c r="Q56" s="261">
        <f t="shared" si="15"/>
        <v>730.08</v>
      </c>
      <c r="R56" s="261">
        <f t="shared" si="16"/>
        <v>821.34</v>
      </c>
      <c r="S56" s="261">
        <f t="shared" si="17"/>
        <v>91.259999999999991</v>
      </c>
    </row>
    <row r="57" spans="1:19" s="234" customFormat="1" x14ac:dyDescent="0.2">
      <c r="B57" s="234" t="s">
        <v>434</v>
      </c>
      <c r="C57" s="234" t="s">
        <v>423</v>
      </c>
      <c r="D57" s="232">
        <v>2014</v>
      </c>
      <c r="E57" s="232">
        <v>7</v>
      </c>
      <c r="F57" s="258">
        <v>0</v>
      </c>
      <c r="G57" s="239"/>
      <c r="H57" s="232" t="s">
        <v>351</v>
      </c>
      <c r="I57" s="236">
        <v>10</v>
      </c>
      <c r="J57" s="233">
        <f t="shared" si="9"/>
        <v>2024</v>
      </c>
      <c r="K57" s="237">
        <f t="shared" si="10"/>
        <v>2024.5833333333333</v>
      </c>
      <c r="L57" s="245">
        <v>1480.35</v>
      </c>
      <c r="M57" s="239">
        <f t="shared" si="11"/>
        <v>1480.35</v>
      </c>
      <c r="N57" s="239">
        <f t="shared" si="12"/>
        <v>12.33625</v>
      </c>
      <c r="O57" s="239">
        <f t="shared" si="13"/>
        <v>148.035</v>
      </c>
      <c r="P57" s="261">
        <f t="shared" si="14"/>
        <v>148.035</v>
      </c>
      <c r="Q57" s="261">
        <f t="shared" si="15"/>
        <v>1184.28</v>
      </c>
      <c r="R57" s="261">
        <f t="shared" si="16"/>
        <v>1332.3150000000001</v>
      </c>
      <c r="S57" s="261">
        <f t="shared" si="17"/>
        <v>148.03499999999985</v>
      </c>
    </row>
    <row r="58" spans="1:19" s="234" customFormat="1" x14ac:dyDescent="0.2">
      <c r="B58" s="234" t="s">
        <v>433</v>
      </c>
      <c r="C58" s="234" t="s">
        <v>426</v>
      </c>
      <c r="D58" s="232">
        <v>2015</v>
      </c>
      <c r="E58" s="232">
        <v>1</v>
      </c>
      <c r="F58" s="258">
        <v>0</v>
      </c>
      <c r="G58" s="239"/>
      <c r="H58" s="232" t="s">
        <v>351</v>
      </c>
      <c r="I58" s="236">
        <v>10</v>
      </c>
      <c r="J58" s="233">
        <f t="shared" si="9"/>
        <v>2025</v>
      </c>
      <c r="K58" s="237">
        <f t="shared" si="10"/>
        <v>2025.0833333333333</v>
      </c>
      <c r="L58" s="245">
        <v>1072.44</v>
      </c>
      <c r="M58" s="239">
        <f t="shared" si="11"/>
        <v>1072.44</v>
      </c>
      <c r="N58" s="239">
        <f t="shared" si="12"/>
        <v>8.9369999999999994</v>
      </c>
      <c r="O58" s="239">
        <f t="shared" si="13"/>
        <v>107.244</v>
      </c>
      <c r="P58" s="261">
        <f t="shared" si="14"/>
        <v>107.244</v>
      </c>
      <c r="Q58" s="261">
        <f t="shared" si="15"/>
        <v>750.70799999999997</v>
      </c>
      <c r="R58" s="261">
        <f t="shared" si="16"/>
        <v>857.952</v>
      </c>
      <c r="S58" s="261">
        <f t="shared" si="17"/>
        <v>214.48800000000006</v>
      </c>
    </row>
    <row r="59" spans="1:19" s="234" customFormat="1" x14ac:dyDescent="0.2">
      <c r="B59" s="234" t="s">
        <v>433</v>
      </c>
      <c r="C59" s="234" t="s">
        <v>426</v>
      </c>
      <c r="D59" s="232">
        <v>2015</v>
      </c>
      <c r="E59" s="232">
        <v>6</v>
      </c>
      <c r="F59" s="258">
        <v>0</v>
      </c>
      <c r="G59" s="239"/>
      <c r="H59" s="232" t="s">
        <v>351</v>
      </c>
      <c r="I59" s="236">
        <v>10</v>
      </c>
      <c r="J59" s="233">
        <f t="shared" si="9"/>
        <v>2025</v>
      </c>
      <c r="K59" s="237">
        <f t="shared" si="10"/>
        <v>2025.5</v>
      </c>
      <c r="L59" s="245">
        <v>1072.44</v>
      </c>
      <c r="M59" s="239">
        <f t="shared" si="11"/>
        <v>1072.44</v>
      </c>
      <c r="N59" s="239">
        <f t="shared" si="12"/>
        <v>8.9369999999999994</v>
      </c>
      <c r="O59" s="239">
        <f t="shared" si="13"/>
        <v>107.244</v>
      </c>
      <c r="P59" s="261">
        <f t="shared" si="14"/>
        <v>107.244</v>
      </c>
      <c r="Q59" s="261">
        <f t="shared" si="15"/>
        <v>750.70799999999997</v>
      </c>
      <c r="R59" s="261">
        <f t="shared" si="16"/>
        <v>857.952</v>
      </c>
      <c r="S59" s="261">
        <f t="shared" si="17"/>
        <v>214.48800000000006</v>
      </c>
    </row>
    <row r="60" spans="1:19" s="234" customFormat="1" x14ac:dyDescent="0.2">
      <c r="B60" s="234" t="s">
        <v>433</v>
      </c>
      <c r="C60" s="234" t="s">
        <v>427</v>
      </c>
      <c r="D60" s="232">
        <v>2015</v>
      </c>
      <c r="E60" s="232">
        <v>9</v>
      </c>
      <c r="F60" s="258">
        <v>0</v>
      </c>
      <c r="G60" s="239"/>
      <c r="H60" s="232" t="s">
        <v>351</v>
      </c>
      <c r="I60" s="236">
        <v>10</v>
      </c>
      <c r="J60" s="233">
        <f t="shared" si="9"/>
        <v>2025</v>
      </c>
      <c r="K60" s="237">
        <f t="shared" si="10"/>
        <v>2025.75</v>
      </c>
      <c r="L60" s="245">
        <v>1015.2</v>
      </c>
      <c r="M60" s="239">
        <f t="shared" si="11"/>
        <v>1015.2</v>
      </c>
      <c r="N60" s="239">
        <f t="shared" si="12"/>
        <v>8.4600000000000009</v>
      </c>
      <c r="O60" s="239">
        <f t="shared" si="13"/>
        <v>101.52000000000001</v>
      </c>
      <c r="P60" s="261">
        <f t="shared" si="14"/>
        <v>101.52000000000001</v>
      </c>
      <c r="Q60" s="261">
        <f t="shared" si="15"/>
        <v>710.6400000000001</v>
      </c>
      <c r="R60" s="261">
        <f t="shared" si="16"/>
        <v>812.16000000000008</v>
      </c>
      <c r="S60" s="261">
        <f t="shared" si="17"/>
        <v>203.03999999999996</v>
      </c>
    </row>
    <row r="61" spans="1:19" s="234" customFormat="1" x14ac:dyDescent="0.2">
      <c r="B61" s="234" t="s">
        <v>433</v>
      </c>
      <c r="C61" s="234" t="s">
        <v>426</v>
      </c>
      <c r="D61" s="232">
        <v>2015</v>
      </c>
      <c r="E61" s="232">
        <v>12</v>
      </c>
      <c r="F61" s="258">
        <v>0</v>
      </c>
      <c r="G61" s="239"/>
      <c r="H61" s="232" t="s">
        <v>351</v>
      </c>
      <c r="I61" s="236">
        <v>10</v>
      </c>
      <c r="J61" s="233">
        <f t="shared" si="9"/>
        <v>2025</v>
      </c>
      <c r="K61" s="237">
        <f t="shared" si="10"/>
        <v>2026</v>
      </c>
      <c r="L61" s="245">
        <v>1072.44</v>
      </c>
      <c r="M61" s="239">
        <f t="shared" si="11"/>
        <v>1072.44</v>
      </c>
      <c r="N61" s="239">
        <f t="shared" si="12"/>
        <v>8.9369999999999994</v>
      </c>
      <c r="O61" s="239">
        <f t="shared" si="13"/>
        <v>107.244</v>
      </c>
      <c r="P61" s="261">
        <f t="shared" si="14"/>
        <v>107.244</v>
      </c>
      <c r="Q61" s="261">
        <f t="shared" si="15"/>
        <v>750.70799999999997</v>
      </c>
      <c r="R61" s="261">
        <f t="shared" si="16"/>
        <v>857.952</v>
      </c>
      <c r="S61" s="261">
        <f t="shared" si="17"/>
        <v>214.48800000000006</v>
      </c>
    </row>
    <row r="62" spans="1:19" s="234" customFormat="1" x14ac:dyDescent="0.2">
      <c r="B62" s="234" t="s">
        <v>436</v>
      </c>
      <c r="C62" s="234" t="s">
        <v>428</v>
      </c>
      <c r="D62" s="232">
        <v>2016</v>
      </c>
      <c r="E62" s="232">
        <v>6</v>
      </c>
      <c r="F62" s="258">
        <v>0</v>
      </c>
      <c r="G62" s="239"/>
      <c r="H62" s="232" t="s">
        <v>351</v>
      </c>
      <c r="I62" s="236">
        <v>10</v>
      </c>
      <c r="J62" s="233">
        <f t="shared" si="9"/>
        <v>2026</v>
      </c>
      <c r="K62" s="237">
        <f t="shared" si="10"/>
        <v>2026.5</v>
      </c>
      <c r="L62" s="245">
        <v>3620.16</v>
      </c>
      <c r="M62" s="239">
        <f t="shared" si="11"/>
        <v>3620.16</v>
      </c>
      <c r="N62" s="239">
        <f t="shared" si="12"/>
        <v>30.167999999999996</v>
      </c>
      <c r="O62" s="239">
        <f t="shared" si="13"/>
        <v>362.01599999999996</v>
      </c>
      <c r="P62" s="261">
        <f t="shared" si="14"/>
        <v>362.01599999999996</v>
      </c>
      <c r="Q62" s="261">
        <f t="shared" si="15"/>
        <v>2172.0959999999995</v>
      </c>
      <c r="R62" s="261">
        <f t="shared" si="16"/>
        <v>2534.1119999999996</v>
      </c>
      <c r="S62" s="261">
        <f t="shared" si="17"/>
        <v>1086.0480000000002</v>
      </c>
    </row>
    <row r="63" spans="1:19" s="234" customFormat="1" x14ac:dyDescent="0.2">
      <c r="B63" s="234" t="s">
        <v>436</v>
      </c>
      <c r="C63" s="234" t="s">
        <v>429</v>
      </c>
      <c r="D63" s="232">
        <v>2017</v>
      </c>
      <c r="E63" s="232">
        <v>3</v>
      </c>
      <c r="F63" s="258">
        <v>0</v>
      </c>
      <c r="G63" s="239"/>
      <c r="H63" s="232" t="s">
        <v>351</v>
      </c>
      <c r="I63" s="236">
        <v>10</v>
      </c>
      <c r="J63" s="233">
        <f t="shared" si="9"/>
        <v>2027</v>
      </c>
      <c r="K63" s="237">
        <f t="shared" si="10"/>
        <v>2027.25</v>
      </c>
      <c r="L63" s="245">
        <v>3515.41</v>
      </c>
      <c r="M63" s="239">
        <f t="shared" si="11"/>
        <v>3515.41</v>
      </c>
      <c r="N63" s="239">
        <f t="shared" si="12"/>
        <v>29.295083333333334</v>
      </c>
      <c r="O63" s="239">
        <f t="shared" si="13"/>
        <v>351.541</v>
      </c>
      <c r="P63" s="261">
        <f t="shared" si="14"/>
        <v>351.541</v>
      </c>
      <c r="Q63" s="261">
        <f t="shared" si="15"/>
        <v>1757.7049999999999</v>
      </c>
      <c r="R63" s="261">
        <f t="shared" si="16"/>
        <v>2109.2460000000001</v>
      </c>
      <c r="S63" s="261">
        <f t="shared" si="17"/>
        <v>1406.1639999999998</v>
      </c>
    </row>
    <row r="64" spans="1:19" s="234" customFormat="1" ht="12.75" customHeight="1" x14ac:dyDescent="0.2">
      <c r="B64" s="234" t="s">
        <v>432</v>
      </c>
      <c r="C64" s="234" t="s">
        <v>430</v>
      </c>
      <c r="D64" s="232">
        <v>2017</v>
      </c>
      <c r="E64" s="232">
        <v>3</v>
      </c>
      <c r="F64" s="258">
        <v>0</v>
      </c>
      <c r="G64" s="239"/>
      <c r="H64" s="232" t="s">
        <v>351</v>
      </c>
      <c r="I64" s="236">
        <v>10</v>
      </c>
      <c r="J64" s="233">
        <f t="shared" si="9"/>
        <v>2027</v>
      </c>
      <c r="K64" s="237">
        <f t="shared" si="10"/>
        <v>2027.25</v>
      </c>
      <c r="L64" s="245">
        <v>2717.63</v>
      </c>
      <c r="M64" s="239">
        <f t="shared" si="11"/>
        <v>2717.63</v>
      </c>
      <c r="N64" s="239">
        <f t="shared" si="12"/>
        <v>22.646916666666669</v>
      </c>
      <c r="O64" s="239">
        <f t="shared" si="13"/>
        <v>271.76300000000003</v>
      </c>
      <c r="P64" s="261">
        <f t="shared" si="14"/>
        <v>271.76300000000003</v>
      </c>
      <c r="Q64" s="261">
        <f t="shared" si="15"/>
        <v>1358.8150000000001</v>
      </c>
      <c r="R64" s="261">
        <f t="shared" si="16"/>
        <v>1630.578</v>
      </c>
      <c r="S64" s="261">
        <f t="shared" si="17"/>
        <v>1087.0520000000001</v>
      </c>
    </row>
    <row r="65" spans="1:19" x14ac:dyDescent="0.2">
      <c r="B65" s="92"/>
      <c r="C65" s="134"/>
      <c r="F65" s="95"/>
      <c r="G65" s="63"/>
      <c r="H65" s="60"/>
      <c r="I65" s="82"/>
      <c r="J65" s="62"/>
      <c r="L65" s="93"/>
      <c r="M65" s="63"/>
      <c r="N65" s="63"/>
      <c r="O65" s="63"/>
      <c r="P65" s="63"/>
      <c r="Q65" s="63"/>
      <c r="R65" s="63"/>
      <c r="S65" s="63"/>
    </row>
    <row r="66" spans="1:19" x14ac:dyDescent="0.2">
      <c r="B66" s="60"/>
      <c r="C66" s="135" t="s">
        <v>745</v>
      </c>
      <c r="D66" s="136"/>
      <c r="E66" s="137"/>
      <c r="F66" s="137"/>
      <c r="G66" s="138"/>
      <c r="H66" s="139"/>
      <c r="I66" s="140"/>
      <c r="J66" s="141"/>
      <c r="K66" s="138"/>
      <c r="L66" s="142">
        <f t="shared" ref="L66:S66" si="18">SUM(L12:L65)</f>
        <v>67544.250000000015</v>
      </c>
      <c r="M66" s="142">
        <f t="shared" si="18"/>
        <v>67544.250000000015</v>
      </c>
      <c r="N66" s="142">
        <f t="shared" si="18"/>
        <v>645.69095833333336</v>
      </c>
      <c r="O66" s="142">
        <f t="shared" si="18"/>
        <v>7748.2914999999994</v>
      </c>
      <c r="P66" s="142">
        <f t="shared" si="18"/>
        <v>2778.9589999999998</v>
      </c>
      <c r="Q66" s="142">
        <f t="shared" si="18"/>
        <v>58969.135999999999</v>
      </c>
      <c r="R66" s="142">
        <f t="shared" si="18"/>
        <v>61748.094999999994</v>
      </c>
      <c r="S66" s="142">
        <f t="shared" si="18"/>
        <v>5796.1550000000007</v>
      </c>
    </row>
    <row r="67" spans="1:19" x14ac:dyDescent="0.2">
      <c r="B67" s="60"/>
      <c r="C67" s="73"/>
      <c r="D67" s="37"/>
      <c r="E67" s="95"/>
      <c r="F67" s="95"/>
      <c r="H67" s="60"/>
      <c r="I67" s="82"/>
      <c r="J67" s="62"/>
      <c r="L67" s="143"/>
      <c r="M67" s="63"/>
      <c r="N67" s="63"/>
      <c r="O67" s="63" t="s">
        <v>319</v>
      </c>
      <c r="P67" s="63"/>
      <c r="Q67" s="63"/>
      <c r="R67" s="63"/>
      <c r="S67" s="63"/>
    </row>
    <row r="68" spans="1:19" x14ac:dyDescent="0.2">
      <c r="B68" s="60"/>
      <c r="C68" s="70" t="s">
        <v>358</v>
      </c>
      <c r="D68" s="37"/>
      <c r="E68" s="95"/>
      <c r="F68" s="95"/>
      <c r="H68" s="60"/>
      <c r="I68" s="82"/>
      <c r="J68" s="62"/>
      <c r="L68" s="143"/>
      <c r="M68" s="63"/>
      <c r="N68" s="63"/>
      <c r="O68" s="63"/>
      <c r="P68" s="63"/>
      <c r="Q68" s="63"/>
      <c r="R68" s="63"/>
      <c r="S68" s="63"/>
    </row>
    <row r="69" spans="1:19" x14ac:dyDescent="0.2">
      <c r="A69" s="232"/>
      <c r="B69" s="234" t="s">
        <v>434</v>
      </c>
      <c r="C69" s="234" t="s">
        <v>375</v>
      </c>
      <c r="D69" s="232">
        <v>2005</v>
      </c>
      <c r="E69" s="232">
        <v>6</v>
      </c>
      <c r="F69" s="258">
        <v>0</v>
      </c>
      <c r="G69" s="239"/>
      <c r="H69" s="232" t="s">
        <v>351</v>
      </c>
      <c r="I69" s="236">
        <v>8</v>
      </c>
      <c r="J69" s="233">
        <f t="shared" ref="J69:J103" si="19">D69+I69</f>
        <v>2013</v>
      </c>
      <c r="K69" s="237">
        <f t="shared" ref="K69:K103" si="20">+J69+(E69/12)</f>
        <v>2013.5</v>
      </c>
      <c r="L69" s="238">
        <v>10893.01</v>
      </c>
      <c r="M69" s="239">
        <f t="shared" ref="M69:M103" si="21">L69-L69*F69</f>
        <v>10893.01</v>
      </c>
      <c r="N69" s="239">
        <f t="shared" ref="N69:N103" si="22">M69/I69/12</f>
        <v>113.46885416666667</v>
      </c>
      <c r="O69" s="239">
        <f t="shared" ref="O69:O103" si="23">+N69*12</f>
        <v>1361.62625</v>
      </c>
      <c r="P69" s="261">
        <f t="shared" ref="P69:P103" si="24">+IF(K69&lt;=$M$5,0,IF(J69&gt;$M$4,O69,(N69*E69)))</f>
        <v>0</v>
      </c>
      <c r="Q69" s="261">
        <f t="shared" ref="Q69:Q103" si="25">+IF(P69=0,M69,IF($M$3-D69&lt;1,0,(($M$3-D69)*O69)))</f>
        <v>10893.01</v>
      </c>
      <c r="R69" s="261">
        <f t="shared" ref="R69:R103" si="26">+IF(P69=0,Q69,Q69+P69)</f>
        <v>10893.01</v>
      </c>
      <c r="S69" s="261">
        <f t="shared" ref="S69:S103" si="27">+L69-R69</f>
        <v>0</v>
      </c>
    </row>
    <row r="70" spans="1:19" x14ac:dyDescent="0.2">
      <c r="A70" s="232"/>
      <c r="B70" s="234" t="s">
        <v>433</v>
      </c>
      <c r="C70" s="234" t="s">
        <v>376</v>
      </c>
      <c r="D70" s="232">
        <v>2005</v>
      </c>
      <c r="E70" s="232">
        <v>6</v>
      </c>
      <c r="F70" s="258">
        <v>0</v>
      </c>
      <c r="G70" s="239"/>
      <c r="H70" s="232" t="s">
        <v>351</v>
      </c>
      <c r="I70" s="236">
        <v>8</v>
      </c>
      <c r="J70" s="233">
        <f t="shared" si="19"/>
        <v>2013</v>
      </c>
      <c r="K70" s="237">
        <f t="shared" si="20"/>
        <v>2013.5</v>
      </c>
      <c r="L70" s="238">
        <v>4106.99</v>
      </c>
      <c r="M70" s="239">
        <f t="shared" si="21"/>
        <v>4106.99</v>
      </c>
      <c r="N70" s="239">
        <f t="shared" si="22"/>
        <v>42.781145833333333</v>
      </c>
      <c r="O70" s="239">
        <f t="shared" si="23"/>
        <v>513.37374999999997</v>
      </c>
      <c r="P70" s="261">
        <f t="shared" si="24"/>
        <v>0</v>
      </c>
      <c r="Q70" s="261">
        <f t="shared" si="25"/>
        <v>4106.99</v>
      </c>
      <c r="R70" s="261">
        <f t="shared" si="26"/>
        <v>4106.99</v>
      </c>
      <c r="S70" s="261">
        <f t="shared" si="27"/>
        <v>0</v>
      </c>
    </row>
    <row r="71" spans="1:19" x14ac:dyDescent="0.2">
      <c r="A71" s="232"/>
      <c r="B71" s="234" t="s">
        <v>432</v>
      </c>
      <c r="C71" s="234" t="s">
        <v>377</v>
      </c>
      <c r="D71" s="232">
        <v>2007</v>
      </c>
      <c r="E71" s="232">
        <v>7</v>
      </c>
      <c r="F71" s="258">
        <v>0</v>
      </c>
      <c r="G71" s="239"/>
      <c r="H71" s="232" t="s">
        <v>351</v>
      </c>
      <c r="I71" s="236">
        <v>8</v>
      </c>
      <c r="J71" s="233">
        <f t="shared" si="19"/>
        <v>2015</v>
      </c>
      <c r="K71" s="237">
        <f t="shared" si="20"/>
        <v>2015.5833333333333</v>
      </c>
      <c r="L71" s="238">
        <v>20778.919999999998</v>
      </c>
      <c r="M71" s="239">
        <f t="shared" si="21"/>
        <v>20778.919999999998</v>
      </c>
      <c r="N71" s="239">
        <f t="shared" si="22"/>
        <v>216.44708333333332</v>
      </c>
      <c r="O71" s="239">
        <f t="shared" si="23"/>
        <v>2597.3649999999998</v>
      </c>
      <c r="P71" s="261">
        <f t="shared" si="24"/>
        <v>0</v>
      </c>
      <c r="Q71" s="261">
        <f t="shared" si="25"/>
        <v>20778.919999999998</v>
      </c>
      <c r="R71" s="261">
        <f t="shared" si="26"/>
        <v>20778.919999999998</v>
      </c>
      <c r="S71" s="261">
        <f t="shared" si="27"/>
        <v>0</v>
      </c>
    </row>
    <row r="72" spans="1:19" s="234" customFormat="1" x14ac:dyDescent="0.2">
      <c r="A72" s="232"/>
      <c r="B72" s="234" t="s">
        <v>431</v>
      </c>
      <c r="C72" s="234" t="s">
        <v>378</v>
      </c>
      <c r="D72" s="232">
        <v>2009</v>
      </c>
      <c r="E72" s="232">
        <v>4</v>
      </c>
      <c r="F72" s="258">
        <v>0</v>
      </c>
      <c r="G72" s="239"/>
      <c r="H72" s="232" t="s">
        <v>351</v>
      </c>
      <c r="I72" s="236">
        <v>8</v>
      </c>
      <c r="J72" s="233">
        <f t="shared" ref="J72:J77" si="28">D72+I72</f>
        <v>2017</v>
      </c>
      <c r="K72" s="237">
        <f t="shared" ref="K72:K77" si="29">+J72+(E72/12)</f>
        <v>2017.3333333333333</v>
      </c>
      <c r="L72" s="238">
        <v>539.5</v>
      </c>
      <c r="M72" s="239">
        <f t="shared" ref="M72:M77" si="30">L72-L72*F72</f>
        <v>539.5</v>
      </c>
      <c r="N72" s="239">
        <f t="shared" ref="N72:N77" si="31">M72/I72/12</f>
        <v>5.619791666666667</v>
      </c>
      <c r="O72" s="239">
        <f t="shared" ref="O72:O77" si="32">+N72*12</f>
        <v>67.4375</v>
      </c>
      <c r="P72" s="261">
        <f t="shared" ref="P72:P77" si="33">+IF(K72&lt;=$M$5,0,IF(J72&gt;$M$4,O72,(N72*E72)))</f>
        <v>0</v>
      </c>
      <c r="Q72" s="261">
        <f t="shared" ref="Q72:Q77" si="34">+IF(P72=0,M72,IF($M$3-D72&lt;1,0,(($M$3-D72)*O72)))</f>
        <v>539.5</v>
      </c>
      <c r="R72" s="261">
        <f t="shared" ref="R72:R77" si="35">+IF(P72=0,Q72,Q72+P72)</f>
        <v>539.5</v>
      </c>
      <c r="S72" s="261">
        <f t="shared" ref="S72:S77" si="36">+L72-R72</f>
        <v>0</v>
      </c>
    </row>
    <row r="73" spans="1:19" s="234" customFormat="1" x14ac:dyDescent="0.2">
      <c r="A73" s="232"/>
      <c r="B73" s="257">
        <v>1</v>
      </c>
      <c r="C73" s="234" t="s">
        <v>379</v>
      </c>
      <c r="D73" s="232">
        <v>2009</v>
      </c>
      <c r="E73" s="232">
        <v>4</v>
      </c>
      <c r="F73" s="258">
        <v>0</v>
      </c>
      <c r="G73" s="239"/>
      <c r="H73" s="232" t="s">
        <v>351</v>
      </c>
      <c r="I73" s="236">
        <v>8</v>
      </c>
      <c r="J73" s="233">
        <f t="shared" si="28"/>
        <v>2017</v>
      </c>
      <c r="K73" s="237">
        <f t="shared" si="29"/>
        <v>2017.3333333333333</v>
      </c>
      <c r="L73" s="238">
        <v>695.96</v>
      </c>
      <c r="M73" s="239">
        <f t="shared" si="30"/>
        <v>695.96</v>
      </c>
      <c r="N73" s="239">
        <f t="shared" si="31"/>
        <v>7.2495833333333337</v>
      </c>
      <c r="O73" s="239">
        <f t="shared" si="32"/>
        <v>86.995000000000005</v>
      </c>
      <c r="P73" s="261">
        <f t="shared" si="33"/>
        <v>0</v>
      </c>
      <c r="Q73" s="261">
        <f t="shared" si="34"/>
        <v>695.96</v>
      </c>
      <c r="R73" s="261">
        <f t="shared" si="35"/>
        <v>695.96</v>
      </c>
      <c r="S73" s="261">
        <f t="shared" si="36"/>
        <v>0</v>
      </c>
    </row>
    <row r="74" spans="1:19" s="234" customFormat="1" x14ac:dyDescent="0.2">
      <c r="A74" s="232"/>
      <c r="B74" s="257">
        <v>1</v>
      </c>
      <c r="C74" s="234" t="s">
        <v>380</v>
      </c>
      <c r="D74" s="232">
        <v>2009</v>
      </c>
      <c r="E74" s="232">
        <v>4</v>
      </c>
      <c r="F74" s="258">
        <v>0</v>
      </c>
      <c r="G74" s="239"/>
      <c r="H74" s="232" t="s">
        <v>351</v>
      </c>
      <c r="I74" s="236">
        <v>8</v>
      </c>
      <c r="J74" s="233">
        <f t="shared" si="28"/>
        <v>2017</v>
      </c>
      <c r="K74" s="237">
        <f t="shared" si="29"/>
        <v>2017.3333333333333</v>
      </c>
      <c r="L74" s="238">
        <v>900.97</v>
      </c>
      <c r="M74" s="239">
        <f t="shared" si="30"/>
        <v>900.97</v>
      </c>
      <c r="N74" s="239">
        <f t="shared" si="31"/>
        <v>9.3851041666666664</v>
      </c>
      <c r="O74" s="239">
        <f t="shared" si="32"/>
        <v>112.62125</v>
      </c>
      <c r="P74" s="261">
        <f t="shared" si="33"/>
        <v>0</v>
      </c>
      <c r="Q74" s="261">
        <f t="shared" si="34"/>
        <v>900.97</v>
      </c>
      <c r="R74" s="261">
        <f t="shared" si="35"/>
        <v>900.97</v>
      </c>
      <c r="S74" s="261">
        <f t="shared" si="36"/>
        <v>0</v>
      </c>
    </row>
    <row r="75" spans="1:19" s="234" customFormat="1" x14ac:dyDescent="0.2">
      <c r="A75" s="232"/>
      <c r="B75" s="257">
        <v>2</v>
      </c>
      <c r="C75" s="234" t="s">
        <v>381</v>
      </c>
      <c r="D75" s="232">
        <v>2009</v>
      </c>
      <c r="E75" s="232">
        <v>4</v>
      </c>
      <c r="F75" s="258">
        <v>0</v>
      </c>
      <c r="G75" s="239"/>
      <c r="H75" s="232" t="s">
        <v>351</v>
      </c>
      <c r="I75" s="236">
        <v>8</v>
      </c>
      <c r="J75" s="233">
        <f t="shared" si="28"/>
        <v>2017</v>
      </c>
      <c r="K75" s="237">
        <f t="shared" si="29"/>
        <v>2017.3333333333333</v>
      </c>
      <c r="L75" s="238">
        <v>1640.08</v>
      </c>
      <c r="M75" s="239">
        <f t="shared" si="30"/>
        <v>1640.08</v>
      </c>
      <c r="N75" s="239">
        <f t="shared" si="31"/>
        <v>17.084166666666665</v>
      </c>
      <c r="O75" s="239">
        <f t="shared" si="32"/>
        <v>205.01</v>
      </c>
      <c r="P75" s="261">
        <f t="shared" si="33"/>
        <v>0</v>
      </c>
      <c r="Q75" s="261">
        <f t="shared" si="34"/>
        <v>1640.08</v>
      </c>
      <c r="R75" s="261">
        <f t="shared" si="35"/>
        <v>1640.08</v>
      </c>
      <c r="S75" s="261">
        <f t="shared" si="36"/>
        <v>0</v>
      </c>
    </row>
    <row r="76" spans="1:19" s="234" customFormat="1" x14ac:dyDescent="0.2">
      <c r="A76" s="232"/>
      <c r="B76" s="257">
        <v>50</v>
      </c>
      <c r="C76" s="234" t="s">
        <v>382</v>
      </c>
      <c r="D76" s="232">
        <v>2010</v>
      </c>
      <c r="E76" s="232">
        <v>6</v>
      </c>
      <c r="F76" s="258">
        <v>0</v>
      </c>
      <c r="G76" s="239"/>
      <c r="H76" s="232" t="s">
        <v>351</v>
      </c>
      <c r="I76" s="236">
        <v>8</v>
      </c>
      <c r="J76" s="233">
        <f t="shared" si="28"/>
        <v>2018</v>
      </c>
      <c r="K76" s="237">
        <f t="shared" si="29"/>
        <v>2018.5</v>
      </c>
      <c r="L76" s="238">
        <v>3223.45</v>
      </c>
      <c r="M76" s="239">
        <f t="shared" si="30"/>
        <v>3223.45</v>
      </c>
      <c r="N76" s="239">
        <f t="shared" si="31"/>
        <v>33.577604166666667</v>
      </c>
      <c r="O76" s="239">
        <f t="shared" si="32"/>
        <v>402.93124999999998</v>
      </c>
      <c r="P76" s="261">
        <f t="shared" si="33"/>
        <v>0</v>
      </c>
      <c r="Q76" s="261">
        <f t="shared" si="34"/>
        <v>3223.45</v>
      </c>
      <c r="R76" s="261">
        <f t="shared" si="35"/>
        <v>3223.45</v>
      </c>
      <c r="S76" s="261">
        <f t="shared" si="36"/>
        <v>0</v>
      </c>
    </row>
    <row r="77" spans="1:19" s="234" customFormat="1" x14ac:dyDescent="0.2">
      <c r="A77" s="232"/>
      <c r="B77" s="257">
        <v>50</v>
      </c>
      <c r="C77" s="234" t="s">
        <v>383</v>
      </c>
      <c r="D77" s="232">
        <v>2010</v>
      </c>
      <c r="E77" s="232">
        <v>7</v>
      </c>
      <c r="F77" s="258">
        <v>0</v>
      </c>
      <c r="G77" s="239"/>
      <c r="H77" s="232" t="s">
        <v>351</v>
      </c>
      <c r="I77" s="236">
        <v>8</v>
      </c>
      <c r="J77" s="233">
        <f t="shared" si="28"/>
        <v>2018</v>
      </c>
      <c r="K77" s="237">
        <f t="shared" si="29"/>
        <v>2018.5833333333333</v>
      </c>
      <c r="L77" s="238">
        <v>2381.4299999999998</v>
      </c>
      <c r="M77" s="239">
        <f t="shared" si="30"/>
        <v>2381.4299999999998</v>
      </c>
      <c r="N77" s="239">
        <f t="shared" si="31"/>
        <v>24.806562499999998</v>
      </c>
      <c r="O77" s="239">
        <f t="shared" si="32"/>
        <v>297.67874999999998</v>
      </c>
      <c r="P77" s="261">
        <f t="shared" si="33"/>
        <v>0</v>
      </c>
      <c r="Q77" s="261">
        <f t="shared" si="34"/>
        <v>2381.4299999999998</v>
      </c>
      <c r="R77" s="261">
        <f t="shared" si="35"/>
        <v>2381.4299999999998</v>
      </c>
      <c r="S77" s="261">
        <f t="shared" si="36"/>
        <v>0</v>
      </c>
    </row>
    <row r="78" spans="1:19" x14ac:dyDescent="0.2">
      <c r="A78" s="232"/>
      <c r="B78" s="234" t="s">
        <v>433</v>
      </c>
      <c r="C78" s="234" t="s">
        <v>384</v>
      </c>
      <c r="D78" s="232">
        <v>2010</v>
      </c>
      <c r="E78" s="232">
        <v>8</v>
      </c>
      <c r="F78" s="258">
        <v>0</v>
      </c>
      <c r="G78" s="239"/>
      <c r="H78" s="232" t="s">
        <v>351</v>
      </c>
      <c r="I78" s="236">
        <v>8</v>
      </c>
      <c r="J78" s="233">
        <f t="shared" si="19"/>
        <v>2018</v>
      </c>
      <c r="K78" s="237">
        <f t="shared" si="20"/>
        <v>2018.6666666666667</v>
      </c>
      <c r="L78" s="238">
        <v>6832.23</v>
      </c>
      <c r="M78" s="239">
        <f t="shared" si="21"/>
        <v>6832.23</v>
      </c>
      <c r="N78" s="239">
        <f t="shared" si="22"/>
        <v>71.169062499999995</v>
      </c>
      <c r="O78" s="239">
        <f t="shared" si="23"/>
        <v>854.02874999999995</v>
      </c>
      <c r="P78" s="261">
        <f t="shared" si="24"/>
        <v>0</v>
      </c>
      <c r="Q78" s="261">
        <f t="shared" si="25"/>
        <v>6832.23</v>
      </c>
      <c r="R78" s="261">
        <f t="shared" si="26"/>
        <v>6832.23</v>
      </c>
      <c r="S78" s="261">
        <f t="shared" si="27"/>
        <v>0</v>
      </c>
    </row>
    <row r="79" spans="1:19" x14ac:dyDescent="0.2">
      <c r="A79" s="232"/>
      <c r="B79" s="234" t="s">
        <v>433</v>
      </c>
      <c r="C79" s="234" t="s">
        <v>385</v>
      </c>
      <c r="D79" s="232">
        <v>2013</v>
      </c>
      <c r="E79" s="232">
        <v>6</v>
      </c>
      <c r="F79" s="258">
        <v>0</v>
      </c>
      <c r="G79" s="239"/>
      <c r="H79" s="232" t="s">
        <v>351</v>
      </c>
      <c r="I79" s="236">
        <v>8</v>
      </c>
      <c r="J79" s="233">
        <f t="shared" si="19"/>
        <v>2021</v>
      </c>
      <c r="K79" s="237">
        <f t="shared" si="20"/>
        <v>2021.5</v>
      </c>
      <c r="L79" s="238">
        <v>8639.61</v>
      </c>
      <c r="M79" s="239">
        <f t="shared" si="21"/>
        <v>8639.61</v>
      </c>
      <c r="N79" s="239">
        <f t="shared" si="22"/>
        <v>89.995937500000011</v>
      </c>
      <c r="O79" s="239">
        <f t="shared" si="23"/>
        <v>1079.9512500000001</v>
      </c>
      <c r="P79" s="261">
        <f t="shared" si="24"/>
        <v>0</v>
      </c>
      <c r="Q79" s="261">
        <f t="shared" si="25"/>
        <v>8639.61</v>
      </c>
      <c r="R79" s="261">
        <f t="shared" si="26"/>
        <v>8639.61</v>
      </c>
      <c r="S79" s="261">
        <f t="shared" si="27"/>
        <v>0</v>
      </c>
    </row>
    <row r="80" spans="1:19" x14ac:dyDescent="0.2">
      <c r="A80" s="232"/>
      <c r="B80" s="234" t="s">
        <v>433</v>
      </c>
      <c r="C80" s="234" t="s">
        <v>385</v>
      </c>
      <c r="D80" s="232">
        <v>2013</v>
      </c>
      <c r="E80" s="232">
        <v>7</v>
      </c>
      <c r="F80" s="258">
        <v>0</v>
      </c>
      <c r="G80" s="239"/>
      <c r="H80" s="232" t="s">
        <v>351</v>
      </c>
      <c r="I80" s="236">
        <v>8</v>
      </c>
      <c r="J80" s="233">
        <f t="shared" si="19"/>
        <v>2021</v>
      </c>
      <c r="K80" s="237">
        <f t="shared" si="20"/>
        <v>2021.5833333333333</v>
      </c>
      <c r="L80" s="238">
        <v>8639.61</v>
      </c>
      <c r="M80" s="239">
        <f t="shared" si="21"/>
        <v>8639.61</v>
      </c>
      <c r="N80" s="239">
        <f t="shared" si="22"/>
        <v>89.995937500000011</v>
      </c>
      <c r="O80" s="239">
        <f t="shared" si="23"/>
        <v>1079.9512500000001</v>
      </c>
      <c r="P80" s="261">
        <f t="shared" si="24"/>
        <v>0</v>
      </c>
      <c r="Q80" s="261">
        <f t="shared" si="25"/>
        <v>8639.61</v>
      </c>
      <c r="R80" s="261">
        <f t="shared" si="26"/>
        <v>8639.61</v>
      </c>
      <c r="S80" s="261">
        <f t="shared" si="27"/>
        <v>0</v>
      </c>
    </row>
    <row r="81" spans="1:19" s="234" customFormat="1" x14ac:dyDescent="0.2">
      <c r="A81" s="232"/>
      <c r="B81" s="234" t="s">
        <v>433</v>
      </c>
      <c r="C81" s="234" t="s">
        <v>385</v>
      </c>
      <c r="D81" s="232">
        <v>2013</v>
      </c>
      <c r="E81" s="232">
        <v>10</v>
      </c>
      <c r="F81" s="258">
        <v>0</v>
      </c>
      <c r="G81" s="239"/>
      <c r="H81" s="232" t="s">
        <v>351</v>
      </c>
      <c r="I81" s="236">
        <v>8</v>
      </c>
      <c r="J81" s="233">
        <f t="shared" si="19"/>
        <v>2021</v>
      </c>
      <c r="K81" s="237">
        <f t="shared" si="20"/>
        <v>2021.8333333333333</v>
      </c>
      <c r="L81" s="238">
        <v>8501.76</v>
      </c>
      <c r="M81" s="239">
        <f t="shared" si="21"/>
        <v>8501.76</v>
      </c>
      <c r="N81" s="239">
        <f t="shared" si="22"/>
        <v>88.56</v>
      </c>
      <c r="O81" s="239">
        <f t="shared" si="23"/>
        <v>1062.72</v>
      </c>
      <c r="P81" s="261">
        <f t="shared" si="24"/>
        <v>0</v>
      </c>
      <c r="Q81" s="261">
        <f t="shared" si="25"/>
        <v>8501.76</v>
      </c>
      <c r="R81" s="261">
        <f t="shared" si="26"/>
        <v>8501.76</v>
      </c>
      <c r="S81" s="261">
        <f t="shared" si="27"/>
        <v>0</v>
      </c>
    </row>
    <row r="82" spans="1:19" s="234" customFormat="1" x14ac:dyDescent="0.2">
      <c r="A82" s="232"/>
      <c r="B82" s="234" t="s">
        <v>433</v>
      </c>
      <c r="C82" s="234" t="s">
        <v>385</v>
      </c>
      <c r="D82" s="232">
        <v>2014</v>
      </c>
      <c r="E82" s="232">
        <v>2</v>
      </c>
      <c r="F82" s="258">
        <v>0</v>
      </c>
      <c r="G82" s="239"/>
      <c r="H82" s="232" t="s">
        <v>351</v>
      </c>
      <c r="I82" s="236">
        <v>10</v>
      </c>
      <c r="J82" s="233">
        <f t="shared" si="19"/>
        <v>2024</v>
      </c>
      <c r="K82" s="237">
        <f t="shared" si="20"/>
        <v>2024.1666666666667</v>
      </c>
      <c r="L82" s="238">
        <v>8617.7099999999991</v>
      </c>
      <c r="M82" s="239">
        <f t="shared" si="21"/>
        <v>8617.7099999999991</v>
      </c>
      <c r="N82" s="239">
        <f t="shared" si="22"/>
        <v>71.814250000000001</v>
      </c>
      <c r="O82" s="239">
        <f t="shared" si="23"/>
        <v>861.77099999999996</v>
      </c>
      <c r="P82" s="261">
        <f t="shared" si="24"/>
        <v>861.77099999999996</v>
      </c>
      <c r="Q82" s="261">
        <f t="shared" si="25"/>
        <v>6894.1679999999997</v>
      </c>
      <c r="R82" s="261">
        <f t="shared" si="26"/>
        <v>7755.9389999999994</v>
      </c>
      <c r="S82" s="261">
        <f t="shared" si="27"/>
        <v>861.77099999999973</v>
      </c>
    </row>
    <row r="83" spans="1:19" s="234" customFormat="1" x14ac:dyDescent="0.2">
      <c r="A83" s="232"/>
      <c r="B83" s="234" t="s">
        <v>433</v>
      </c>
      <c r="C83" s="234" t="s">
        <v>386</v>
      </c>
      <c r="D83" s="232">
        <v>2014</v>
      </c>
      <c r="E83" s="232">
        <v>7</v>
      </c>
      <c r="F83" s="258">
        <v>0</v>
      </c>
      <c r="G83" s="239"/>
      <c r="H83" s="232" t="s">
        <v>351</v>
      </c>
      <c r="I83" s="236">
        <v>10</v>
      </c>
      <c r="J83" s="233">
        <f t="shared" si="19"/>
        <v>2024</v>
      </c>
      <c r="K83" s="237">
        <f t="shared" si="20"/>
        <v>2024.5833333333333</v>
      </c>
      <c r="L83" s="238">
        <v>7329.78</v>
      </c>
      <c r="M83" s="239">
        <f t="shared" si="21"/>
        <v>7329.78</v>
      </c>
      <c r="N83" s="239">
        <f t="shared" si="22"/>
        <v>61.081499999999998</v>
      </c>
      <c r="O83" s="239">
        <f t="shared" si="23"/>
        <v>732.97799999999995</v>
      </c>
      <c r="P83" s="261">
        <f t="shared" si="24"/>
        <v>732.97799999999995</v>
      </c>
      <c r="Q83" s="261">
        <f t="shared" si="25"/>
        <v>5863.8239999999996</v>
      </c>
      <c r="R83" s="261">
        <f t="shared" si="26"/>
        <v>6596.8019999999997</v>
      </c>
      <c r="S83" s="261">
        <f t="shared" si="27"/>
        <v>732.97800000000007</v>
      </c>
    </row>
    <row r="84" spans="1:19" s="234" customFormat="1" x14ac:dyDescent="0.2">
      <c r="A84" s="232"/>
      <c r="B84" s="234" t="s">
        <v>433</v>
      </c>
      <c r="C84" s="234" t="s">
        <v>386</v>
      </c>
      <c r="D84" s="232">
        <v>2017</v>
      </c>
      <c r="E84" s="232">
        <v>5</v>
      </c>
      <c r="F84" s="258">
        <v>0</v>
      </c>
      <c r="G84" s="239"/>
      <c r="H84" s="232" t="s">
        <v>351</v>
      </c>
      <c r="I84" s="236">
        <v>10</v>
      </c>
      <c r="J84" s="233">
        <f t="shared" si="19"/>
        <v>2027</v>
      </c>
      <c r="K84" s="237">
        <f t="shared" si="20"/>
        <v>2027.4166666666667</v>
      </c>
      <c r="L84" s="238">
        <v>6613.56</v>
      </c>
      <c r="M84" s="239">
        <f t="shared" si="21"/>
        <v>6613.56</v>
      </c>
      <c r="N84" s="239">
        <f t="shared" si="22"/>
        <v>55.113</v>
      </c>
      <c r="O84" s="239">
        <f t="shared" si="23"/>
        <v>661.35599999999999</v>
      </c>
      <c r="P84" s="261">
        <f t="shared" si="24"/>
        <v>661.35599999999999</v>
      </c>
      <c r="Q84" s="261">
        <f t="shared" si="25"/>
        <v>3306.7799999999997</v>
      </c>
      <c r="R84" s="261">
        <f t="shared" si="26"/>
        <v>3968.1359999999995</v>
      </c>
      <c r="S84" s="261">
        <f t="shared" si="27"/>
        <v>2645.4240000000009</v>
      </c>
    </row>
    <row r="85" spans="1:19" s="234" customFormat="1" x14ac:dyDescent="0.2">
      <c r="A85" s="232"/>
      <c r="B85" s="234" t="s">
        <v>433</v>
      </c>
      <c r="C85" s="234" t="s">
        <v>385</v>
      </c>
      <c r="D85" s="232">
        <v>2017</v>
      </c>
      <c r="E85" s="232">
        <v>5</v>
      </c>
      <c r="F85" s="258">
        <v>0</v>
      </c>
      <c r="G85" s="239"/>
      <c r="H85" s="232" t="s">
        <v>351</v>
      </c>
      <c r="I85" s="236">
        <v>10</v>
      </c>
      <c r="J85" s="233">
        <f t="shared" si="19"/>
        <v>2027</v>
      </c>
      <c r="K85" s="237">
        <f t="shared" si="20"/>
        <v>2027.4166666666667</v>
      </c>
      <c r="L85" s="238">
        <v>8211.2800000000007</v>
      </c>
      <c r="M85" s="239">
        <f t="shared" si="21"/>
        <v>8211.2800000000007</v>
      </c>
      <c r="N85" s="239">
        <f t="shared" si="22"/>
        <v>68.427333333333337</v>
      </c>
      <c r="O85" s="239">
        <f t="shared" si="23"/>
        <v>821.12800000000004</v>
      </c>
      <c r="P85" s="261">
        <f t="shared" si="24"/>
        <v>821.12800000000004</v>
      </c>
      <c r="Q85" s="261">
        <f t="shared" si="25"/>
        <v>4105.6400000000003</v>
      </c>
      <c r="R85" s="261">
        <f t="shared" si="26"/>
        <v>4926.768</v>
      </c>
      <c r="S85" s="261">
        <f t="shared" si="27"/>
        <v>3284.5120000000006</v>
      </c>
    </row>
    <row r="86" spans="1:19" s="234" customFormat="1" x14ac:dyDescent="0.2">
      <c r="A86" s="232"/>
      <c r="B86" s="234" t="s">
        <v>433</v>
      </c>
      <c r="C86" s="234" t="s">
        <v>387</v>
      </c>
      <c r="D86" s="232">
        <v>2017</v>
      </c>
      <c r="E86" s="232">
        <v>11</v>
      </c>
      <c r="F86" s="258">
        <v>0</v>
      </c>
      <c r="G86" s="239"/>
      <c r="H86" s="232" t="s">
        <v>351</v>
      </c>
      <c r="I86" s="236">
        <v>10</v>
      </c>
      <c r="J86" s="233">
        <f t="shared" si="19"/>
        <v>2027</v>
      </c>
      <c r="K86" s="237">
        <f t="shared" si="20"/>
        <v>2027.9166666666667</v>
      </c>
      <c r="L86" s="238">
        <v>7920.48</v>
      </c>
      <c r="M86" s="239">
        <f t="shared" si="21"/>
        <v>7920.48</v>
      </c>
      <c r="N86" s="239">
        <f t="shared" si="22"/>
        <v>66.004000000000005</v>
      </c>
      <c r="O86" s="239">
        <f t="shared" si="23"/>
        <v>792.048</v>
      </c>
      <c r="P86" s="261">
        <f t="shared" si="24"/>
        <v>792.048</v>
      </c>
      <c r="Q86" s="261">
        <f t="shared" si="25"/>
        <v>3960.24</v>
      </c>
      <c r="R86" s="261">
        <f t="shared" si="26"/>
        <v>4752.2879999999996</v>
      </c>
      <c r="S86" s="261">
        <f t="shared" si="27"/>
        <v>3168.192</v>
      </c>
    </row>
    <row r="87" spans="1:19" s="234" customFormat="1" x14ac:dyDescent="0.2">
      <c r="A87" s="232"/>
      <c r="B87" s="234" t="s">
        <v>432</v>
      </c>
      <c r="C87" s="234" t="s">
        <v>388</v>
      </c>
      <c r="D87" s="232">
        <v>2017</v>
      </c>
      <c r="E87" s="232">
        <v>12</v>
      </c>
      <c r="F87" s="258">
        <v>0</v>
      </c>
      <c r="G87" s="239"/>
      <c r="H87" s="232" t="s">
        <v>351</v>
      </c>
      <c r="I87" s="236">
        <v>10</v>
      </c>
      <c r="J87" s="233">
        <f t="shared" si="19"/>
        <v>2027</v>
      </c>
      <c r="K87" s="237">
        <f t="shared" si="20"/>
        <v>2028</v>
      </c>
      <c r="L87" s="238">
        <v>2928.03</v>
      </c>
      <c r="M87" s="239">
        <f t="shared" si="21"/>
        <v>2928.03</v>
      </c>
      <c r="N87" s="239">
        <f t="shared" si="22"/>
        <v>24.40025</v>
      </c>
      <c r="O87" s="239">
        <f t="shared" si="23"/>
        <v>292.803</v>
      </c>
      <c r="P87" s="261">
        <f t="shared" si="24"/>
        <v>292.803</v>
      </c>
      <c r="Q87" s="261">
        <f t="shared" si="25"/>
        <v>1464.0149999999999</v>
      </c>
      <c r="R87" s="261">
        <f t="shared" si="26"/>
        <v>1756.8179999999998</v>
      </c>
      <c r="S87" s="261">
        <f t="shared" si="27"/>
        <v>1171.2120000000004</v>
      </c>
    </row>
    <row r="88" spans="1:19" s="234" customFormat="1" x14ac:dyDescent="0.2">
      <c r="A88" s="232"/>
      <c r="B88" s="234" t="s">
        <v>433</v>
      </c>
      <c r="C88" s="234" t="s">
        <v>387</v>
      </c>
      <c r="D88" s="232">
        <v>2018</v>
      </c>
      <c r="E88" s="232">
        <v>1</v>
      </c>
      <c r="F88" s="258">
        <v>0</v>
      </c>
      <c r="G88" s="239"/>
      <c r="H88" s="232" t="s">
        <v>351</v>
      </c>
      <c r="I88" s="236">
        <v>10</v>
      </c>
      <c r="J88" s="233">
        <f t="shared" si="19"/>
        <v>2028</v>
      </c>
      <c r="K88" s="237">
        <f t="shared" si="20"/>
        <v>2028.0833333333333</v>
      </c>
      <c r="L88" s="238">
        <v>7920.48</v>
      </c>
      <c r="M88" s="239">
        <f t="shared" si="21"/>
        <v>7920.48</v>
      </c>
      <c r="N88" s="239">
        <f t="shared" si="22"/>
        <v>66.004000000000005</v>
      </c>
      <c r="O88" s="239">
        <f t="shared" si="23"/>
        <v>792.048</v>
      </c>
      <c r="P88" s="261">
        <f t="shared" si="24"/>
        <v>792.048</v>
      </c>
      <c r="Q88" s="261">
        <f t="shared" si="25"/>
        <v>3168.192</v>
      </c>
      <c r="R88" s="261">
        <f t="shared" si="26"/>
        <v>3960.24</v>
      </c>
      <c r="S88" s="261">
        <f t="shared" si="27"/>
        <v>3960.24</v>
      </c>
    </row>
    <row r="89" spans="1:19" s="234" customFormat="1" x14ac:dyDescent="0.2">
      <c r="A89" s="232"/>
      <c r="B89" s="234" t="s">
        <v>433</v>
      </c>
      <c r="C89" s="234" t="s">
        <v>389</v>
      </c>
      <c r="D89" s="232">
        <v>2018</v>
      </c>
      <c r="E89" s="232">
        <v>2</v>
      </c>
      <c r="F89" s="258">
        <v>0</v>
      </c>
      <c r="G89" s="239"/>
      <c r="H89" s="232" t="s">
        <v>351</v>
      </c>
      <c r="I89" s="236">
        <v>10</v>
      </c>
      <c r="J89" s="233">
        <f t="shared" si="19"/>
        <v>2028</v>
      </c>
      <c r="K89" s="237">
        <f t="shared" si="20"/>
        <v>2028.1666666666667</v>
      </c>
      <c r="L89" s="238">
        <v>6727.06</v>
      </c>
      <c r="M89" s="239">
        <f t="shared" si="21"/>
        <v>6727.06</v>
      </c>
      <c r="N89" s="239">
        <f t="shared" si="22"/>
        <v>56.058833333333332</v>
      </c>
      <c r="O89" s="239">
        <f t="shared" si="23"/>
        <v>672.70600000000002</v>
      </c>
      <c r="P89" s="261">
        <f t="shared" si="24"/>
        <v>672.70600000000002</v>
      </c>
      <c r="Q89" s="261">
        <f t="shared" si="25"/>
        <v>2690.8240000000001</v>
      </c>
      <c r="R89" s="261">
        <f t="shared" si="26"/>
        <v>3363.53</v>
      </c>
      <c r="S89" s="261">
        <f t="shared" si="27"/>
        <v>3363.53</v>
      </c>
    </row>
    <row r="90" spans="1:19" s="234" customFormat="1" x14ac:dyDescent="0.2">
      <c r="A90" s="232"/>
      <c r="B90" s="234" t="s">
        <v>434</v>
      </c>
      <c r="C90" s="234" t="s">
        <v>375</v>
      </c>
      <c r="D90" s="232">
        <v>2018</v>
      </c>
      <c r="E90" s="232">
        <v>3</v>
      </c>
      <c r="F90" s="258">
        <v>0</v>
      </c>
      <c r="G90" s="239"/>
      <c r="H90" s="232" t="s">
        <v>351</v>
      </c>
      <c r="I90" s="236">
        <v>10</v>
      </c>
      <c r="J90" s="233">
        <f t="shared" si="19"/>
        <v>2028</v>
      </c>
      <c r="K90" s="237">
        <f t="shared" si="20"/>
        <v>2028.25</v>
      </c>
      <c r="L90" s="238">
        <v>15840.98</v>
      </c>
      <c r="M90" s="239">
        <f t="shared" si="21"/>
        <v>15840.98</v>
      </c>
      <c r="N90" s="239">
        <f t="shared" si="22"/>
        <v>132.00816666666665</v>
      </c>
      <c r="O90" s="239">
        <f t="shared" si="23"/>
        <v>1584.098</v>
      </c>
      <c r="P90" s="261">
        <f t="shared" si="24"/>
        <v>1584.098</v>
      </c>
      <c r="Q90" s="261">
        <f t="shared" si="25"/>
        <v>6336.3919999999998</v>
      </c>
      <c r="R90" s="261">
        <f t="shared" si="26"/>
        <v>7920.49</v>
      </c>
      <c r="S90" s="261">
        <f t="shared" si="27"/>
        <v>7920.49</v>
      </c>
    </row>
    <row r="91" spans="1:19" s="234" customFormat="1" x14ac:dyDescent="0.2">
      <c r="A91" s="232"/>
      <c r="B91" s="234" t="s">
        <v>434</v>
      </c>
      <c r="C91" s="234" t="s">
        <v>375</v>
      </c>
      <c r="D91" s="232">
        <v>2018</v>
      </c>
      <c r="E91" s="232">
        <v>4</v>
      </c>
      <c r="F91" s="258">
        <v>0</v>
      </c>
      <c r="G91" s="239"/>
      <c r="H91" s="232" t="s">
        <v>351</v>
      </c>
      <c r="I91" s="236">
        <v>10</v>
      </c>
      <c r="J91" s="233">
        <f t="shared" si="19"/>
        <v>2028</v>
      </c>
      <c r="K91" s="237">
        <f t="shared" si="20"/>
        <v>2028.3333333333333</v>
      </c>
      <c r="L91" s="238">
        <v>17209.52</v>
      </c>
      <c r="M91" s="239">
        <f t="shared" si="21"/>
        <v>17209.52</v>
      </c>
      <c r="N91" s="239">
        <f t="shared" si="22"/>
        <v>143.41266666666667</v>
      </c>
      <c r="O91" s="239">
        <f t="shared" si="23"/>
        <v>1720.952</v>
      </c>
      <c r="P91" s="261">
        <f t="shared" si="24"/>
        <v>1720.952</v>
      </c>
      <c r="Q91" s="261">
        <f t="shared" si="25"/>
        <v>6883.808</v>
      </c>
      <c r="R91" s="261">
        <f t="shared" si="26"/>
        <v>8604.76</v>
      </c>
      <c r="S91" s="261">
        <f t="shared" si="27"/>
        <v>8604.76</v>
      </c>
    </row>
    <row r="92" spans="1:19" s="234" customFormat="1" x14ac:dyDescent="0.2">
      <c r="A92" s="232"/>
      <c r="B92" s="234" t="s">
        <v>433</v>
      </c>
      <c r="C92" s="234" t="s">
        <v>387</v>
      </c>
      <c r="D92" s="232">
        <v>2018</v>
      </c>
      <c r="E92" s="232">
        <v>5</v>
      </c>
      <c r="F92" s="258">
        <v>0</v>
      </c>
      <c r="G92" s="239"/>
      <c r="H92" s="232" t="s">
        <v>351</v>
      </c>
      <c r="I92" s="236">
        <v>10</v>
      </c>
      <c r="J92" s="233">
        <f t="shared" si="19"/>
        <v>2028</v>
      </c>
      <c r="K92" s="237">
        <f t="shared" si="20"/>
        <v>2028.4166666666667</v>
      </c>
      <c r="L92" s="238">
        <v>8158.3</v>
      </c>
      <c r="M92" s="239">
        <f t="shared" si="21"/>
        <v>8158.3</v>
      </c>
      <c r="N92" s="239">
        <f t="shared" si="22"/>
        <v>67.985833333333332</v>
      </c>
      <c r="O92" s="239">
        <f t="shared" si="23"/>
        <v>815.82999999999993</v>
      </c>
      <c r="P92" s="261">
        <f t="shared" si="24"/>
        <v>815.82999999999993</v>
      </c>
      <c r="Q92" s="261">
        <f t="shared" si="25"/>
        <v>3263.3199999999997</v>
      </c>
      <c r="R92" s="261">
        <f t="shared" si="26"/>
        <v>4079.1499999999996</v>
      </c>
      <c r="S92" s="261">
        <f t="shared" si="27"/>
        <v>4079.1500000000005</v>
      </c>
    </row>
    <row r="93" spans="1:19" s="234" customFormat="1" x14ac:dyDescent="0.2">
      <c r="A93" s="232"/>
      <c r="B93" s="234" t="s">
        <v>433</v>
      </c>
      <c r="C93" s="234" t="s">
        <v>386</v>
      </c>
      <c r="D93" s="232">
        <v>2018</v>
      </c>
      <c r="E93" s="232">
        <v>6</v>
      </c>
      <c r="F93" s="258">
        <v>0</v>
      </c>
      <c r="G93" s="239"/>
      <c r="H93" s="232" t="s">
        <v>351</v>
      </c>
      <c r="I93" s="236">
        <v>10</v>
      </c>
      <c r="J93" s="233">
        <f t="shared" si="19"/>
        <v>2028</v>
      </c>
      <c r="K93" s="237">
        <f t="shared" si="20"/>
        <v>2028.5</v>
      </c>
      <c r="L93" s="238">
        <v>8158.3</v>
      </c>
      <c r="M93" s="239">
        <f t="shared" si="21"/>
        <v>8158.3</v>
      </c>
      <c r="N93" s="239">
        <f t="shared" si="22"/>
        <v>67.985833333333332</v>
      </c>
      <c r="O93" s="239">
        <f t="shared" si="23"/>
        <v>815.82999999999993</v>
      </c>
      <c r="P93" s="261">
        <f t="shared" si="24"/>
        <v>815.82999999999993</v>
      </c>
      <c r="Q93" s="261">
        <f t="shared" si="25"/>
        <v>3263.3199999999997</v>
      </c>
      <c r="R93" s="261">
        <f t="shared" si="26"/>
        <v>4079.1499999999996</v>
      </c>
      <c r="S93" s="261">
        <f t="shared" si="27"/>
        <v>4079.1500000000005</v>
      </c>
    </row>
    <row r="94" spans="1:19" s="234" customFormat="1" x14ac:dyDescent="0.2">
      <c r="A94" s="232"/>
      <c r="B94" s="234" t="s">
        <v>433</v>
      </c>
      <c r="C94" s="234" t="s">
        <v>390</v>
      </c>
      <c r="D94" s="232">
        <v>2018</v>
      </c>
      <c r="E94" s="232">
        <v>6</v>
      </c>
      <c r="F94" s="258">
        <v>0</v>
      </c>
      <c r="G94" s="239"/>
      <c r="H94" s="232" t="s">
        <v>351</v>
      </c>
      <c r="I94" s="236">
        <v>10</v>
      </c>
      <c r="J94" s="233">
        <f t="shared" si="19"/>
        <v>2028</v>
      </c>
      <c r="K94" s="237">
        <f t="shared" si="20"/>
        <v>2028.5</v>
      </c>
      <c r="L94" s="238">
        <v>8862.0300000000007</v>
      </c>
      <c r="M94" s="239">
        <f t="shared" si="21"/>
        <v>8862.0300000000007</v>
      </c>
      <c r="N94" s="239">
        <f t="shared" si="22"/>
        <v>73.850250000000003</v>
      </c>
      <c r="O94" s="239">
        <f t="shared" si="23"/>
        <v>886.20299999999997</v>
      </c>
      <c r="P94" s="261">
        <f t="shared" si="24"/>
        <v>886.20299999999997</v>
      </c>
      <c r="Q94" s="261">
        <f t="shared" si="25"/>
        <v>3544.8119999999999</v>
      </c>
      <c r="R94" s="261">
        <f t="shared" si="26"/>
        <v>4431.0149999999994</v>
      </c>
      <c r="S94" s="261">
        <f t="shared" si="27"/>
        <v>4431.0150000000012</v>
      </c>
    </row>
    <row r="95" spans="1:19" s="234" customFormat="1" x14ac:dyDescent="0.2">
      <c r="A95" s="232"/>
      <c r="B95" s="234" t="s">
        <v>433</v>
      </c>
      <c r="C95" s="234" t="s">
        <v>376</v>
      </c>
      <c r="D95" s="232">
        <v>2018</v>
      </c>
      <c r="E95" s="232">
        <v>6</v>
      </c>
      <c r="F95" s="258">
        <v>0</v>
      </c>
      <c r="G95" s="239"/>
      <c r="H95" s="232" t="s">
        <v>351</v>
      </c>
      <c r="I95" s="236">
        <v>10</v>
      </c>
      <c r="J95" s="233">
        <f t="shared" si="19"/>
        <v>2028</v>
      </c>
      <c r="K95" s="237">
        <f t="shared" si="20"/>
        <v>2028.5</v>
      </c>
      <c r="L95" s="238">
        <v>6928.13</v>
      </c>
      <c r="M95" s="239">
        <f t="shared" si="21"/>
        <v>6928.13</v>
      </c>
      <c r="N95" s="239">
        <f t="shared" si="22"/>
        <v>57.734416666666668</v>
      </c>
      <c r="O95" s="239">
        <f t="shared" si="23"/>
        <v>692.81299999999999</v>
      </c>
      <c r="P95" s="261">
        <f t="shared" si="24"/>
        <v>692.81299999999999</v>
      </c>
      <c r="Q95" s="261">
        <f t="shared" si="25"/>
        <v>2771.252</v>
      </c>
      <c r="R95" s="261">
        <f t="shared" si="26"/>
        <v>3464.0650000000001</v>
      </c>
      <c r="S95" s="261">
        <f t="shared" si="27"/>
        <v>3464.0650000000001</v>
      </c>
    </row>
    <row r="96" spans="1:19" s="234" customFormat="1" x14ac:dyDescent="0.2">
      <c r="B96" s="234" t="s">
        <v>434</v>
      </c>
      <c r="C96" s="234" t="s">
        <v>393</v>
      </c>
      <c r="D96" s="232">
        <v>2018</v>
      </c>
      <c r="E96" s="232">
        <v>7</v>
      </c>
      <c r="F96" s="258">
        <v>0</v>
      </c>
      <c r="G96" s="239"/>
      <c r="H96" s="232" t="s">
        <v>351</v>
      </c>
      <c r="I96" s="236">
        <v>10</v>
      </c>
      <c r="J96" s="233">
        <f t="shared" si="19"/>
        <v>2028</v>
      </c>
      <c r="K96" s="237">
        <f t="shared" si="20"/>
        <v>2028.5833333333333</v>
      </c>
      <c r="L96" s="245">
        <v>14258.39</v>
      </c>
      <c r="M96" s="239">
        <f t="shared" si="21"/>
        <v>14258.39</v>
      </c>
      <c r="N96" s="239">
        <f t="shared" si="22"/>
        <v>118.81991666666666</v>
      </c>
      <c r="O96" s="239">
        <f t="shared" si="23"/>
        <v>1425.8389999999999</v>
      </c>
      <c r="P96" s="261">
        <f t="shared" si="24"/>
        <v>1425.8389999999999</v>
      </c>
      <c r="Q96" s="261">
        <f t="shared" si="25"/>
        <v>5703.3559999999998</v>
      </c>
      <c r="R96" s="261">
        <f t="shared" si="26"/>
        <v>7129.1949999999997</v>
      </c>
      <c r="S96" s="261">
        <f t="shared" si="27"/>
        <v>7129.1949999999997</v>
      </c>
    </row>
    <row r="97" spans="1:19" s="234" customFormat="1" x14ac:dyDescent="0.2">
      <c r="B97" s="234" t="s">
        <v>434</v>
      </c>
      <c r="C97" s="234" t="s">
        <v>391</v>
      </c>
      <c r="D97" s="232">
        <v>2018</v>
      </c>
      <c r="E97" s="232">
        <v>8</v>
      </c>
      <c r="F97" s="258">
        <v>0</v>
      </c>
      <c r="G97" s="239"/>
      <c r="H97" s="232" t="s">
        <v>351</v>
      </c>
      <c r="I97" s="236">
        <v>10</v>
      </c>
      <c r="J97" s="233">
        <f t="shared" si="19"/>
        <v>2028</v>
      </c>
      <c r="K97" s="237">
        <f t="shared" si="20"/>
        <v>2028.6666666666667</v>
      </c>
      <c r="L97" s="245">
        <v>16792.25</v>
      </c>
      <c r="M97" s="239">
        <f t="shared" si="21"/>
        <v>16792.25</v>
      </c>
      <c r="N97" s="239">
        <f t="shared" si="22"/>
        <v>139.93541666666667</v>
      </c>
      <c r="O97" s="239">
        <f t="shared" si="23"/>
        <v>1679.2249999999999</v>
      </c>
      <c r="P97" s="261">
        <f t="shared" si="24"/>
        <v>1679.2249999999999</v>
      </c>
      <c r="Q97" s="261">
        <f t="shared" si="25"/>
        <v>6716.9</v>
      </c>
      <c r="R97" s="261">
        <f t="shared" si="26"/>
        <v>8396.125</v>
      </c>
      <c r="S97" s="261">
        <f t="shared" si="27"/>
        <v>8396.125</v>
      </c>
    </row>
    <row r="98" spans="1:19" s="234" customFormat="1" x14ac:dyDescent="0.2">
      <c r="B98" s="234" t="s">
        <v>434</v>
      </c>
      <c r="C98" s="234" t="s">
        <v>392</v>
      </c>
      <c r="D98" s="232">
        <v>2018</v>
      </c>
      <c r="E98" s="232">
        <v>10</v>
      </c>
      <c r="F98" s="258">
        <v>0</v>
      </c>
      <c r="G98" s="239"/>
      <c r="H98" s="232" t="s">
        <v>351</v>
      </c>
      <c r="I98" s="236">
        <v>10</v>
      </c>
      <c r="J98" s="233">
        <f t="shared" si="19"/>
        <v>2028</v>
      </c>
      <c r="K98" s="237">
        <f t="shared" si="20"/>
        <v>2028.8333333333333</v>
      </c>
      <c r="L98" s="245">
        <v>14550.26</v>
      </c>
      <c r="M98" s="239">
        <f t="shared" si="21"/>
        <v>14550.26</v>
      </c>
      <c r="N98" s="239">
        <f t="shared" si="22"/>
        <v>121.25216666666667</v>
      </c>
      <c r="O98" s="239">
        <f t="shared" si="23"/>
        <v>1455.0260000000001</v>
      </c>
      <c r="P98" s="261">
        <f t="shared" si="24"/>
        <v>1455.0260000000001</v>
      </c>
      <c r="Q98" s="261">
        <f t="shared" si="25"/>
        <v>5820.1040000000003</v>
      </c>
      <c r="R98" s="261">
        <f t="shared" si="26"/>
        <v>7275.13</v>
      </c>
      <c r="S98" s="261">
        <f t="shared" si="27"/>
        <v>7275.13</v>
      </c>
    </row>
    <row r="99" spans="1:19" s="234" customFormat="1" x14ac:dyDescent="0.2">
      <c r="B99" s="234" t="s">
        <v>433</v>
      </c>
      <c r="C99" s="234" t="s">
        <v>389</v>
      </c>
      <c r="D99" s="232">
        <v>2019</v>
      </c>
      <c r="E99" s="232">
        <v>7</v>
      </c>
      <c r="F99" s="258">
        <v>0</v>
      </c>
      <c r="G99" s="239"/>
      <c r="H99" s="232" t="s">
        <v>351</v>
      </c>
      <c r="I99" s="236">
        <v>10</v>
      </c>
      <c r="J99" s="233">
        <f t="shared" si="19"/>
        <v>2029</v>
      </c>
      <c r="K99" s="237">
        <f t="shared" si="20"/>
        <v>2029.5833333333333</v>
      </c>
      <c r="L99" s="245">
        <v>7275.13</v>
      </c>
      <c r="M99" s="239">
        <f t="shared" si="21"/>
        <v>7275.13</v>
      </c>
      <c r="N99" s="239">
        <f t="shared" si="22"/>
        <v>60.626083333333334</v>
      </c>
      <c r="O99" s="239">
        <f t="shared" si="23"/>
        <v>727.51300000000003</v>
      </c>
      <c r="P99" s="261">
        <f t="shared" si="24"/>
        <v>727.51300000000003</v>
      </c>
      <c r="Q99" s="261">
        <f t="shared" si="25"/>
        <v>2182.5390000000002</v>
      </c>
      <c r="R99" s="261">
        <f t="shared" si="26"/>
        <v>2910.0520000000001</v>
      </c>
      <c r="S99" s="261">
        <f t="shared" si="27"/>
        <v>4365.0779999999995</v>
      </c>
    </row>
    <row r="100" spans="1:19" s="234" customFormat="1" x14ac:dyDescent="0.2">
      <c r="B100" s="234" t="s">
        <v>433</v>
      </c>
      <c r="C100" s="234" t="s">
        <v>386</v>
      </c>
      <c r="D100" s="232">
        <v>2019</v>
      </c>
      <c r="E100" s="232">
        <v>8</v>
      </c>
      <c r="F100" s="258">
        <v>0</v>
      </c>
      <c r="G100" s="239"/>
      <c r="H100" s="232" t="s">
        <v>351</v>
      </c>
      <c r="I100" s="236">
        <v>10</v>
      </c>
      <c r="J100" s="233">
        <f t="shared" si="19"/>
        <v>2029</v>
      </c>
      <c r="K100" s="237">
        <f t="shared" si="20"/>
        <v>2029.6666666666667</v>
      </c>
      <c r="L100" s="245">
        <v>8396.1200000000008</v>
      </c>
      <c r="M100" s="239">
        <f t="shared" si="21"/>
        <v>8396.1200000000008</v>
      </c>
      <c r="N100" s="239">
        <f t="shared" si="22"/>
        <v>69.967666666666673</v>
      </c>
      <c r="O100" s="239">
        <f t="shared" si="23"/>
        <v>839.61200000000008</v>
      </c>
      <c r="P100" s="261">
        <f t="shared" si="24"/>
        <v>839.61200000000008</v>
      </c>
      <c r="Q100" s="261">
        <f t="shared" si="25"/>
        <v>2518.8360000000002</v>
      </c>
      <c r="R100" s="261">
        <f t="shared" si="26"/>
        <v>3358.4480000000003</v>
      </c>
      <c r="S100" s="261">
        <f t="shared" si="27"/>
        <v>5037.6720000000005</v>
      </c>
    </row>
    <row r="101" spans="1:19" s="234" customFormat="1" x14ac:dyDescent="0.2">
      <c r="B101" s="234" t="s">
        <v>433</v>
      </c>
      <c r="C101" s="234" t="s">
        <v>390</v>
      </c>
      <c r="D101" s="232">
        <v>2019</v>
      </c>
      <c r="E101" s="232">
        <v>9</v>
      </c>
      <c r="F101" s="258">
        <v>0</v>
      </c>
      <c r="G101" s="239"/>
      <c r="H101" s="232" t="s">
        <v>351</v>
      </c>
      <c r="I101" s="236">
        <v>10</v>
      </c>
      <c r="J101" s="233">
        <f t="shared" si="19"/>
        <v>2029</v>
      </c>
      <c r="K101" s="237">
        <f t="shared" si="20"/>
        <v>2029.75</v>
      </c>
      <c r="L101" s="245">
        <v>9119.32</v>
      </c>
      <c r="M101" s="239">
        <f t="shared" si="21"/>
        <v>9119.32</v>
      </c>
      <c r="N101" s="239">
        <f t="shared" si="22"/>
        <v>75.99433333333333</v>
      </c>
      <c r="O101" s="239">
        <f t="shared" si="23"/>
        <v>911.93200000000002</v>
      </c>
      <c r="P101" s="261">
        <f t="shared" si="24"/>
        <v>911.93200000000002</v>
      </c>
      <c r="Q101" s="261">
        <f t="shared" si="25"/>
        <v>2735.7960000000003</v>
      </c>
      <c r="R101" s="261">
        <f t="shared" si="26"/>
        <v>3647.7280000000001</v>
      </c>
      <c r="S101" s="261">
        <f t="shared" si="27"/>
        <v>5471.5919999999996</v>
      </c>
    </row>
    <row r="102" spans="1:19" s="234" customFormat="1" x14ac:dyDescent="0.2">
      <c r="B102" s="234" t="s">
        <v>433</v>
      </c>
      <c r="C102" s="234" t="s">
        <v>386</v>
      </c>
      <c r="D102" s="232">
        <v>2019</v>
      </c>
      <c r="E102" s="232">
        <v>9</v>
      </c>
      <c r="F102" s="258">
        <v>0</v>
      </c>
      <c r="G102" s="239"/>
      <c r="H102" s="232" t="s">
        <v>351</v>
      </c>
      <c r="I102" s="236">
        <v>10</v>
      </c>
      <c r="J102" s="233">
        <f t="shared" si="19"/>
        <v>2029</v>
      </c>
      <c r="K102" s="237">
        <f t="shared" si="20"/>
        <v>2029.75</v>
      </c>
      <c r="L102" s="245">
        <v>10212.200000000001</v>
      </c>
      <c r="M102" s="239">
        <f t="shared" si="21"/>
        <v>10212.200000000001</v>
      </c>
      <c r="N102" s="239">
        <f t="shared" si="22"/>
        <v>85.101666666666674</v>
      </c>
      <c r="O102" s="239">
        <f t="shared" si="23"/>
        <v>1021.22</v>
      </c>
      <c r="P102" s="261">
        <f t="shared" si="24"/>
        <v>1021.22</v>
      </c>
      <c r="Q102" s="261">
        <f t="shared" si="25"/>
        <v>3063.66</v>
      </c>
      <c r="R102" s="261">
        <f t="shared" si="26"/>
        <v>4084.88</v>
      </c>
      <c r="S102" s="261">
        <f t="shared" si="27"/>
        <v>6127.3200000000006</v>
      </c>
    </row>
    <row r="103" spans="1:19" s="234" customFormat="1" x14ac:dyDescent="0.2">
      <c r="B103" s="234" t="s">
        <v>433</v>
      </c>
      <c r="C103" s="234" t="s">
        <v>385</v>
      </c>
      <c r="D103" s="232">
        <v>2019</v>
      </c>
      <c r="E103" s="232">
        <v>12</v>
      </c>
      <c r="F103" s="258">
        <v>0</v>
      </c>
      <c r="G103" s="239"/>
      <c r="H103" s="232" t="s">
        <v>351</v>
      </c>
      <c r="I103" s="236">
        <v>10</v>
      </c>
      <c r="J103" s="233">
        <f t="shared" si="19"/>
        <v>2029</v>
      </c>
      <c r="K103" s="237">
        <f t="shared" si="20"/>
        <v>2030</v>
      </c>
      <c r="L103" s="245">
        <v>10212.209999999999</v>
      </c>
      <c r="M103" s="239">
        <f t="shared" si="21"/>
        <v>10212.209999999999</v>
      </c>
      <c r="N103" s="239">
        <f t="shared" si="22"/>
        <v>85.101749999999996</v>
      </c>
      <c r="O103" s="239">
        <f t="shared" si="23"/>
        <v>1021.221</v>
      </c>
      <c r="P103" s="261">
        <f t="shared" si="24"/>
        <v>1021.221</v>
      </c>
      <c r="Q103" s="261">
        <f t="shared" si="25"/>
        <v>3063.663</v>
      </c>
      <c r="R103" s="261">
        <f t="shared" si="26"/>
        <v>4084.884</v>
      </c>
      <c r="S103" s="261">
        <f t="shared" si="27"/>
        <v>6127.3259999999991</v>
      </c>
    </row>
    <row r="104" spans="1:19" x14ac:dyDescent="0.2">
      <c r="F104" s="95"/>
      <c r="H104" s="60"/>
      <c r="I104" s="82"/>
      <c r="J104" s="62"/>
      <c r="L104" s="63"/>
      <c r="M104" s="63"/>
      <c r="N104" s="63"/>
      <c r="O104" s="63"/>
      <c r="P104" s="63"/>
      <c r="Q104" s="63"/>
      <c r="R104" s="63"/>
      <c r="S104" s="63"/>
    </row>
    <row r="105" spans="1:19" s="72" customFormat="1" x14ac:dyDescent="0.2">
      <c r="A105" s="144"/>
      <c r="B105" s="144"/>
      <c r="C105" s="144" t="s">
        <v>358</v>
      </c>
      <c r="D105" s="136"/>
      <c r="E105" s="136"/>
      <c r="F105" s="145"/>
      <c r="G105" s="144"/>
      <c r="H105" s="136"/>
      <c r="I105" s="136"/>
      <c r="J105" s="146"/>
      <c r="K105" s="144"/>
      <c r="L105" s="142">
        <f t="shared" ref="L105:S105" si="37">SUM(L69:L104)</f>
        <v>290015.03999999998</v>
      </c>
      <c r="M105" s="142">
        <f t="shared" si="37"/>
        <v>290015.03999999998</v>
      </c>
      <c r="N105" s="142">
        <f t="shared" si="37"/>
        <v>2578.820166666666</v>
      </c>
      <c r="O105" s="142">
        <f t="shared" si="37"/>
        <v>30945.842000000008</v>
      </c>
      <c r="P105" s="142">
        <f t="shared" si="37"/>
        <v>21224.152000000002</v>
      </c>
      <c r="Q105" s="142">
        <f t="shared" si="37"/>
        <v>167094.96099999998</v>
      </c>
      <c r="R105" s="142">
        <f t="shared" si="37"/>
        <v>188319.11299999998</v>
      </c>
      <c r="S105" s="142">
        <f t="shared" si="37"/>
        <v>101695.92700000003</v>
      </c>
    </row>
    <row r="106" spans="1:19" x14ac:dyDescent="0.2">
      <c r="D106" s="33"/>
      <c r="E106" s="33"/>
      <c r="I106" s="33"/>
      <c r="J106" s="60"/>
      <c r="L106" s="143"/>
    </row>
    <row r="107" spans="1:19" x14ac:dyDescent="0.2">
      <c r="C107" s="70" t="s">
        <v>367</v>
      </c>
      <c r="D107" s="33"/>
      <c r="E107" s="33"/>
      <c r="I107" s="33"/>
      <c r="J107" s="60"/>
      <c r="L107" s="143"/>
      <c r="M107" s="143"/>
      <c r="N107" s="143"/>
      <c r="O107" s="143"/>
      <c r="P107" s="143"/>
      <c r="Q107" s="147"/>
      <c r="R107" s="147"/>
      <c r="S107" s="143"/>
    </row>
    <row r="108" spans="1:19" x14ac:dyDescent="0.2">
      <c r="A108" s="234"/>
      <c r="B108" s="257" t="s">
        <v>462</v>
      </c>
      <c r="C108" s="234" t="s">
        <v>438</v>
      </c>
      <c r="D108" s="234">
        <v>2004</v>
      </c>
      <c r="E108" s="234">
        <v>1</v>
      </c>
      <c r="F108" s="234">
        <v>0</v>
      </c>
      <c r="G108" s="234"/>
      <c r="H108" s="234" t="s">
        <v>351</v>
      </c>
      <c r="I108" s="234">
        <v>8</v>
      </c>
      <c r="J108" s="233">
        <f t="shared" ref="J108:J138" si="38">D108+I108</f>
        <v>2012</v>
      </c>
      <c r="K108" s="237">
        <f t="shared" ref="K108:K138" si="39">+J108+(E108/12)</f>
        <v>2012.0833333333333</v>
      </c>
      <c r="L108" s="245">
        <v>5353.62</v>
      </c>
      <c r="M108" s="239">
        <f t="shared" ref="M108:M138" si="40">L108-L108*F108</f>
        <v>5353.62</v>
      </c>
      <c r="N108" s="239">
        <f t="shared" ref="N108:N138" si="41">M108/I108/12</f>
        <v>55.766874999999999</v>
      </c>
      <c r="O108" s="239">
        <f t="shared" ref="O108:O138" si="42">+N108*12</f>
        <v>669.20249999999999</v>
      </c>
      <c r="P108" s="261">
        <f t="shared" ref="P108:P138" si="43">+IF(K108&lt;=$M$5,0,IF(J108&gt;$M$4,O108,(N108*E108)))</f>
        <v>0</v>
      </c>
      <c r="Q108" s="261">
        <f t="shared" ref="Q108:Q138" si="44">+IF(P108=0,M108,IF($M$3-D108&lt;1,0,(($M$3-D108)*O108)))</f>
        <v>5353.62</v>
      </c>
      <c r="R108" s="261">
        <f t="shared" ref="R108:R138" si="45">+IF(P108=0,Q108,Q108+P108)</f>
        <v>5353.62</v>
      </c>
      <c r="S108" s="261">
        <f t="shared" ref="S108:S138" si="46">+L108-R108</f>
        <v>0</v>
      </c>
    </row>
    <row r="109" spans="1:19" x14ac:dyDescent="0.2">
      <c r="A109" s="234"/>
      <c r="B109" s="257" t="s">
        <v>462</v>
      </c>
      <c r="C109" s="234" t="s">
        <v>439</v>
      </c>
      <c r="D109" s="234">
        <v>2004</v>
      </c>
      <c r="E109" s="234">
        <v>5</v>
      </c>
      <c r="F109" s="234">
        <v>0</v>
      </c>
      <c r="G109" s="234"/>
      <c r="H109" s="234" t="s">
        <v>351</v>
      </c>
      <c r="I109" s="234">
        <v>8</v>
      </c>
      <c r="J109" s="233">
        <f t="shared" si="38"/>
        <v>2012</v>
      </c>
      <c r="K109" s="237">
        <f t="shared" si="39"/>
        <v>2012.4166666666667</v>
      </c>
      <c r="L109" s="245">
        <v>4455.72</v>
      </c>
      <c r="M109" s="239">
        <f t="shared" si="40"/>
        <v>4455.72</v>
      </c>
      <c r="N109" s="239">
        <f t="shared" si="41"/>
        <v>46.41375</v>
      </c>
      <c r="O109" s="239">
        <f t="shared" si="42"/>
        <v>556.96500000000003</v>
      </c>
      <c r="P109" s="261">
        <f t="shared" si="43"/>
        <v>0</v>
      </c>
      <c r="Q109" s="261">
        <f t="shared" si="44"/>
        <v>4455.72</v>
      </c>
      <c r="R109" s="261">
        <f t="shared" si="45"/>
        <v>4455.72</v>
      </c>
      <c r="S109" s="261">
        <f t="shared" si="46"/>
        <v>0</v>
      </c>
    </row>
    <row r="110" spans="1:19" x14ac:dyDescent="0.2">
      <c r="A110" s="234"/>
      <c r="B110" s="257" t="s">
        <v>462</v>
      </c>
      <c r="C110" s="234" t="s">
        <v>439</v>
      </c>
      <c r="D110" s="234">
        <v>2004</v>
      </c>
      <c r="E110" s="234">
        <v>5</v>
      </c>
      <c r="F110" s="234">
        <v>0</v>
      </c>
      <c r="G110" s="234"/>
      <c r="H110" s="234" t="s">
        <v>351</v>
      </c>
      <c r="I110" s="234">
        <v>8</v>
      </c>
      <c r="J110" s="233">
        <f t="shared" si="38"/>
        <v>2012</v>
      </c>
      <c r="K110" s="237">
        <f t="shared" si="39"/>
        <v>2012.4166666666667</v>
      </c>
      <c r="L110" s="245">
        <v>4455.71</v>
      </c>
      <c r="M110" s="239">
        <f t="shared" si="40"/>
        <v>4455.71</v>
      </c>
      <c r="N110" s="239">
        <f t="shared" si="41"/>
        <v>46.413645833333334</v>
      </c>
      <c r="O110" s="239">
        <f t="shared" si="42"/>
        <v>556.96375</v>
      </c>
      <c r="P110" s="261">
        <f t="shared" si="43"/>
        <v>0</v>
      </c>
      <c r="Q110" s="261">
        <f t="shared" si="44"/>
        <v>4455.71</v>
      </c>
      <c r="R110" s="261">
        <f t="shared" si="45"/>
        <v>4455.71</v>
      </c>
      <c r="S110" s="261">
        <f t="shared" si="46"/>
        <v>0</v>
      </c>
    </row>
    <row r="111" spans="1:19" x14ac:dyDescent="0.2">
      <c r="A111" s="234"/>
      <c r="B111" s="257">
        <v>40</v>
      </c>
      <c r="C111" s="234" t="s">
        <v>440</v>
      </c>
      <c r="D111" s="234">
        <v>2004</v>
      </c>
      <c r="E111" s="234">
        <v>7</v>
      </c>
      <c r="F111" s="234">
        <v>0</v>
      </c>
      <c r="G111" s="234"/>
      <c r="H111" s="234" t="s">
        <v>351</v>
      </c>
      <c r="I111" s="234">
        <v>8</v>
      </c>
      <c r="J111" s="233">
        <f t="shared" si="38"/>
        <v>2012</v>
      </c>
      <c r="K111" s="237">
        <f t="shared" si="39"/>
        <v>2012.5833333333333</v>
      </c>
      <c r="L111" s="245">
        <v>7101.6</v>
      </c>
      <c r="M111" s="239">
        <f t="shared" si="40"/>
        <v>7101.6</v>
      </c>
      <c r="N111" s="239">
        <f t="shared" si="41"/>
        <v>73.975000000000009</v>
      </c>
      <c r="O111" s="239">
        <f t="shared" si="42"/>
        <v>887.7</v>
      </c>
      <c r="P111" s="261">
        <f t="shared" si="43"/>
        <v>0</v>
      </c>
      <c r="Q111" s="261">
        <f t="shared" si="44"/>
        <v>7101.6</v>
      </c>
      <c r="R111" s="261">
        <f t="shared" si="45"/>
        <v>7101.6</v>
      </c>
      <c r="S111" s="261">
        <f t="shared" si="46"/>
        <v>0</v>
      </c>
    </row>
    <row r="112" spans="1:19" x14ac:dyDescent="0.2">
      <c r="A112" s="234"/>
      <c r="B112" s="257" t="s">
        <v>462</v>
      </c>
      <c r="C112" s="234" t="s">
        <v>439</v>
      </c>
      <c r="D112" s="234">
        <v>2004</v>
      </c>
      <c r="E112" s="234">
        <v>8</v>
      </c>
      <c r="F112" s="234">
        <v>0</v>
      </c>
      <c r="G112" s="234"/>
      <c r="H112" s="234" t="s">
        <v>351</v>
      </c>
      <c r="I112" s="234">
        <v>8</v>
      </c>
      <c r="J112" s="233">
        <f t="shared" si="38"/>
        <v>2012</v>
      </c>
      <c r="K112" s="237">
        <f t="shared" si="39"/>
        <v>2012.6666666666667</v>
      </c>
      <c r="L112" s="245">
        <v>5370.32</v>
      </c>
      <c r="M112" s="239">
        <f t="shared" si="40"/>
        <v>5370.32</v>
      </c>
      <c r="N112" s="239">
        <f t="shared" si="41"/>
        <v>55.94083333333333</v>
      </c>
      <c r="O112" s="239">
        <f t="shared" si="42"/>
        <v>671.29</v>
      </c>
      <c r="P112" s="261">
        <f t="shared" si="43"/>
        <v>0</v>
      </c>
      <c r="Q112" s="261">
        <f t="shared" si="44"/>
        <v>5370.32</v>
      </c>
      <c r="R112" s="261">
        <f t="shared" si="45"/>
        <v>5370.32</v>
      </c>
      <c r="S112" s="261">
        <f t="shared" si="46"/>
        <v>0</v>
      </c>
    </row>
    <row r="113" spans="1:19" x14ac:dyDescent="0.2">
      <c r="A113" s="234"/>
      <c r="B113" s="257" t="s">
        <v>462</v>
      </c>
      <c r="C113" s="234" t="s">
        <v>441</v>
      </c>
      <c r="D113" s="234">
        <v>2004</v>
      </c>
      <c r="E113" s="234">
        <v>9</v>
      </c>
      <c r="F113" s="234">
        <v>0</v>
      </c>
      <c r="G113" s="234"/>
      <c r="H113" s="234" t="s">
        <v>351</v>
      </c>
      <c r="I113" s="234">
        <v>8</v>
      </c>
      <c r="J113" s="233">
        <f t="shared" si="38"/>
        <v>2012</v>
      </c>
      <c r="K113" s="237">
        <f t="shared" si="39"/>
        <v>2012.75</v>
      </c>
      <c r="L113" s="245">
        <v>3766</v>
      </c>
      <c r="M113" s="239">
        <f t="shared" si="40"/>
        <v>3766</v>
      </c>
      <c r="N113" s="239">
        <f t="shared" si="41"/>
        <v>39.229166666666664</v>
      </c>
      <c r="O113" s="239">
        <f t="shared" si="42"/>
        <v>470.75</v>
      </c>
      <c r="P113" s="261">
        <f t="shared" si="43"/>
        <v>0</v>
      </c>
      <c r="Q113" s="261">
        <f t="shared" si="44"/>
        <v>3766</v>
      </c>
      <c r="R113" s="261">
        <f t="shared" si="45"/>
        <v>3766</v>
      </c>
      <c r="S113" s="261">
        <f t="shared" si="46"/>
        <v>0</v>
      </c>
    </row>
    <row r="114" spans="1:19" x14ac:dyDescent="0.2">
      <c r="A114" s="234"/>
      <c r="B114" s="257" t="s">
        <v>462</v>
      </c>
      <c r="C114" s="234" t="s">
        <v>439</v>
      </c>
      <c r="D114" s="234">
        <v>2004</v>
      </c>
      <c r="E114" s="234">
        <v>10</v>
      </c>
      <c r="F114" s="234">
        <v>0</v>
      </c>
      <c r="G114" s="234"/>
      <c r="H114" s="234" t="s">
        <v>351</v>
      </c>
      <c r="I114" s="234">
        <v>8</v>
      </c>
      <c r="J114" s="233">
        <f t="shared" si="38"/>
        <v>2012</v>
      </c>
      <c r="K114" s="237">
        <f t="shared" si="39"/>
        <v>2012.8333333333333</v>
      </c>
      <c r="L114" s="245">
        <v>5477.92</v>
      </c>
      <c r="M114" s="239">
        <f t="shared" si="40"/>
        <v>5477.92</v>
      </c>
      <c r="N114" s="239">
        <f t="shared" si="41"/>
        <v>57.061666666666667</v>
      </c>
      <c r="O114" s="239">
        <f t="shared" si="42"/>
        <v>684.74</v>
      </c>
      <c r="P114" s="261">
        <f t="shared" si="43"/>
        <v>0</v>
      </c>
      <c r="Q114" s="261">
        <f t="shared" si="44"/>
        <v>5477.92</v>
      </c>
      <c r="R114" s="261">
        <f t="shared" si="45"/>
        <v>5477.92</v>
      </c>
      <c r="S114" s="261">
        <f t="shared" si="46"/>
        <v>0</v>
      </c>
    </row>
    <row r="115" spans="1:19" x14ac:dyDescent="0.2">
      <c r="A115" s="234"/>
      <c r="B115" s="257">
        <v>50</v>
      </c>
      <c r="C115" s="234" t="s">
        <v>442</v>
      </c>
      <c r="D115" s="234">
        <v>2004</v>
      </c>
      <c r="E115" s="234">
        <v>11</v>
      </c>
      <c r="F115" s="234">
        <v>0</v>
      </c>
      <c r="G115" s="234"/>
      <c r="H115" s="234" t="s">
        <v>351</v>
      </c>
      <c r="I115" s="234">
        <v>8</v>
      </c>
      <c r="J115" s="233">
        <f t="shared" si="38"/>
        <v>2012</v>
      </c>
      <c r="K115" s="237">
        <f t="shared" si="39"/>
        <v>2012.9166666666667</v>
      </c>
      <c r="L115" s="245">
        <v>2394.1</v>
      </c>
      <c r="M115" s="239">
        <f t="shared" si="40"/>
        <v>2394.1</v>
      </c>
      <c r="N115" s="239">
        <f t="shared" si="41"/>
        <v>24.938541666666666</v>
      </c>
      <c r="O115" s="239">
        <f t="shared" si="42"/>
        <v>299.26249999999999</v>
      </c>
      <c r="P115" s="261">
        <f t="shared" si="43"/>
        <v>0</v>
      </c>
      <c r="Q115" s="261">
        <f t="shared" si="44"/>
        <v>2394.1</v>
      </c>
      <c r="R115" s="261">
        <f t="shared" si="45"/>
        <v>2394.1</v>
      </c>
      <c r="S115" s="261">
        <f t="shared" si="46"/>
        <v>0</v>
      </c>
    </row>
    <row r="116" spans="1:19" x14ac:dyDescent="0.2">
      <c r="A116" s="234"/>
      <c r="B116" s="257">
        <v>50</v>
      </c>
      <c r="C116" s="234" t="s">
        <v>443</v>
      </c>
      <c r="D116" s="234">
        <v>2004</v>
      </c>
      <c r="E116" s="234">
        <v>11</v>
      </c>
      <c r="F116" s="234">
        <v>0</v>
      </c>
      <c r="G116" s="234"/>
      <c r="H116" s="234" t="s">
        <v>351</v>
      </c>
      <c r="I116" s="234">
        <v>8</v>
      </c>
      <c r="J116" s="233">
        <f t="shared" si="38"/>
        <v>2012</v>
      </c>
      <c r="K116" s="237">
        <f t="shared" si="39"/>
        <v>2012.9166666666667</v>
      </c>
      <c r="L116" s="245">
        <v>2528.6</v>
      </c>
      <c r="M116" s="239">
        <f t="shared" si="40"/>
        <v>2528.6</v>
      </c>
      <c r="N116" s="239">
        <f t="shared" si="41"/>
        <v>26.339583333333334</v>
      </c>
      <c r="O116" s="239">
        <f t="shared" si="42"/>
        <v>316.07499999999999</v>
      </c>
      <c r="P116" s="261">
        <f t="shared" si="43"/>
        <v>0</v>
      </c>
      <c r="Q116" s="261">
        <f t="shared" si="44"/>
        <v>2528.6</v>
      </c>
      <c r="R116" s="261">
        <f t="shared" si="45"/>
        <v>2528.6</v>
      </c>
      <c r="S116" s="261">
        <f t="shared" si="46"/>
        <v>0</v>
      </c>
    </row>
    <row r="117" spans="1:19" x14ac:dyDescent="0.2">
      <c r="A117" s="234"/>
      <c r="B117" s="257" t="s">
        <v>462</v>
      </c>
      <c r="C117" s="234" t="s">
        <v>439</v>
      </c>
      <c r="D117" s="234">
        <v>2004</v>
      </c>
      <c r="E117" s="234">
        <v>12</v>
      </c>
      <c r="F117" s="234">
        <v>0</v>
      </c>
      <c r="G117" s="234"/>
      <c r="H117" s="234" t="s">
        <v>351</v>
      </c>
      <c r="I117" s="234">
        <v>8</v>
      </c>
      <c r="J117" s="233">
        <f t="shared" si="38"/>
        <v>2012</v>
      </c>
      <c r="K117" s="237">
        <f t="shared" si="39"/>
        <v>2013</v>
      </c>
      <c r="L117" s="245">
        <v>7867.17</v>
      </c>
      <c r="M117" s="239">
        <f t="shared" si="40"/>
        <v>7867.17</v>
      </c>
      <c r="N117" s="239">
        <f t="shared" si="41"/>
        <v>81.949687499999996</v>
      </c>
      <c r="O117" s="239">
        <f t="shared" si="42"/>
        <v>983.39625000000001</v>
      </c>
      <c r="P117" s="261">
        <f t="shared" si="43"/>
        <v>0</v>
      </c>
      <c r="Q117" s="261">
        <f t="shared" si="44"/>
        <v>7867.17</v>
      </c>
      <c r="R117" s="261">
        <f t="shared" si="45"/>
        <v>7867.17</v>
      </c>
      <c r="S117" s="261">
        <f t="shared" si="46"/>
        <v>0</v>
      </c>
    </row>
    <row r="118" spans="1:19" s="234" customFormat="1" x14ac:dyDescent="0.2">
      <c r="B118" s="257" t="s">
        <v>462</v>
      </c>
      <c r="C118" s="234" t="s">
        <v>439</v>
      </c>
      <c r="D118" s="234">
        <v>2005</v>
      </c>
      <c r="E118" s="234">
        <v>2</v>
      </c>
      <c r="F118" s="234">
        <v>0</v>
      </c>
      <c r="H118" s="234" t="s">
        <v>351</v>
      </c>
      <c r="I118" s="234">
        <v>8</v>
      </c>
      <c r="J118" s="233">
        <f t="shared" si="38"/>
        <v>2013</v>
      </c>
      <c r="K118" s="237">
        <f t="shared" si="39"/>
        <v>2013.1666666666667</v>
      </c>
      <c r="L118" s="245">
        <v>5101.32</v>
      </c>
      <c r="M118" s="239">
        <f t="shared" si="40"/>
        <v>5101.32</v>
      </c>
      <c r="N118" s="239">
        <f t="shared" si="41"/>
        <v>53.138749999999995</v>
      </c>
      <c r="O118" s="239">
        <f t="shared" si="42"/>
        <v>637.66499999999996</v>
      </c>
      <c r="P118" s="261">
        <f t="shared" si="43"/>
        <v>0</v>
      </c>
      <c r="Q118" s="261">
        <f t="shared" si="44"/>
        <v>5101.32</v>
      </c>
      <c r="R118" s="261">
        <f t="shared" si="45"/>
        <v>5101.32</v>
      </c>
      <c r="S118" s="261">
        <f t="shared" si="46"/>
        <v>0</v>
      </c>
    </row>
    <row r="119" spans="1:19" s="234" customFormat="1" x14ac:dyDescent="0.2">
      <c r="B119" s="257" t="s">
        <v>462</v>
      </c>
      <c r="C119" s="234" t="s">
        <v>444</v>
      </c>
      <c r="D119" s="234">
        <v>2005</v>
      </c>
      <c r="E119" s="234">
        <v>3</v>
      </c>
      <c r="F119" s="234">
        <v>0</v>
      </c>
      <c r="H119" s="234" t="s">
        <v>351</v>
      </c>
      <c r="I119" s="234">
        <v>8</v>
      </c>
      <c r="J119" s="233">
        <f t="shared" si="38"/>
        <v>2013</v>
      </c>
      <c r="K119" s="237">
        <f t="shared" si="39"/>
        <v>2013.25</v>
      </c>
      <c r="L119" s="245">
        <v>6684.11</v>
      </c>
      <c r="M119" s="239">
        <f t="shared" si="40"/>
        <v>6684.11</v>
      </c>
      <c r="N119" s="239">
        <f t="shared" si="41"/>
        <v>69.626145833333325</v>
      </c>
      <c r="O119" s="239">
        <f t="shared" si="42"/>
        <v>835.51374999999985</v>
      </c>
      <c r="P119" s="261">
        <f t="shared" si="43"/>
        <v>0</v>
      </c>
      <c r="Q119" s="261">
        <f t="shared" si="44"/>
        <v>6684.11</v>
      </c>
      <c r="R119" s="261">
        <f t="shared" si="45"/>
        <v>6684.11</v>
      </c>
      <c r="S119" s="261">
        <f t="shared" si="46"/>
        <v>0</v>
      </c>
    </row>
    <row r="120" spans="1:19" s="234" customFormat="1" x14ac:dyDescent="0.2">
      <c r="B120" s="257" t="s">
        <v>463</v>
      </c>
      <c r="C120" s="234" t="s">
        <v>445</v>
      </c>
      <c r="D120" s="234">
        <v>2005</v>
      </c>
      <c r="E120" s="234">
        <v>5</v>
      </c>
      <c r="F120" s="234">
        <v>0</v>
      </c>
      <c r="H120" s="234" t="s">
        <v>351</v>
      </c>
      <c r="I120" s="234">
        <v>8</v>
      </c>
      <c r="J120" s="233">
        <f t="shared" si="38"/>
        <v>2013</v>
      </c>
      <c r="K120" s="237">
        <f t="shared" si="39"/>
        <v>2013.4166666666667</v>
      </c>
      <c r="L120" s="245">
        <v>2465.25</v>
      </c>
      <c r="M120" s="239">
        <f t="shared" si="40"/>
        <v>2465.25</v>
      </c>
      <c r="N120" s="239">
        <f t="shared" si="41"/>
        <v>25.6796875</v>
      </c>
      <c r="O120" s="239">
        <f t="shared" si="42"/>
        <v>308.15625</v>
      </c>
      <c r="P120" s="261">
        <f t="shared" si="43"/>
        <v>0</v>
      </c>
      <c r="Q120" s="261">
        <f t="shared" si="44"/>
        <v>2465.25</v>
      </c>
      <c r="R120" s="261">
        <f t="shared" si="45"/>
        <v>2465.25</v>
      </c>
      <c r="S120" s="261">
        <f t="shared" si="46"/>
        <v>0</v>
      </c>
    </row>
    <row r="121" spans="1:19" s="234" customFormat="1" x14ac:dyDescent="0.2">
      <c r="B121" s="257" t="s">
        <v>462</v>
      </c>
      <c r="C121" s="234" t="s">
        <v>446</v>
      </c>
      <c r="D121" s="234">
        <v>2005</v>
      </c>
      <c r="E121" s="234">
        <v>5</v>
      </c>
      <c r="F121" s="234">
        <v>0</v>
      </c>
      <c r="H121" s="234" t="s">
        <v>351</v>
      </c>
      <c r="I121" s="234">
        <v>8</v>
      </c>
      <c r="J121" s="233">
        <f t="shared" si="38"/>
        <v>2013</v>
      </c>
      <c r="K121" s="237">
        <f t="shared" si="39"/>
        <v>2013.4166666666667</v>
      </c>
      <c r="L121" s="245">
        <v>5301</v>
      </c>
      <c r="M121" s="239">
        <f t="shared" si="40"/>
        <v>5301</v>
      </c>
      <c r="N121" s="239">
        <f t="shared" si="41"/>
        <v>55.21875</v>
      </c>
      <c r="O121" s="239">
        <f t="shared" si="42"/>
        <v>662.625</v>
      </c>
      <c r="P121" s="261">
        <f t="shared" si="43"/>
        <v>0</v>
      </c>
      <c r="Q121" s="261">
        <f t="shared" si="44"/>
        <v>5301</v>
      </c>
      <c r="R121" s="261">
        <f t="shared" si="45"/>
        <v>5301</v>
      </c>
      <c r="S121" s="261">
        <f t="shared" si="46"/>
        <v>0</v>
      </c>
    </row>
    <row r="122" spans="1:19" s="234" customFormat="1" x14ac:dyDescent="0.2">
      <c r="B122" s="257" t="s">
        <v>462</v>
      </c>
      <c r="C122" s="234" t="s">
        <v>446</v>
      </c>
      <c r="D122" s="234">
        <v>2005</v>
      </c>
      <c r="E122" s="234">
        <v>6</v>
      </c>
      <c r="F122" s="234">
        <v>0</v>
      </c>
      <c r="H122" s="234" t="s">
        <v>351</v>
      </c>
      <c r="I122" s="234">
        <v>8</v>
      </c>
      <c r="J122" s="233">
        <f t="shared" si="38"/>
        <v>2013</v>
      </c>
      <c r="K122" s="237">
        <f t="shared" si="39"/>
        <v>2013.5</v>
      </c>
      <c r="L122" s="245">
        <v>4200.3</v>
      </c>
      <c r="M122" s="239">
        <f t="shared" si="40"/>
        <v>4200.3</v>
      </c>
      <c r="N122" s="239">
        <f t="shared" si="41"/>
        <v>43.753125000000004</v>
      </c>
      <c r="O122" s="239">
        <f t="shared" si="42"/>
        <v>525.03750000000002</v>
      </c>
      <c r="P122" s="261">
        <f t="shared" si="43"/>
        <v>0</v>
      </c>
      <c r="Q122" s="261">
        <f t="shared" si="44"/>
        <v>4200.3</v>
      </c>
      <c r="R122" s="261">
        <f t="shared" si="45"/>
        <v>4200.3</v>
      </c>
      <c r="S122" s="261">
        <f t="shared" si="46"/>
        <v>0</v>
      </c>
    </row>
    <row r="123" spans="1:19" s="234" customFormat="1" x14ac:dyDescent="0.2">
      <c r="B123" s="257" t="s">
        <v>462</v>
      </c>
      <c r="C123" s="234" t="s">
        <v>447</v>
      </c>
      <c r="D123" s="234">
        <v>2005</v>
      </c>
      <c r="E123" s="234">
        <v>7</v>
      </c>
      <c r="F123" s="234">
        <v>0</v>
      </c>
      <c r="H123" s="234" t="s">
        <v>351</v>
      </c>
      <c r="I123" s="234">
        <v>8</v>
      </c>
      <c r="J123" s="233">
        <f t="shared" si="38"/>
        <v>2013</v>
      </c>
      <c r="K123" s="237">
        <f t="shared" si="39"/>
        <v>2013.5833333333333</v>
      </c>
      <c r="L123" s="245">
        <v>5923.5</v>
      </c>
      <c r="M123" s="239">
        <f t="shared" si="40"/>
        <v>5923.5</v>
      </c>
      <c r="N123" s="239">
        <f t="shared" si="41"/>
        <v>61.703125</v>
      </c>
      <c r="O123" s="239">
        <f t="shared" si="42"/>
        <v>740.4375</v>
      </c>
      <c r="P123" s="261">
        <f t="shared" si="43"/>
        <v>0</v>
      </c>
      <c r="Q123" s="261">
        <f t="shared" si="44"/>
        <v>5923.5</v>
      </c>
      <c r="R123" s="261">
        <f t="shared" si="45"/>
        <v>5923.5</v>
      </c>
      <c r="S123" s="261">
        <f t="shared" si="46"/>
        <v>0</v>
      </c>
    </row>
    <row r="124" spans="1:19" s="234" customFormat="1" x14ac:dyDescent="0.2">
      <c r="B124" s="257" t="s">
        <v>462</v>
      </c>
      <c r="C124" s="234" t="s">
        <v>447</v>
      </c>
      <c r="D124" s="234">
        <v>2005</v>
      </c>
      <c r="E124" s="234">
        <v>9</v>
      </c>
      <c r="F124" s="234">
        <v>0</v>
      </c>
      <c r="H124" s="234" t="s">
        <v>351</v>
      </c>
      <c r="I124" s="234">
        <v>8</v>
      </c>
      <c r="J124" s="233">
        <f t="shared" si="38"/>
        <v>2013</v>
      </c>
      <c r="K124" s="237">
        <f t="shared" si="39"/>
        <v>2013.75</v>
      </c>
      <c r="L124" s="245">
        <v>5842.73</v>
      </c>
      <c r="M124" s="239">
        <f t="shared" si="40"/>
        <v>5842.73</v>
      </c>
      <c r="N124" s="239">
        <f t="shared" si="41"/>
        <v>60.861770833333331</v>
      </c>
      <c r="O124" s="239">
        <f t="shared" si="42"/>
        <v>730.34124999999995</v>
      </c>
      <c r="P124" s="261">
        <f t="shared" si="43"/>
        <v>0</v>
      </c>
      <c r="Q124" s="261">
        <f t="shared" si="44"/>
        <v>5842.73</v>
      </c>
      <c r="R124" s="261">
        <f t="shared" si="45"/>
        <v>5842.73</v>
      </c>
      <c r="S124" s="261">
        <f t="shared" si="46"/>
        <v>0</v>
      </c>
    </row>
    <row r="125" spans="1:19" s="234" customFormat="1" x14ac:dyDescent="0.2">
      <c r="B125" s="257" t="s">
        <v>462</v>
      </c>
      <c r="C125" s="234" t="s">
        <v>446</v>
      </c>
      <c r="D125" s="234">
        <v>2005</v>
      </c>
      <c r="E125" s="234">
        <v>9</v>
      </c>
      <c r="F125" s="234">
        <v>0</v>
      </c>
      <c r="H125" s="234" t="s">
        <v>351</v>
      </c>
      <c r="I125" s="234">
        <v>8</v>
      </c>
      <c r="J125" s="233">
        <f t="shared" si="38"/>
        <v>2013</v>
      </c>
      <c r="K125" s="237">
        <f t="shared" si="39"/>
        <v>2013.75</v>
      </c>
      <c r="L125" s="245">
        <v>4765.72</v>
      </c>
      <c r="M125" s="239">
        <f t="shared" si="40"/>
        <v>4765.72</v>
      </c>
      <c r="N125" s="239">
        <f t="shared" si="41"/>
        <v>49.642916666666672</v>
      </c>
      <c r="O125" s="239">
        <f t="shared" si="42"/>
        <v>595.71500000000003</v>
      </c>
      <c r="P125" s="261">
        <f t="shared" si="43"/>
        <v>0</v>
      </c>
      <c r="Q125" s="261">
        <f t="shared" si="44"/>
        <v>4765.72</v>
      </c>
      <c r="R125" s="261">
        <f t="shared" si="45"/>
        <v>4765.72</v>
      </c>
      <c r="S125" s="261">
        <f t="shared" si="46"/>
        <v>0</v>
      </c>
    </row>
    <row r="126" spans="1:19" s="234" customFormat="1" x14ac:dyDescent="0.2">
      <c r="B126" s="257" t="s">
        <v>463</v>
      </c>
      <c r="C126" s="234" t="s">
        <v>448</v>
      </c>
      <c r="D126" s="234">
        <v>2005</v>
      </c>
      <c r="E126" s="234">
        <v>11</v>
      </c>
      <c r="F126" s="234">
        <v>0</v>
      </c>
      <c r="H126" s="234" t="s">
        <v>351</v>
      </c>
      <c r="I126" s="234">
        <v>8</v>
      </c>
      <c r="J126" s="233">
        <f t="shared" si="38"/>
        <v>2013</v>
      </c>
      <c r="K126" s="237">
        <f t="shared" si="39"/>
        <v>2013.9166666666667</v>
      </c>
      <c r="L126" s="245">
        <v>2692.5</v>
      </c>
      <c r="M126" s="239">
        <f t="shared" si="40"/>
        <v>2692.5</v>
      </c>
      <c r="N126" s="239">
        <f t="shared" si="41"/>
        <v>28.046875</v>
      </c>
      <c r="O126" s="239">
        <f t="shared" si="42"/>
        <v>336.5625</v>
      </c>
      <c r="P126" s="261">
        <f t="shared" si="43"/>
        <v>0</v>
      </c>
      <c r="Q126" s="261">
        <f t="shared" si="44"/>
        <v>2692.5</v>
      </c>
      <c r="R126" s="261">
        <f t="shared" si="45"/>
        <v>2692.5</v>
      </c>
      <c r="S126" s="261">
        <f t="shared" si="46"/>
        <v>0</v>
      </c>
    </row>
    <row r="127" spans="1:19" s="234" customFormat="1" x14ac:dyDescent="0.2">
      <c r="B127" s="257" t="s">
        <v>462</v>
      </c>
      <c r="C127" s="234" t="s">
        <v>446</v>
      </c>
      <c r="D127" s="234">
        <v>2005</v>
      </c>
      <c r="E127" s="234">
        <v>12</v>
      </c>
      <c r="F127" s="234">
        <v>0</v>
      </c>
      <c r="H127" s="234" t="s">
        <v>351</v>
      </c>
      <c r="I127" s="234">
        <v>8</v>
      </c>
      <c r="J127" s="233">
        <f t="shared" si="38"/>
        <v>2013</v>
      </c>
      <c r="K127" s="237">
        <f t="shared" si="39"/>
        <v>2014</v>
      </c>
      <c r="L127" s="245">
        <v>5247.14</v>
      </c>
      <c r="M127" s="239">
        <f t="shared" si="40"/>
        <v>5247.14</v>
      </c>
      <c r="N127" s="239">
        <f t="shared" si="41"/>
        <v>54.657708333333339</v>
      </c>
      <c r="O127" s="239">
        <f t="shared" si="42"/>
        <v>655.89250000000004</v>
      </c>
      <c r="P127" s="261">
        <f t="shared" si="43"/>
        <v>0</v>
      </c>
      <c r="Q127" s="261">
        <f t="shared" si="44"/>
        <v>5247.14</v>
      </c>
      <c r="R127" s="261">
        <f t="shared" si="45"/>
        <v>5247.14</v>
      </c>
      <c r="S127" s="261">
        <f t="shared" si="46"/>
        <v>0</v>
      </c>
    </row>
    <row r="128" spans="1:19" s="234" customFormat="1" x14ac:dyDescent="0.2">
      <c r="B128" s="257" t="s">
        <v>463</v>
      </c>
      <c r="C128" s="234" t="s">
        <v>445</v>
      </c>
      <c r="D128" s="234">
        <v>2006</v>
      </c>
      <c r="E128" s="234">
        <v>3</v>
      </c>
      <c r="F128" s="234">
        <v>0</v>
      </c>
      <c r="H128" s="234" t="s">
        <v>351</v>
      </c>
      <c r="I128" s="234">
        <v>8</v>
      </c>
      <c r="J128" s="233">
        <f t="shared" si="38"/>
        <v>2014</v>
      </c>
      <c r="K128" s="237">
        <f t="shared" si="39"/>
        <v>2014.25</v>
      </c>
      <c r="L128" s="245">
        <v>2568.11</v>
      </c>
      <c r="M128" s="239">
        <f t="shared" si="40"/>
        <v>2568.11</v>
      </c>
      <c r="N128" s="239">
        <f t="shared" si="41"/>
        <v>26.751145833333336</v>
      </c>
      <c r="O128" s="239">
        <f t="shared" si="42"/>
        <v>321.01375000000002</v>
      </c>
      <c r="P128" s="261">
        <f t="shared" si="43"/>
        <v>0</v>
      </c>
      <c r="Q128" s="261">
        <f t="shared" si="44"/>
        <v>2568.11</v>
      </c>
      <c r="R128" s="261">
        <f t="shared" si="45"/>
        <v>2568.11</v>
      </c>
      <c r="S128" s="261">
        <f t="shared" si="46"/>
        <v>0</v>
      </c>
    </row>
    <row r="129" spans="2:19" s="234" customFormat="1" x14ac:dyDescent="0.2">
      <c r="B129" s="257" t="s">
        <v>463</v>
      </c>
      <c r="C129" s="234" t="s">
        <v>448</v>
      </c>
      <c r="D129" s="234">
        <v>2006</v>
      </c>
      <c r="E129" s="234">
        <v>3</v>
      </c>
      <c r="F129" s="234">
        <v>0</v>
      </c>
      <c r="H129" s="234" t="s">
        <v>351</v>
      </c>
      <c r="I129" s="234">
        <v>8</v>
      </c>
      <c r="J129" s="233">
        <f t="shared" si="38"/>
        <v>2014</v>
      </c>
      <c r="K129" s="237">
        <f t="shared" si="39"/>
        <v>2014.25</v>
      </c>
      <c r="L129" s="245">
        <v>2907.9</v>
      </c>
      <c r="M129" s="239">
        <f t="shared" si="40"/>
        <v>2907.9</v>
      </c>
      <c r="N129" s="239">
        <f t="shared" si="41"/>
        <v>30.290625000000002</v>
      </c>
      <c r="O129" s="239">
        <f t="shared" si="42"/>
        <v>363.48750000000001</v>
      </c>
      <c r="P129" s="261">
        <f t="shared" si="43"/>
        <v>0</v>
      </c>
      <c r="Q129" s="261">
        <f t="shared" si="44"/>
        <v>2907.9</v>
      </c>
      <c r="R129" s="261">
        <f t="shared" si="45"/>
        <v>2907.9</v>
      </c>
      <c r="S129" s="261">
        <f t="shared" si="46"/>
        <v>0</v>
      </c>
    </row>
    <row r="130" spans="2:19" s="234" customFormat="1" x14ac:dyDescent="0.2">
      <c r="B130" s="257" t="s">
        <v>464</v>
      </c>
      <c r="C130" s="234" t="s">
        <v>449</v>
      </c>
      <c r="D130" s="234">
        <v>2006</v>
      </c>
      <c r="E130" s="234">
        <v>6</v>
      </c>
      <c r="F130" s="234">
        <v>0</v>
      </c>
      <c r="H130" s="234" t="s">
        <v>351</v>
      </c>
      <c r="I130" s="234">
        <v>8</v>
      </c>
      <c r="J130" s="233">
        <f t="shared" si="38"/>
        <v>2014</v>
      </c>
      <c r="K130" s="237">
        <f t="shared" si="39"/>
        <v>2014.5</v>
      </c>
      <c r="L130" s="245">
        <v>1421.64</v>
      </c>
      <c r="M130" s="239">
        <f t="shared" si="40"/>
        <v>1421.64</v>
      </c>
      <c r="N130" s="239">
        <f t="shared" si="41"/>
        <v>14.808750000000002</v>
      </c>
      <c r="O130" s="239">
        <f t="shared" si="42"/>
        <v>177.70500000000001</v>
      </c>
      <c r="P130" s="261">
        <f t="shared" si="43"/>
        <v>0</v>
      </c>
      <c r="Q130" s="261">
        <f t="shared" si="44"/>
        <v>1421.64</v>
      </c>
      <c r="R130" s="261">
        <f t="shared" si="45"/>
        <v>1421.64</v>
      </c>
      <c r="S130" s="261">
        <f t="shared" si="46"/>
        <v>0</v>
      </c>
    </row>
    <row r="131" spans="2:19" s="234" customFormat="1" x14ac:dyDescent="0.2">
      <c r="B131" s="257" t="s">
        <v>462</v>
      </c>
      <c r="C131" s="234" t="s">
        <v>446</v>
      </c>
      <c r="D131" s="234">
        <v>2006</v>
      </c>
      <c r="E131" s="234">
        <v>6</v>
      </c>
      <c r="F131" s="234">
        <v>0</v>
      </c>
      <c r="H131" s="234" t="s">
        <v>351</v>
      </c>
      <c r="I131" s="234">
        <v>8</v>
      </c>
      <c r="J131" s="233">
        <f t="shared" si="38"/>
        <v>2014</v>
      </c>
      <c r="K131" s="237">
        <f t="shared" si="39"/>
        <v>2014.5</v>
      </c>
      <c r="L131" s="245">
        <v>5061.8999999999996</v>
      </c>
      <c r="M131" s="239">
        <f t="shared" si="40"/>
        <v>5061.8999999999996</v>
      </c>
      <c r="N131" s="239">
        <f t="shared" si="41"/>
        <v>52.728124999999999</v>
      </c>
      <c r="O131" s="239">
        <f t="shared" si="42"/>
        <v>632.73749999999995</v>
      </c>
      <c r="P131" s="261">
        <f t="shared" si="43"/>
        <v>0</v>
      </c>
      <c r="Q131" s="261">
        <f t="shared" si="44"/>
        <v>5061.8999999999996</v>
      </c>
      <c r="R131" s="261">
        <f t="shared" si="45"/>
        <v>5061.8999999999996</v>
      </c>
      <c r="S131" s="261">
        <f t="shared" si="46"/>
        <v>0</v>
      </c>
    </row>
    <row r="132" spans="2:19" s="234" customFormat="1" x14ac:dyDescent="0.2">
      <c r="B132" s="257" t="s">
        <v>463</v>
      </c>
      <c r="C132" s="234" t="s">
        <v>450</v>
      </c>
      <c r="D132" s="234">
        <v>2006</v>
      </c>
      <c r="E132" s="234">
        <v>8</v>
      </c>
      <c r="F132" s="234">
        <v>0</v>
      </c>
      <c r="H132" s="234" t="s">
        <v>351</v>
      </c>
      <c r="I132" s="234">
        <v>8</v>
      </c>
      <c r="J132" s="233">
        <f t="shared" si="38"/>
        <v>2014</v>
      </c>
      <c r="K132" s="237">
        <f t="shared" si="39"/>
        <v>2014.6666666666667</v>
      </c>
      <c r="L132" s="245">
        <v>5761.95</v>
      </c>
      <c r="M132" s="239">
        <f t="shared" si="40"/>
        <v>5761.95</v>
      </c>
      <c r="N132" s="239">
        <f t="shared" si="41"/>
        <v>60.020312499999996</v>
      </c>
      <c r="O132" s="239">
        <f t="shared" si="42"/>
        <v>720.24374999999998</v>
      </c>
      <c r="P132" s="261">
        <f t="shared" si="43"/>
        <v>0</v>
      </c>
      <c r="Q132" s="261">
        <f t="shared" si="44"/>
        <v>5761.95</v>
      </c>
      <c r="R132" s="261">
        <f t="shared" si="45"/>
        <v>5761.95</v>
      </c>
      <c r="S132" s="261">
        <f t="shared" si="46"/>
        <v>0</v>
      </c>
    </row>
    <row r="133" spans="2:19" s="234" customFormat="1" x14ac:dyDescent="0.2">
      <c r="B133" s="257" t="s">
        <v>463</v>
      </c>
      <c r="C133" s="234" t="s">
        <v>445</v>
      </c>
      <c r="D133" s="234">
        <v>2006</v>
      </c>
      <c r="E133" s="234">
        <v>8</v>
      </c>
      <c r="F133" s="234">
        <v>0</v>
      </c>
      <c r="H133" s="234" t="s">
        <v>351</v>
      </c>
      <c r="I133" s="234">
        <v>8</v>
      </c>
      <c r="J133" s="233">
        <f t="shared" si="38"/>
        <v>2014</v>
      </c>
      <c r="K133" s="237">
        <f t="shared" si="39"/>
        <v>2014.6666666666667</v>
      </c>
      <c r="L133" s="245">
        <v>2083.46</v>
      </c>
      <c r="M133" s="239">
        <f t="shared" si="40"/>
        <v>2083.46</v>
      </c>
      <c r="N133" s="239">
        <f t="shared" si="41"/>
        <v>21.702708333333334</v>
      </c>
      <c r="O133" s="239">
        <f t="shared" si="42"/>
        <v>260.4325</v>
      </c>
      <c r="P133" s="261">
        <f t="shared" si="43"/>
        <v>0</v>
      </c>
      <c r="Q133" s="261">
        <f t="shared" si="44"/>
        <v>2083.46</v>
      </c>
      <c r="R133" s="261">
        <f t="shared" si="45"/>
        <v>2083.46</v>
      </c>
      <c r="S133" s="261">
        <f t="shared" si="46"/>
        <v>0</v>
      </c>
    </row>
    <row r="134" spans="2:19" s="234" customFormat="1" x14ac:dyDescent="0.2">
      <c r="B134" s="257" t="s">
        <v>463</v>
      </c>
      <c r="C134" s="234" t="s">
        <v>448</v>
      </c>
      <c r="D134" s="234">
        <v>2006</v>
      </c>
      <c r="E134" s="234">
        <v>10</v>
      </c>
      <c r="F134" s="234">
        <v>0</v>
      </c>
      <c r="H134" s="234" t="s">
        <v>351</v>
      </c>
      <c r="I134" s="234">
        <v>8</v>
      </c>
      <c r="J134" s="233">
        <f t="shared" si="38"/>
        <v>2014</v>
      </c>
      <c r="K134" s="237">
        <f t="shared" si="39"/>
        <v>2014.8333333333333</v>
      </c>
      <c r="L134" s="245">
        <v>2584.8000000000002</v>
      </c>
      <c r="M134" s="239">
        <f t="shared" si="40"/>
        <v>2584.8000000000002</v>
      </c>
      <c r="N134" s="239">
        <f t="shared" si="41"/>
        <v>26.925000000000001</v>
      </c>
      <c r="O134" s="239">
        <f t="shared" si="42"/>
        <v>323.10000000000002</v>
      </c>
      <c r="P134" s="261">
        <f t="shared" si="43"/>
        <v>0</v>
      </c>
      <c r="Q134" s="261">
        <f t="shared" si="44"/>
        <v>2584.8000000000002</v>
      </c>
      <c r="R134" s="261">
        <f t="shared" si="45"/>
        <v>2584.8000000000002</v>
      </c>
      <c r="S134" s="261">
        <f t="shared" si="46"/>
        <v>0</v>
      </c>
    </row>
    <row r="135" spans="2:19" s="234" customFormat="1" x14ac:dyDescent="0.2">
      <c r="B135" s="257" t="s">
        <v>462</v>
      </c>
      <c r="C135" s="234" t="s">
        <v>446</v>
      </c>
      <c r="D135" s="234">
        <v>2006</v>
      </c>
      <c r="E135" s="234">
        <v>10</v>
      </c>
      <c r="F135" s="234">
        <v>0</v>
      </c>
      <c r="H135" s="234" t="s">
        <v>351</v>
      </c>
      <c r="I135" s="234">
        <v>8</v>
      </c>
      <c r="J135" s="233">
        <f t="shared" si="38"/>
        <v>2014</v>
      </c>
      <c r="K135" s="237">
        <f t="shared" si="39"/>
        <v>2014.8333333333333</v>
      </c>
      <c r="L135" s="245">
        <v>5061.8999999999996</v>
      </c>
      <c r="M135" s="239">
        <f t="shared" si="40"/>
        <v>5061.8999999999996</v>
      </c>
      <c r="N135" s="239">
        <f t="shared" si="41"/>
        <v>52.728124999999999</v>
      </c>
      <c r="O135" s="239">
        <f t="shared" si="42"/>
        <v>632.73749999999995</v>
      </c>
      <c r="P135" s="261">
        <f t="shared" si="43"/>
        <v>0</v>
      </c>
      <c r="Q135" s="261">
        <f t="shared" si="44"/>
        <v>5061.8999999999996</v>
      </c>
      <c r="R135" s="261">
        <f t="shared" si="45"/>
        <v>5061.8999999999996</v>
      </c>
      <c r="S135" s="261">
        <f t="shared" si="46"/>
        <v>0</v>
      </c>
    </row>
    <row r="136" spans="2:19" s="234" customFormat="1" x14ac:dyDescent="0.2">
      <c r="B136" s="257" t="s">
        <v>462</v>
      </c>
      <c r="C136" s="234" t="s">
        <v>451</v>
      </c>
      <c r="D136" s="234">
        <v>2007</v>
      </c>
      <c r="E136" s="234">
        <v>2</v>
      </c>
      <c r="F136" s="234">
        <v>0</v>
      </c>
      <c r="H136" s="234" t="s">
        <v>351</v>
      </c>
      <c r="I136" s="234">
        <v>8</v>
      </c>
      <c r="J136" s="233">
        <f t="shared" si="38"/>
        <v>2015</v>
      </c>
      <c r="K136" s="237">
        <f t="shared" si="39"/>
        <v>2015.1666666666667</v>
      </c>
      <c r="L136" s="245">
        <v>4166.91</v>
      </c>
      <c r="M136" s="239">
        <f t="shared" si="40"/>
        <v>4166.91</v>
      </c>
      <c r="N136" s="239">
        <f t="shared" si="41"/>
        <v>43.405312500000001</v>
      </c>
      <c r="O136" s="239">
        <f t="shared" si="42"/>
        <v>520.86374999999998</v>
      </c>
      <c r="P136" s="261">
        <f t="shared" si="43"/>
        <v>0</v>
      </c>
      <c r="Q136" s="261">
        <f t="shared" si="44"/>
        <v>4166.91</v>
      </c>
      <c r="R136" s="261">
        <f t="shared" si="45"/>
        <v>4166.91</v>
      </c>
      <c r="S136" s="261">
        <f t="shared" si="46"/>
        <v>0</v>
      </c>
    </row>
    <row r="137" spans="2:19" s="234" customFormat="1" x14ac:dyDescent="0.2">
      <c r="B137" s="257" t="s">
        <v>462</v>
      </c>
      <c r="C137" s="234" t="s">
        <v>446</v>
      </c>
      <c r="D137" s="234">
        <v>2007</v>
      </c>
      <c r="E137" s="234">
        <v>2</v>
      </c>
      <c r="F137" s="234">
        <v>0</v>
      </c>
      <c r="H137" s="234" t="s">
        <v>351</v>
      </c>
      <c r="I137" s="234">
        <v>8</v>
      </c>
      <c r="J137" s="233">
        <f t="shared" si="38"/>
        <v>2015</v>
      </c>
      <c r="K137" s="237">
        <f t="shared" si="39"/>
        <v>2015.1666666666667</v>
      </c>
      <c r="L137" s="245">
        <v>5923.5</v>
      </c>
      <c r="M137" s="239">
        <f t="shared" si="40"/>
        <v>5923.5</v>
      </c>
      <c r="N137" s="239">
        <f t="shared" si="41"/>
        <v>61.703125</v>
      </c>
      <c r="O137" s="239">
        <f t="shared" si="42"/>
        <v>740.4375</v>
      </c>
      <c r="P137" s="261">
        <f t="shared" si="43"/>
        <v>0</v>
      </c>
      <c r="Q137" s="261">
        <f t="shared" si="44"/>
        <v>5923.5</v>
      </c>
      <c r="R137" s="261">
        <f t="shared" si="45"/>
        <v>5923.5</v>
      </c>
      <c r="S137" s="261">
        <f t="shared" si="46"/>
        <v>0</v>
      </c>
    </row>
    <row r="138" spans="2:19" s="234" customFormat="1" x14ac:dyDescent="0.2">
      <c r="B138" s="257" t="s">
        <v>462</v>
      </c>
      <c r="C138" s="234" t="s">
        <v>447</v>
      </c>
      <c r="D138" s="234">
        <v>2007</v>
      </c>
      <c r="E138" s="234">
        <v>5</v>
      </c>
      <c r="F138" s="234">
        <v>0</v>
      </c>
      <c r="H138" s="234" t="s">
        <v>351</v>
      </c>
      <c r="I138" s="234">
        <v>8</v>
      </c>
      <c r="J138" s="233">
        <f t="shared" si="38"/>
        <v>2015</v>
      </c>
      <c r="K138" s="237">
        <f t="shared" si="39"/>
        <v>2015.4166666666667</v>
      </c>
      <c r="L138" s="245">
        <v>6785.1</v>
      </c>
      <c r="M138" s="239">
        <f t="shared" si="40"/>
        <v>6785.1</v>
      </c>
      <c r="N138" s="239">
        <f t="shared" si="41"/>
        <v>70.678125000000009</v>
      </c>
      <c r="O138" s="239">
        <f t="shared" si="42"/>
        <v>848.13750000000005</v>
      </c>
      <c r="P138" s="261">
        <f t="shared" si="43"/>
        <v>0</v>
      </c>
      <c r="Q138" s="261">
        <f t="shared" si="44"/>
        <v>6785.1</v>
      </c>
      <c r="R138" s="261">
        <f t="shared" si="45"/>
        <v>6785.1</v>
      </c>
      <c r="S138" s="261">
        <f t="shared" si="46"/>
        <v>0</v>
      </c>
    </row>
    <row r="139" spans="2:19" s="234" customFormat="1" x14ac:dyDescent="0.2">
      <c r="B139" s="257" t="s">
        <v>462</v>
      </c>
      <c r="C139" s="234" t="s">
        <v>452</v>
      </c>
      <c r="D139" s="234">
        <v>2007</v>
      </c>
      <c r="E139" s="234">
        <v>9</v>
      </c>
      <c r="F139" s="234">
        <v>0</v>
      </c>
      <c r="H139" s="234" t="s">
        <v>351</v>
      </c>
      <c r="I139" s="234">
        <v>8</v>
      </c>
      <c r="J139" s="233">
        <f t="shared" ref="J139:J168" si="47">D139+I139</f>
        <v>2015</v>
      </c>
      <c r="K139" s="237">
        <f t="shared" ref="K139:K168" si="48">+J139+(E139/12)</f>
        <v>2015.75</v>
      </c>
      <c r="L139" s="245">
        <v>6946.65</v>
      </c>
      <c r="M139" s="239">
        <f t="shared" ref="M139:M168" si="49">L139-L139*F139</f>
        <v>6946.65</v>
      </c>
      <c r="N139" s="239">
        <f t="shared" ref="N139:N168" si="50">M139/I139/12</f>
        <v>72.360937499999991</v>
      </c>
      <c r="O139" s="239">
        <f t="shared" ref="O139:O168" si="51">+N139*12</f>
        <v>868.33124999999995</v>
      </c>
      <c r="P139" s="261">
        <f t="shared" ref="P139:P168" si="52">+IF(K139&lt;=$M$5,0,IF(J139&gt;$M$4,O139,(N139*E139)))</f>
        <v>0</v>
      </c>
      <c r="Q139" s="261">
        <f t="shared" ref="Q139:Q168" si="53">+IF(P139=0,M139,IF($M$3-D139&lt;1,0,(($M$3-D139)*O139)))</f>
        <v>6946.65</v>
      </c>
      <c r="R139" s="261">
        <f t="shared" ref="R139:R168" si="54">+IF(P139=0,Q139,Q139+P139)</f>
        <v>6946.65</v>
      </c>
      <c r="S139" s="261">
        <f t="shared" ref="S139:S168" si="55">+L139-R139</f>
        <v>0</v>
      </c>
    </row>
    <row r="140" spans="2:19" s="234" customFormat="1" x14ac:dyDescent="0.2">
      <c r="B140" s="257" t="s">
        <v>462</v>
      </c>
      <c r="C140" s="234" t="s">
        <v>453</v>
      </c>
      <c r="D140" s="234">
        <v>2007</v>
      </c>
      <c r="E140" s="234">
        <v>11</v>
      </c>
      <c r="F140" s="234">
        <v>0</v>
      </c>
      <c r="H140" s="234" t="s">
        <v>351</v>
      </c>
      <c r="I140" s="234">
        <v>8</v>
      </c>
      <c r="J140" s="233">
        <f t="shared" si="47"/>
        <v>2015</v>
      </c>
      <c r="K140" s="237">
        <f t="shared" si="48"/>
        <v>2015.9166666666667</v>
      </c>
      <c r="L140" s="245">
        <v>5869.65</v>
      </c>
      <c r="M140" s="239">
        <f t="shared" si="49"/>
        <v>5869.65</v>
      </c>
      <c r="N140" s="239">
        <f t="shared" si="50"/>
        <v>61.142187499999999</v>
      </c>
      <c r="O140" s="239">
        <f t="shared" si="51"/>
        <v>733.70624999999995</v>
      </c>
      <c r="P140" s="261">
        <f t="shared" si="52"/>
        <v>0</v>
      </c>
      <c r="Q140" s="261">
        <f t="shared" si="53"/>
        <v>5869.65</v>
      </c>
      <c r="R140" s="261">
        <f t="shared" si="54"/>
        <v>5869.65</v>
      </c>
      <c r="S140" s="261">
        <f t="shared" si="55"/>
        <v>0</v>
      </c>
    </row>
    <row r="141" spans="2:19" s="234" customFormat="1" x14ac:dyDescent="0.2">
      <c r="B141" s="257" t="s">
        <v>463</v>
      </c>
      <c r="C141" s="234" t="s">
        <v>454</v>
      </c>
      <c r="D141" s="234">
        <v>2007</v>
      </c>
      <c r="E141" s="234">
        <v>11</v>
      </c>
      <c r="F141" s="234">
        <v>0</v>
      </c>
      <c r="H141" s="234" t="s">
        <v>351</v>
      </c>
      <c r="I141" s="234">
        <v>8</v>
      </c>
      <c r="J141" s="233">
        <f t="shared" si="47"/>
        <v>2015</v>
      </c>
      <c r="K141" s="237">
        <f t="shared" si="48"/>
        <v>2015.9166666666667</v>
      </c>
      <c r="L141" s="245">
        <v>3473.33</v>
      </c>
      <c r="M141" s="239">
        <f t="shared" si="49"/>
        <v>3473.33</v>
      </c>
      <c r="N141" s="239">
        <f t="shared" si="50"/>
        <v>36.180520833333333</v>
      </c>
      <c r="O141" s="239">
        <f t="shared" si="51"/>
        <v>434.16624999999999</v>
      </c>
      <c r="P141" s="261">
        <f t="shared" si="52"/>
        <v>0</v>
      </c>
      <c r="Q141" s="261">
        <f t="shared" si="53"/>
        <v>3473.33</v>
      </c>
      <c r="R141" s="261">
        <f t="shared" si="54"/>
        <v>3473.33</v>
      </c>
      <c r="S141" s="261">
        <f t="shared" si="55"/>
        <v>0</v>
      </c>
    </row>
    <row r="142" spans="2:19" s="234" customFormat="1" x14ac:dyDescent="0.2">
      <c r="B142" s="257" t="s">
        <v>462</v>
      </c>
      <c r="C142" s="234" t="s">
        <v>453</v>
      </c>
      <c r="D142" s="234">
        <v>2007</v>
      </c>
      <c r="E142" s="234">
        <v>12</v>
      </c>
      <c r="F142" s="234">
        <v>0</v>
      </c>
      <c r="H142" s="234" t="s">
        <v>351</v>
      </c>
      <c r="I142" s="234">
        <v>8</v>
      </c>
      <c r="J142" s="233">
        <f t="shared" si="47"/>
        <v>2015</v>
      </c>
      <c r="K142" s="237">
        <f t="shared" si="48"/>
        <v>2016</v>
      </c>
      <c r="L142" s="245">
        <v>5869.65</v>
      </c>
      <c r="M142" s="239">
        <f t="shared" si="49"/>
        <v>5869.65</v>
      </c>
      <c r="N142" s="239">
        <f t="shared" si="50"/>
        <v>61.142187499999999</v>
      </c>
      <c r="O142" s="239">
        <f t="shared" si="51"/>
        <v>733.70624999999995</v>
      </c>
      <c r="P142" s="261">
        <f t="shared" si="52"/>
        <v>0</v>
      </c>
      <c r="Q142" s="261">
        <f t="shared" si="53"/>
        <v>5869.65</v>
      </c>
      <c r="R142" s="261">
        <f t="shared" si="54"/>
        <v>5869.65</v>
      </c>
      <c r="S142" s="261">
        <f t="shared" si="55"/>
        <v>0</v>
      </c>
    </row>
    <row r="143" spans="2:19" s="234" customFormat="1" x14ac:dyDescent="0.2">
      <c r="B143" s="257" t="s">
        <v>463</v>
      </c>
      <c r="C143" s="234" t="s">
        <v>454</v>
      </c>
      <c r="D143" s="234">
        <v>2008</v>
      </c>
      <c r="E143" s="234">
        <v>1</v>
      </c>
      <c r="F143" s="234">
        <v>0</v>
      </c>
      <c r="H143" s="234" t="s">
        <v>351</v>
      </c>
      <c r="I143" s="234">
        <v>8</v>
      </c>
      <c r="J143" s="233">
        <f t="shared" si="47"/>
        <v>2016</v>
      </c>
      <c r="K143" s="237">
        <f t="shared" si="48"/>
        <v>2016.0833333333333</v>
      </c>
      <c r="L143" s="245">
        <v>3069.45</v>
      </c>
      <c r="M143" s="239">
        <f t="shared" si="49"/>
        <v>3069.45</v>
      </c>
      <c r="N143" s="239">
        <f t="shared" si="50"/>
        <v>31.973437499999999</v>
      </c>
      <c r="O143" s="239">
        <f t="shared" si="51"/>
        <v>383.68124999999998</v>
      </c>
      <c r="P143" s="261">
        <f t="shared" si="52"/>
        <v>0</v>
      </c>
      <c r="Q143" s="261">
        <f t="shared" si="53"/>
        <v>3069.45</v>
      </c>
      <c r="R143" s="261">
        <f t="shared" si="54"/>
        <v>3069.45</v>
      </c>
      <c r="S143" s="261">
        <f t="shared" si="55"/>
        <v>0</v>
      </c>
    </row>
    <row r="144" spans="2:19" s="234" customFormat="1" x14ac:dyDescent="0.2">
      <c r="B144" s="257" t="s">
        <v>462</v>
      </c>
      <c r="C144" s="234" t="s">
        <v>455</v>
      </c>
      <c r="D144" s="234">
        <v>2008</v>
      </c>
      <c r="E144" s="234">
        <v>1</v>
      </c>
      <c r="F144" s="234">
        <v>0</v>
      </c>
      <c r="H144" s="234" t="s">
        <v>351</v>
      </c>
      <c r="I144" s="234">
        <v>8</v>
      </c>
      <c r="J144" s="233">
        <f t="shared" si="47"/>
        <v>2016</v>
      </c>
      <c r="K144" s="237">
        <f t="shared" si="48"/>
        <v>2016.0833333333333</v>
      </c>
      <c r="L144" s="245">
        <v>4200.3</v>
      </c>
      <c r="M144" s="239">
        <f t="shared" si="49"/>
        <v>4200.3</v>
      </c>
      <c r="N144" s="239">
        <f t="shared" si="50"/>
        <v>43.753125000000004</v>
      </c>
      <c r="O144" s="239">
        <f t="shared" si="51"/>
        <v>525.03750000000002</v>
      </c>
      <c r="P144" s="261">
        <f t="shared" si="52"/>
        <v>0</v>
      </c>
      <c r="Q144" s="261">
        <f t="shared" si="53"/>
        <v>4200.3</v>
      </c>
      <c r="R144" s="261">
        <f t="shared" si="54"/>
        <v>4200.3</v>
      </c>
      <c r="S144" s="261">
        <f t="shared" si="55"/>
        <v>0</v>
      </c>
    </row>
    <row r="145" spans="2:19" s="234" customFormat="1" x14ac:dyDescent="0.2">
      <c r="B145" s="257" t="s">
        <v>462</v>
      </c>
      <c r="C145" s="234" t="s">
        <v>452</v>
      </c>
      <c r="D145" s="234">
        <v>2008</v>
      </c>
      <c r="E145" s="234">
        <v>5</v>
      </c>
      <c r="F145" s="234">
        <v>0</v>
      </c>
      <c r="H145" s="234" t="s">
        <v>351</v>
      </c>
      <c r="I145" s="234">
        <v>8</v>
      </c>
      <c r="J145" s="233">
        <f t="shared" si="47"/>
        <v>2016</v>
      </c>
      <c r="K145" s="237">
        <f t="shared" si="48"/>
        <v>2016.4166666666667</v>
      </c>
      <c r="L145" s="245">
        <v>7162.05</v>
      </c>
      <c r="M145" s="239">
        <f t="shared" si="49"/>
        <v>7162.05</v>
      </c>
      <c r="N145" s="239">
        <f t="shared" si="50"/>
        <v>74.604687499999997</v>
      </c>
      <c r="O145" s="239">
        <f t="shared" si="51"/>
        <v>895.25624999999991</v>
      </c>
      <c r="P145" s="261">
        <f t="shared" si="52"/>
        <v>0</v>
      </c>
      <c r="Q145" s="261">
        <f t="shared" si="53"/>
        <v>7162.05</v>
      </c>
      <c r="R145" s="261">
        <f t="shared" si="54"/>
        <v>7162.05</v>
      </c>
      <c r="S145" s="261">
        <f t="shared" si="55"/>
        <v>0</v>
      </c>
    </row>
    <row r="146" spans="2:19" s="234" customFormat="1" x14ac:dyDescent="0.2">
      <c r="B146" s="257" t="s">
        <v>462</v>
      </c>
      <c r="C146" s="234" t="s">
        <v>456</v>
      </c>
      <c r="D146" s="234">
        <v>2008</v>
      </c>
      <c r="E146" s="234">
        <v>9</v>
      </c>
      <c r="F146" s="234">
        <v>0</v>
      </c>
      <c r="H146" s="234" t="s">
        <v>351</v>
      </c>
      <c r="I146" s="234">
        <v>8</v>
      </c>
      <c r="J146" s="233">
        <f t="shared" si="47"/>
        <v>2016</v>
      </c>
      <c r="K146" s="237">
        <f t="shared" si="48"/>
        <v>2016.75</v>
      </c>
      <c r="L146" s="245">
        <v>6273.53</v>
      </c>
      <c r="M146" s="239">
        <f t="shared" si="49"/>
        <v>6273.53</v>
      </c>
      <c r="N146" s="239">
        <f t="shared" si="50"/>
        <v>65.349270833333335</v>
      </c>
      <c r="O146" s="239">
        <f t="shared" si="51"/>
        <v>784.19125000000008</v>
      </c>
      <c r="P146" s="261">
        <f t="shared" si="52"/>
        <v>0</v>
      </c>
      <c r="Q146" s="261">
        <f t="shared" si="53"/>
        <v>6273.53</v>
      </c>
      <c r="R146" s="261">
        <f t="shared" si="54"/>
        <v>6273.53</v>
      </c>
      <c r="S146" s="261">
        <f t="shared" si="55"/>
        <v>0</v>
      </c>
    </row>
    <row r="147" spans="2:19" s="234" customFormat="1" x14ac:dyDescent="0.2">
      <c r="B147" s="257" t="s">
        <v>462</v>
      </c>
      <c r="C147" s="234" t="s">
        <v>456</v>
      </c>
      <c r="D147" s="234">
        <v>2008</v>
      </c>
      <c r="E147" s="234">
        <v>10</v>
      </c>
      <c r="F147" s="234">
        <v>0</v>
      </c>
      <c r="H147" s="234" t="s">
        <v>351</v>
      </c>
      <c r="I147" s="234">
        <v>8</v>
      </c>
      <c r="J147" s="233">
        <f t="shared" si="47"/>
        <v>2016</v>
      </c>
      <c r="K147" s="237">
        <f t="shared" si="48"/>
        <v>2016.8333333333333</v>
      </c>
      <c r="L147" s="245">
        <v>7081.28</v>
      </c>
      <c r="M147" s="239">
        <f t="shared" si="49"/>
        <v>7081.28</v>
      </c>
      <c r="N147" s="239">
        <f t="shared" si="50"/>
        <v>73.763333333333335</v>
      </c>
      <c r="O147" s="239">
        <f t="shared" si="51"/>
        <v>885.16000000000008</v>
      </c>
      <c r="P147" s="261">
        <f t="shared" si="52"/>
        <v>0</v>
      </c>
      <c r="Q147" s="261">
        <f t="shared" si="53"/>
        <v>7081.28</v>
      </c>
      <c r="R147" s="261">
        <f t="shared" si="54"/>
        <v>7081.28</v>
      </c>
      <c r="S147" s="261">
        <f t="shared" si="55"/>
        <v>0</v>
      </c>
    </row>
    <row r="148" spans="2:19" s="234" customFormat="1" x14ac:dyDescent="0.2">
      <c r="B148" s="257">
        <v>25</v>
      </c>
      <c r="C148" s="234" t="s">
        <v>457</v>
      </c>
      <c r="D148" s="234">
        <v>2009</v>
      </c>
      <c r="E148" s="234">
        <v>5</v>
      </c>
      <c r="F148" s="234">
        <v>0</v>
      </c>
      <c r="H148" s="234" t="s">
        <v>351</v>
      </c>
      <c r="I148" s="234">
        <v>8</v>
      </c>
      <c r="J148" s="233">
        <f t="shared" si="47"/>
        <v>2017</v>
      </c>
      <c r="K148" s="237">
        <f t="shared" si="48"/>
        <v>2017.4166666666667</v>
      </c>
      <c r="L148" s="245">
        <v>1227.3699999999999</v>
      </c>
      <c r="M148" s="239">
        <f t="shared" si="49"/>
        <v>1227.3699999999999</v>
      </c>
      <c r="N148" s="239">
        <f t="shared" si="50"/>
        <v>12.785104166666665</v>
      </c>
      <c r="O148" s="239">
        <f t="shared" si="51"/>
        <v>153.42124999999999</v>
      </c>
      <c r="P148" s="261">
        <f t="shared" si="52"/>
        <v>0</v>
      </c>
      <c r="Q148" s="261">
        <f t="shared" si="53"/>
        <v>1227.3699999999999</v>
      </c>
      <c r="R148" s="261">
        <f t="shared" si="54"/>
        <v>1227.3699999999999</v>
      </c>
      <c r="S148" s="261">
        <f t="shared" si="55"/>
        <v>0</v>
      </c>
    </row>
    <row r="149" spans="2:19" s="234" customFormat="1" x14ac:dyDescent="0.2">
      <c r="B149" s="257">
        <v>25</v>
      </c>
      <c r="C149" s="234" t="s">
        <v>458</v>
      </c>
      <c r="D149" s="234">
        <v>2009</v>
      </c>
      <c r="E149" s="234">
        <v>5</v>
      </c>
      <c r="F149" s="234">
        <v>0</v>
      </c>
      <c r="H149" s="234" t="s">
        <v>351</v>
      </c>
      <c r="I149" s="234">
        <v>8</v>
      </c>
      <c r="J149" s="233">
        <f t="shared" si="47"/>
        <v>2017</v>
      </c>
      <c r="K149" s="237">
        <f t="shared" si="48"/>
        <v>2017.4166666666667</v>
      </c>
      <c r="L149" s="245">
        <v>1712.92</v>
      </c>
      <c r="M149" s="239">
        <f t="shared" si="49"/>
        <v>1712.92</v>
      </c>
      <c r="N149" s="239">
        <f t="shared" si="50"/>
        <v>17.842916666666667</v>
      </c>
      <c r="O149" s="239">
        <f t="shared" si="51"/>
        <v>214.11500000000001</v>
      </c>
      <c r="P149" s="261">
        <f t="shared" si="52"/>
        <v>0</v>
      </c>
      <c r="Q149" s="261">
        <f t="shared" si="53"/>
        <v>1712.92</v>
      </c>
      <c r="R149" s="261">
        <f t="shared" si="54"/>
        <v>1712.92</v>
      </c>
      <c r="S149" s="261">
        <f t="shared" si="55"/>
        <v>0</v>
      </c>
    </row>
    <row r="150" spans="2:19" s="234" customFormat="1" x14ac:dyDescent="0.2">
      <c r="B150" s="257">
        <v>50</v>
      </c>
      <c r="C150" s="234" t="s">
        <v>459</v>
      </c>
      <c r="D150" s="234">
        <v>2009</v>
      </c>
      <c r="E150" s="234">
        <v>5</v>
      </c>
      <c r="F150" s="234">
        <v>0</v>
      </c>
      <c r="H150" s="234" t="s">
        <v>351</v>
      </c>
      <c r="I150" s="234">
        <v>8</v>
      </c>
      <c r="J150" s="233">
        <f t="shared" si="47"/>
        <v>2017</v>
      </c>
      <c r="K150" s="237">
        <f t="shared" si="48"/>
        <v>2017.4166666666667</v>
      </c>
      <c r="L150" s="245">
        <v>2872.82</v>
      </c>
      <c r="M150" s="239">
        <f t="shared" si="49"/>
        <v>2872.82</v>
      </c>
      <c r="N150" s="239">
        <f t="shared" si="50"/>
        <v>29.925208333333334</v>
      </c>
      <c r="O150" s="239">
        <f t="shared" si="51"/>
        <v>359.10250000000002</v>
      </c>
      <c r="P150" s="261">
        <f t="shared" si="52"/>
        <v>0</v>
      </c>
      <c r="Q150" s="261">
        <f t="shared" si="53"/>
        <v>2872.82</v>
      </c>
      <c r="R150" s="261">
        <f t="shared" si="54"/>
        <v>2872.82</v>
      </c>
      <c r="S150" s="261">
        <f t="shared" si="55"/>
        <v>0</v>
      </c>
    </row>
    <row r="151" spans="2:19" s="234" customFormat="1" x14ac:dyDescent="0.2">
      <c r="B151" s="257">
        <v>25</v>
      </c>
      <c r="C151" s="234" t="s">
        <v>457</v>
      </c>
      <c r="D151" s="234">
        <v>2009</v>
      </c>
      <c r="E151" s="234">
        <v>6</v>
      </c>
      <c r="F151" s="234">
        <v>0</v>
      </c>
      <c r="H151" s="234" t="s">
        <v>351</v>
      </c>
      <c r="I151" s="234">
        <v>8</v>
      </c>
      <c r="J151" s="233">
        <f t="shared" si="47"/>
        <v>2017</v>
      </c>
      <c r="K151" s="237">
        <f t="shared" si="48"/>
        <v>2017.5</v>
      </c>
      <c r="L151" s="245">
        <v>1227.3699999999999</v>
      </c>
      <c r="M151" s="239">
        <f t="shared" si="49"/>
        <v>1227.3699999999999</v>
      </c>
      <c r="N151" s="239">
        <f t="shared" si="50"/>
        <v>12.785104166666665</v>
      </c>
      <c r="O151" s="239">
        <f t="shared" si="51"/>
        <v>153.42124999999999</v>
      </c>
      <c r="P151" s="261">
        <f t="shared" si="52"/>
        <v>0</v>
      </c>
      <c r="Q151" s="261">
        <f t="shared" si="53"/>
        <v>1227.3699999999999</v>
      </c>
      <c r="R151" s="261">
        <f t="shared" si="54"/>
        <v>1227.3699999999999</v>
      </c>
      <c r="S151" s="261">
        <f t="shared" si="55"/>
        <v>0</v>
      </c>
    </row>
    <row r="152" spans="2:19" s="234" customFormat="1" x14ac:dyDescent="0.2">
      <c r="B152" s="257">
        <v>25</v>
      </c>
      <c r="C152" s="234" t="s">
        <v>460</v>
      </c>
      <c r="D152" s="234">
        <v>2009</v>
      </c>
      <c r="E152" s="234">
        <v>6</v>
      </c>
      <c r="F152" s="234">
        <v>0</v>
      </c>
      <c r="H152" s="234" t="s">
        <v>351</v>
      </c>
      <c r="I152" s="234">
        <v>8</v>
      </c>
      <c r="J152" s="233">
        <f t="shared" si="47"/>
        <v>2017</v>
      </c>
      <c r="K152" s="237">
        <f t="shared" si="48"/>
        <v>2017.5</v>
      </c>
      <c r="L152" s="245">
        <v>1712.92</v>
      </c>
      <c r="M152" s="239">
        <f t="shared" si="49"/>
        <v>1712.92</v>
      </c>
      <c r="N152" s="239">
        <f t="shared" si="50"/>
        <v>17.842916666666667</v>
      </c>
      <c r="O152" s="239">
        <f t="shared" si="51"/>
        <v>214.11500000000001</v>
      </c>
      <c r="P152" s="261">
        <f t="shared" si="52"/>
        <v>0</v>
      </c>
      <c r="Q152" s="261">
        <f t="shared" si="53"/>
        <v>1712.92</v>
      </c>
      <c r="R152" s="261">
        <f t="shared" si="54"/>
        <v>1712.92</v>
      </c>
      <c r="S152" s="261">
        <f t="shared" si="55"/>
        <v>0</v>
      </c>
    </row>
    <row r="153" spans="2:19" s="234" customFormat="1" x14ac:dyDescent="0.2">
      <c r="B153" s="257">
        <v>50</v>
      </c>
      <c r="C153" s="234" t="s">
        <v>459</v>
      </c>
      <c r="D153" s="234">
        <v>2009</v>
      </c>
      <c r="E153" s="234">
        <v>6</v>
      </c>
      <c r="F153" s="234">
        <v>0</v>
      </c>
      <c r="H153" s="234" t="s">
        <v>351</v>
      </c>
      <c r="I153" s="234">
        <v>8</v>
      </c>
      <c r="J153" s="233">
        <f t="shared" si="47"/>
        <v>2017</v>
      </c>
      <c r="K153" s="237">
        <f t="shared" si="48"/>
        <v>2017.5</v>
      </c>
      <c r="L153" s="245">
        <v>2872.32</v>
      </c>
      <c r="M153" s="239">
        <f t="shared" si="49"/>
        <v>2872.32</v>
      </c>
      <c r="N153" s="239">
        <f t="shared" si="50"/>
        <v>29.92</v>
      </c>
      <c r="O153" s="239">
        <f t="shared" si="51"/>
        <v>359.04</v>
      </c>
      <c r="P153" s="261">
        <f t="shared" si="52"/>
        <v>0</v>
      </c>
      <c r="Q153" s="261">
        <f t="shared" si="53"/>
        <v>2872.32</v>
      </c>
      <c r="R153" s="261">
        <f t="shared" si="54"/>
        <v>2872.32</v>
      </c>
      <c r="S153" s="261">
        <f t="shared" si="55"/>
        <v>0</v>
      </c>
    </row>
    <row r="154" spans="2:19" s="234" customFormat="1" x14ac:dyDescent="0.2">
      <c r="B154" s="257" t="s">
        <v>462</v>
      </c>
      <c r="C154" s="234" t="s">
        <v>444</v>
      </c>
      <c r="D154" s="234">
        <v>2009</v>
      </c>
      <c r="E154" s="234">
        <v>7</v>
      </c>
      <c r="F154" s="234">
        <v>0</v>
      </c>
      <c r="H154" s="234" t="s">
        <v>351</v>
      </c>
      <c r="I154" s="234">
        <v>8</v>
      </c>
      <c r="J154" s="233">
        <f t="shared" si="47"/>
        <v>2017</v>
      </c>
      <c r="K154" s="237">
        <f t="shared" si="48"/>
        <v>2017.5833333333333</v>
      </c>
      <c r="L154" s="245">
        <v>6675</v>
      </c>
      <c r="M154" s="239">
        <f t="shared" si="49"/>
        <v>6675</v>
      </c>
      <c r="N154" s="239">
        <f t="shared" si="50"/>
        <v>69.53125</v>
      </c>
      <c r="O154" s="239">
        <f t="shared" si="51"/>
        <v>834.375</v>
      </c>
      <c r="P154" s="261">
        <f t="shared" si="52"/>
        <v>0</v>
      </c>
      <c r="Q154" s="261">
        <f t="shared" si="53"/>
        <v>6675</v>
      </c>
      <c r="R154" s="261">
        <f t="shared" si="54"/>
        <v>6675</v>
      </c>
      <c r="S154" s="261">
        <f t="shared" si="55"/>
        <v>0</v>
      </c>
    </row>
    <row r="155" spans="2:19" s="234" customFormat="1" x14ac:dyDescent="0.2">
      <c r="B155" s="257" t="s">
        <v>462</v>
      </c>
      <c r="C155" s="234" t="s">
        <v>456</v>
      </c>
      <c r="D155" s="234">
        <v>2009</v>
      </c>
      <c r="E155" s="234">
        <v>7</v>
      </c>
      <c r="F155" s="234">
        <v>0</v>
      </c>
      <c r="H155" s="234" t="s">
        <v>351</v>
      </c>
      <c r="I155" s="234">
        <v>8</v>
      </c>
      <c r="J155" s="233">
        <f t="shared" si="47"/>
        <v>2017</v>
      </c>
      <c r="K155" s="237">
        <f t="shared" si="48"/>
        <v>2017.5833333333333</v>
      </c>
      <c r="L155" s="245">
        <v>6447.03</v>
      </c>
      <c r="M155" s="239">
        <f t="shared" si="49"/>
        <v>6447.03</v>
      </c>
      <c r="N155" s="239">
        <f t="shared" si="50"/>
        <v>67.156562499999993</v>
      </c>
      <c r="O155" s="239">
        <f t="shared" si="51"/>
        <v>805.87874999999985</v>
      </c>
      <c r="P155" s="261">
        <f t="shared" si="52"/>
        <v>0</v>
      </c>
      <c r="Q155" s="261">
        <f t="shared" si="53"/>
        <v>6447.03</v>
      </c>
      <c r="R155" s="261">
        <f t="shared" si="54"/>
        <v>6447.03</v>
      </c>
      <c r="S155" s="261">
        <f t="shared" si="55"/>
        <v>0</v>
      </c>
    </row>
    <row r="156" spans="2:19" s="234" customFormat="1" x14ac:dyDescent="0.2">
      <c r="B156" s="257" t="s">
        <v>462</v>
      </c>
      <c r="C156" s="234" t="s">
        <v>461</v>
      </c>
      <c r="D156" s="234">
        <v>2009</v>
      </c>
      <c r="E156" s="234">
        <v>9</v>
      </c>
      <c r="F156" s="234">
        <v>0</v>
      </c>
      <c r="H156" s="234" t="s">
        <v>351</v>
      </c>
      <c r="I156" s="234">
        <v>8</v>
      </c>
      <c r="J156" s="233">
        <f t="shared" si="47"/>
        <v>2017</v>
      </c>
      <c r="K156" s="237">
        <f t="shared" si="48"/>
        <v>2017.75</v>
      </c>
      <c r="L156" s="245">
        <v>8524.1</v>
      </c>
      <c r="M156" s="239">
        <f t="shared" si="49"/>
        <v>8524.1</v>
      </c>
      <c r="N156" s="239">
        <f t="shared" si="50"/>
        <v>88.792708333333337</v>
      </c>
      <c r="O156" s="239">
        <f t="shared" si="51"/>
        <v>1065.5125</v>
      </c>
      <c r="P156" s="261">
        <f t="shared" si="52"/>
        <v>0</v>
      </c>
      <c r="Q156" s="261">
        <f t="shared" si="53"/>
        <v>8524.1</v>
      </c>
      <c r="R156" s="261">
        <f t="shared" si="54"/>
        <v>8524.1</v>
      </c>
      <c r="S156" s="261">
        <f t="shared" si="55"/>
        <v>0</v>
      </c>
    </row>
    <row r="157" spans="2:19" s="234" customFormat="1" x14ac:dyDescent="0.2">
      <c r="B157" s="257" t="s">
        <v>431</v>
      </c>
      <c r="C157" s="234" t="s">
        <v>498</v>
      </c>
      <c r="D157" s="234">
        <v>2009</v>
      </c>
      <c r="E157" s="234">
        <v>10</v>
      </c>
      <c r="F157" s="234">
        <v>0</v>
      </c>
      <c r="H157" s="234" t="s">
        <v>351</v>
      </c>
      <c r="I157" s="234">
        <v>8</v>
      </c>
      <c r="J157" s="233">
        <f t="shared" si="47"/>
        <v>2017</v>
      </c>
      <c r="K157" s="237">
        <f t="shared" si="48"/>
        <v>2017.8333333333333</v>
      </c>
      <c r="L157" s="245">
        <v>2724.48</v>
      </c>
      <c r="M157" s="239">
        <f t="shared" si="49"/>
        <v>2724.48</v>
      </c>
      <c r="N157" s="239">
        <f t="shared" si="50"/>
        <v>28.38</v>
      </c>
      <c r="O157" s="239">
        <f t="shared" si="51"/>
        <v>340.56</v>
      </c>
      <c r="P157" s="261">
        <f t="shared" si="52"/>
        <v>0</v>
      </c>
      <c r="Q157" s="261">
        <f t="shared" si="53"/>
        <v>2724.48</v>
      </c>
      <c r="R157" s="261">
        <f t="shared" si="54"/>
        <v>2724.48</v>
      </c>
      <c r="S157" s="261">
        <f t="shared" si="55"/>
        <v>0</v>
      </c>
    </row>
    <row r="158" spans="2:19" s="234" customFormat="1" x14ac:dyDescent="0.2">
      <c r="B158" s="257">
        <v>100</v>
      </c>
      <c r="C158" s="234" t="s">
        <v>499</v>
      </c>
      <c r="D158" s="234">
        <v>2010</v>
      </c>
      <c r="E158" s="234">
        <v>2</v>
      </c>
      <c r="F158" s="234">
        <v>0</v>
      </c>
      <c r="H158" s="234" t="s">
        <v>351</v>
      </c>
      <c r="I158" s="234">
        <v>8</v>
      </c>
      <c r="J158" s="233">
        <f t="shared" si="47"/>
        <v>2018</v>
      </c>
      <c r="K158" s="237">
        <f t="shared" si="48"/>
        <v>2018.1666666666667</v>
      </c>
      <c r="L158" s="245">
        <v>5287.1</v>
      </c>
      <c r="M158" s="239">
        <f t="shared" si="49"/>
        <v>5287.1</v>
      </c>
      <c r="N158" s="239">
        <f t="shared" si="50"/>
        <v>55.073958333333337</v>
      </c>
      <c r="O158" s="239">
        <f t="shared" si="51"/>
        <v>660.88750000000005</v>
      </c>
      <c r="P158" s="261">
        <f t="shared" si="52"/>
        <v>0</v>
      </c>
      <c r="Q158" s="261">
        <f t="shared" si="53"/>
        <v>5287.1</v>
      </c>
      <c r="R158" s="261">
        <f t="shared" si="54"/>
        <v>5287.1</v>
      </c>
      <c r="S158" s="261">
        <f t="shared" si="55"/>
        <v>0</v>
      </c>
    </row>
    <row r="159" spans="2:19" s="234" customFormat="1" x14ac:dyDescent="0.2">
      <c r="B159" s="257">
        <v>50</v>
      </c>
      <c r="C159" s="234" t="s">
        <v>500</v>
      </c>
      <c r="D159" s="234">
        <v>2010</v>
      </c>
      <c r="E159" s="234">
        <v>3</v>
      </c>
      <c r="F159" s="234">
        <v>0</v>
      </c>
      <c r="H159" s="234" t="s">
        <v>351</v>
      </c>
      <c r="I159" s="234">
        <v>8</v>
      </c>
      <c r="J159" s="233">
        <f t="shared" si="47"/>
        <v>2018</v>
      </c>
      <c r="K159" s="237">
        <f t="shared" si="48"/>
        <v>2018.25</v>
      </c>
      <c r="L159" s="245">
        <v>3324.4</v>
      </c>
      <c r="M159" s="239">
        <f t="shared" si="49"/>
        <v>3324.4</v>
      </c>
      <c r="N159" s="239">
        <f t="shared" si="50"/>
        <v>34.62916666666667</v>
      </c>
      <c r="O159" s="239">
        <f t="shared" si="51"/>
        <v>415.55000000000007</v>
      </c>
      <c r="P159" s="261">
        <f t="shared" si="52"/>
        <v>0</v>
      </c>
      <c r="Q159" s="261">
        <f t="shared" si="53"/>
        <v>3324.4</v>
      </c>
      <c r="R159" s="261">
        <f t="shared" si="54"/>
        <v>3324.4</v>
      </c>
      <c r="S159" s="261">
        <f t="shared" si="55"/>
        <v>0</v>
      </c>
    </row>
    <row r="160" spans="2:19" s="234" customFormat="1" x14ac:dyDescent="0.2">
      <c r="B160" s="257" t="s">
        <v>505</v>
      </c>
      <c r="C160" s="234" t="s">
        <v>501</v>
      </c>
      <c r="D160" s="234">
        <v>2010</v>
      </c>
      <c r="E160" s="234">
        <v>11</v>
      </c>
      <c r="F160" s="234">
        <v>0</v>
      </c>
      <c r="H160" s="234" t="s">
        <v>351</v>
      </c>
      <c r="I160" s="234">
        <v>8</v>
      </c>
      <c r="J160" s="233">
        <f t="shared" si="47"/>
        <v>2018</v>
      </c>
      <c r="K160" s="237">
        <f t="shared" si="48"/>
        <v>2018.9166666666667</v>
      </c>
      <c r="L160" s="245">
        <v>15628.46</v>
      </c>
      <c r="M160" s="239">
        <f t="shared" si="49"/>
        <v>15628.46</v>
      </c>
      <c r="N160" s="239">
        <f t="shared" si="50"/>
        <v>162.79645833333333</v>
      </c>
      <c r="O160" s="239">
        <f t="shared" si="51"/>
        <v>1953.5574999999999</v>
      </c>
      <c r="P160" s="261">
        <f t="shared" si="52"/>
        <v>0</v>
      </c>
      <c r="Q160" s="261">
        <f t="shared" si="53"/>
        <v>15628.46</v>
      </c>
      <c r="R160" s="261">
        <f t="shared" si="54"/>
        <v>15628.46</v>
      </c>
      <c r="S160" s="261">
        <f t="shared" si="55"/>
        <v>0</v>
      </c>
    </row>
    <row r="161" spans="2:16147" s="234" customFormat="1" x14ac:dyDescent="0.2">
      <c r="B161" s="257">
        <v>50</v>
      </c>
      <c r="C161" s="117" t="s">
        <v>511</v>
      </c>
      <c r="D161" s="234">
        <v>2011</v>
      </c>
      <c r="E161" s="234">
        <v>4</v>
      </c>
      <c r="F161" s="234">
        <v>0</v>
      </c>
      <c r="H161" s="234" t="s">
        <v>351</v>
      </c>
      <c r="I161" s="234">
        <v>8</v>
      </c>
      <c r="J161" s="233">
        <f t="shared" si="47"/>
        <v>2019</v>
      </c>
      <c r="K161" s="237">
        <f t="shared" si="48"/>
        <v>2019.3333333333333</v>
      </c>
      <c r="L161" s="245">
        <v>5128.59</v>
      </c>
      <c r="M161" s="239">
        <f t="shared" si="49"/>
        <v>5128.59</v>
      </c>
      <c r="N161" s="239">
        <f t="shared" si="50"/>
        <v>53.422812499999999</v>
      </c>
      <c r="O161" s="239">
        <f t="shared" si="51"/>
        <v>641.07375000000002</v>
      </c>
      <c r="P161" s="261">
        <f t="shared" si="52"/>
        <v>0</v>
      </c>
      <c r="Q161" s="261">
        <f t="shared" si="53"/>
        <v>5128.59</v>
      </c>
      <c r="R161" s="261">
        <f t="shared" si="54"/>
        <v>5128.59</v>
      </c>
      <c r="S161" s="261">
        <f t="shared" si="55"/>
        <v>0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  <c r="IW161" s="33"/>
      <c r="IX161" s="33"/>
      <c r="IY161" s="33"/>
      <c r="IZ161" s="33"/>
      <c r="JA161" s="33"/>
      <c r="JB161" s="33"/>
      <c r="JC161" s="33"/>
      <c r="JD161" s="33"/>
      <c r="JE161" s="33"/>
      <c r="JF161" s="33"/>
      <c r="JG161" s="33"/>
      <c r="JH161" s="33"/>
      <c r="JI161" s="33"/>
      <c r="JJ161" s="33"/>
      <c r="JK161" s="33"/>
      <c r="JL161" s="33"/>
      <c r="JM161" s="33"/>
      <c r="JN161" s="33"/>
      <c r="JO161" s="33"/>
      <c r="JP161" s="33"/>
      <c r="JQ161" s="33"/>
      <c r="JR161" s="33"/>
      <c r="JS161" s="33"/>
      <c r="JT161" s="33"/>
      <c r="JU161" s="33"/>
      <c r="JV161" s="33"/>
      <c r="JW161" s="33"/>
      <c r="JX161" s="33"/>
      <c r="JY161" s="33"/>
      <c r="JZ161" s="33"/>
      <c r="KA161" s="33"/>
      <c r="KB161" s="33"/>
      <c r="KC161" s="33"/>
      <c r="KD161" s="33"/>
      <c r="KE161" s="33"/>
      <c r="KF161" s="33"/>
      <c r="KG161" s="33"/>
      <c r="KH161" s="33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3"/>
      <c r="KY161" s="33"/>
      <c r="KZ161" s="33"/>
      <c r="LA161" s="33"/>
      <c r="LB161" s="33"/>
      <c r="LC161" s="33"/>
      <c r="LD161" s="33"/>
      <c r="LE161" s="33"/>
      <c r="LF161" s="33"/>
      <c r="LG161" s="33"/>
      <c r="LH161" s="33"/>
      <c r="LI161" s="33"/>
      <c r="LJ161" s="33"/>
      <c r="LK161" s="33"/>
      <c r="LL161" s="33"/>
      <c r="LM161" s="33"/>
      <c r="LN161" s="33"/>
      <c r="LO161" s="33"/>
      <c r="LP161" s="33"/>
      <c r="LQ161" s="33"/>
      <c r="LR161" s="33"/>
      <c r="LS161" s="33"/>
      <c r="LT161" s="33"/>
      <c r="LU161" s="33"/>
      <c r="LV161" s="33"/>
      <c r="LW161" s="33"/>
      <c r="LX161" s="33"/>
      <c r="LY161" s="33"/>
      <c r="LZ161" s="33"/>
      <c r="MA161" s="33"/>
      <c r="MB161" s="33"/>
      <c r="MC161" s="33"/>
      <c r="MD161" s="33"/>
      <c r="ME161" s="33"/>
      <c r="MF161" s="33"/>
      <c r="MG161" s="33"/>
      <c r="MH161" s="33"/>
      <c r="MI161" s="33"/>
      <c r="MJ161" s="33"/>
      <c r="MK161" s="33"/>
      <c r="ML161" s="33"/>
      <c r="MM161" s="33"/>
      <c r="MN161" s="33"/>
      <c r="MO161" s="33"/>
      <c r="MP161" s="33"/>
      <c r="MQ161" s="33"/>
      <c r="MR161" s="33"/>
      <c r="MS161" s="33"/>
      <c r="MT161" s="33"/>
      <c r="MU161" s="33"/>
      <c r="MV161" s="33"/>
      <c r="MW161" s="33"/>
      <c r="MX161" s="33"/>
      <c r="MY161" s="33"/>
      <c r="MZ161" s="33"/>
      <c r="NA161" s="33"/>
      <c r="NB161" s="33"/>
      <c r="NC161" s="33"/>
      <c r="ND161" s="33"/>
      <c r="NE161" s="33"/>
      <c r="NF161" s="33"/>
      <c r="NG161" s="33"/>
      <c r="NH161" s="33"/>
      <c r="NI161" s="33"/>
      <c r="NJ161" s="33"/>
      <c r="NK161" s="33"/>
      <c r="NL161" s="33"/>
      <c r="NM161" s="33"/>
      <c r="NN161" s="33"/>
      <c r="NO161" s="33"/>
      <c r="NP161" s="33"/>
      <c r="NQ161" s="33"/>
      <c r="NR161" s="33"/>
      <c r="NS161" s="33"/>
      <c r="NT161" s="33"/>
      <c r="NU161" s="33"/>
      <c r="NV161" s="33"/>
      <c r="NW161" s="33"/>
      <c r="NX161" s="33"/>
      <c r="NY161" s="33"/>
      <c r="NZ161" s="33"/>
      <c r="OA161" s="33"/>
      <c r="OB161" s="33"/>
      <c r="OC161" s="33"/>
      <c r="OD161" s="33"/>
      <c r="OE161" s="33"/>
      <c r="OF161" s="33"/>
      <c r="OG161" s="33"/>
      <c r="OH161" s="33"/>
      <c r="OI161" s="33"/>
      <c r="OJ161" s="33"/>
      <c r="OK161" s="33"/>
      <c r="OL161" s="33"/>
      <c r="OM161" s="33"/>
      <c r="ON161" s="33"/>
      <c r="OO161" s="33"/>
      <c r="OP161" s="33"/>
      <c r="OQ161" s="33"/>
      <c r="OR161" s="33"/>
      <c r="OS161" s="33"/>
      <c r="OT161" s="33"/>
      <c r="OU161" s="33"/>
      <c r="OV161" s="33"/>
      <c r="OW161" s="33"/>
      <c r="OX161" s="33"/>
      <c r="OY161" s="33"/>
      <c r="OZ161" s="33"/>
      <c r="PA161" s="33"/>
      <c r="PB161" s="33"/>
      <c r="PC161" s="33"/>
      <c r="PD161" s="33"/>
      <c r="PE161" s="33"/>
      <c r="PF161" s="33"/>
      <c r="PG161" s="33"/>
      <c r="PH161" s="33"/>
      <c r="PI161" s="33"/>
      <c r="PJ161" s="33"/>
      <c r="PK161" s="33"/>
      <c r="PL161" s="33"/>
      <c r="PM161" s="33"/>
      <c r="PN161" s="33"/>
      <c r="PO161" s="33"/>
      <c r="PP161" s="33"/>
      <c r="PQ161" s="33"/>
      <c r="PR161" s="33"/>
      <c r="PS161" s="33"/>
      <c r="PT161" s="33"/>
      <c r="PU161" s="33"/>
      <c r="PV161" s="33"/>
      <c r="PW161" s="33"/>
      <c r="PX161" s="33"/>
      <c r="PY161" s="33"/>
      <c r="PZ161" s="33"/>
      <c r="QA161" s="33"/>
      <c r="QB161" s="33"/>
      <c r="QC161" s="33"/>
      <c r="QD161" s="33"/>
      <c r="QE161" s="33"/>
      <c r="QF161" s="33"/>
      <c r="QG161" s="33"/>
      <c r="QH161" s="33"/>
      <c r="QI161" s="33"/>
      <c r="QJ161" s="33"/>
      <c r="QK161" s="33"/>
      <c r="QL161" s="33"/>
      <c r="QM161" s="33"/>
      <c r="QN161" s="33"/>
      <c r="QO161" s="33"/>
      <c r="QP161" s="33"/>
      <c r="QQ161" s="33"/>
      <c r="QR161" s="33"/>
      <c r="QS161" s="33"/>
      <c r="QT161" s="33"/>
      <c r="QU161" s="33"/>
      <c r="QV161" s="33"/>
      <c r="QW161" s="33"/>
      <c r="QX161" s="33"/>
      <c r="QY161" s="33"/>
      <c r="QZ161" s="33"/>
      <c r="RA161" s="33"/>
      <c r="RB161" s="33"/>
      <c r="RC161" s="33"/>
      <c r="RD161" s="33"/>
      <c r="RE161" s="33"/>
      <c r="RF161" s="33"/>
      <c r="RG161" s="33"/>
      <c r="RH161" s="33"/>
      <c r="RI161" s="33"/>
      <c r="RJ161" s="33"/>
      <c r="RK161" s="33"/>
      <c r="RL161" s="33"/>
      <c r="RM161" s="33"/>
      <c r="RN161" s="33"/>
      <c r="RO161" s="33"/>
      <c r="RP161" s="33"/>
      <c r="RQ161" s="33"/>
      <c r="RR161" s="33"/>
      <c r="RS161" s="33"/>
      <c r="RT161" s="33"/>
      <c r="RU161" s="33"/>
      <c r="RV161" s="33"/>
      <c r="RW161" s="33"/>
      <c r="RX161" s="33"/>
      <c r="RY161" s="33"/>
      <c r="RZ161" s="33"/>
      <c r="SA161" s="33"/>
      <c r="SB161" s="33"/>
      <c r="SC161" s="33"/>
      <c r="SD161" s="33"/>
      <c r="SE161" s="33"/>
      <c r="SF161" s="33"/>
      <c r="SG161" s="33"/>
      <c r="SH161" s="33"/>
      <c r="SI161" s="33"/>
      <c r="SJ161" s="33"/>
      <c r="SK161" s="33"/>
      <c r="SL161" s="33"/>
      <c r="SM161" s="33"/>
      <c r="SN161" s="33"/>
      <c r="SO161" s="33"/>
      <c r="SP161" s="33"/>
      <c r="SQ161" s="33"/>
      <c r="SR161" s="33"/>
      <c r="SS161" s="33"/>
      <c r="ST161" s="33"/>
      <c r="SU161" s="33"/>
      <c r="SV161" s="33"/>
      <c r="SW161" s="33"/>
      <c r="SX161" s="33"/>
      <c r="SY161" s="33"/>
      <c r="SZ161" s="33"/>
      <c r="TA161" s="33"/>
      <c r="TB161" s="33"/>
      <c r="TC161" s="33"/>
      <c r="TD161" s="33"/>
      <c r="TE161" s="33"/>
      <c r="TF161" s="33"/>
      <c r="TG161" s="33"/>
      <c r="TH161" s="33"/>
      <c r="TI161" s="33"/>
      <c r="TJ161" s="33"/>
      <c r="TK161" s="33"/>
      <c r="TL161" s="33"/>
      <c r="TM161" s="33"/>
      <c r="TN161" s="33"/>
      <c r="TO161" s="33"/>
      <c r="TP161" s="33"/>
      <c r="TQ161" s="33"/>
      <c r="TR161" s="33"/>
      <c r="TS161" s="33"/>
      <c r="TT161" s="33"/>
      <c r="TU161" s="33"/>
      <c r="TV161" s="33"/>
      <c r="TW161" s="33"/>
      <c r="TX161" s="33"/>
      <c r="TY161" s="33"/>
      <c r="TZ161" s="33"/>
      <c r="UA161" s="33"/>
      <c r="UB161" s="33"/>
      <c r="UC161" s="33"/>
      <c r="UD161" s="33"/>
      <c r="UE161" s="33"/>
      <c r="UF161" s="33"/>
      <c r="UG161" s="33"/>
      <c r="UH161" s="33"/>
      <c r="UI161" s="33"/>
      <c r="UJ161" s="33"/>
      <c r="UK161" s="33"/>
      <c r="UL161" s="33"/>
      <c r="UM161" s="33"/>
      <c r="UN161" s="33"/>
      <c r="UO161" s="33"/>
      <c r="UP161" s="33"/>
      <c r="UQ161" s="33"/>
      <c r="UR161" s="33"/>
      <c r="US161" s="33"/>
      <c r="UT161" s="33"/>
      <c r="UU161" s="33"/>
      <c r="UV161" s="33"/>
      <c r="UW161" s="33"/>
      <c r="UX161" s="33"/>
      <c r="UY161" s="33"/>
      <c r="UZ161" s="33"/>
      <c r="VA161" s="33"/>
      <c r="VB161" s="33"/>
      <c r="VC161" s="33"/>
      <c r="VD161" s="33"/>
      <c r="VE161" s="33"/>
      <c r="VF161" s="33"/>
      <c r="VG161" s="33"/>
      <c r="VH161" s="33"/>
      <c r="VI161" s="33"/>
      <c r="VJ161" s="33"/>
      <c r="VK161" s="33"/>
      <c r="VL161" s="33"/>
      <c r="VM161" s="33"/>
      <c r="VN161" s="33"/>
      <c r="VO161" s="33"/>
      <c r="VP161" s="33"/>
      <c r="VQ161" s="33"/>
      <c r="VR161" s="33"/>
      <c r="VS161" s="33"/>
      <c r="VT161" s="33"/>
      <c r="VU161" s="33"/>
      <c r="VV161" s="33"/>
      <c r="VW161" s="33"/>
      <c r="VX161" s="33"/>
      <c r="VY161" s="33"/>
      <c r="VZ161" s="33"/>
      <c r="WA161" s="33"/>
      <c r="WB161" s="33"/>
      <c r="WC161" s="33"/>
      <c r="WD161" s="33"/>
      <c r="WE161" s="33"/>
      <c r="WF161" s="33"/>
      <c r="WG161" s="33"/>
      <c r="WH161" s="33"/>
      <c r="WI161" s="33"/>
      <c r="WJ161" s="33"/>
      <c r="WK161" s="33"/>
      <c r="WL161" s="33"/>
      <c r="WM161" s="33"/>
      <c r="WN161" s="33"/>
      <c r="WO161" s="33"/>
      <c r="WP161" s="33"/>
      <c r="WQ161" s="33"/>
      <c r="WR161" s="33"/>
      <c r="WS161" s="33"/>
      <c r="WT161" s="33"/>
      <c r="WU161" s="33"/>
      <c r="WV161" s="33"/>
      <c r="WW161" s="33"/>
      <c r="WX161" s="33"/>
      <c r="WY161" s="33"/>
      <c r="WZ161" s="33"/>
      <c r="XA161" s="33"/>
      <c r="XB161" s="33"/>
      <c r="XC161" s="33"/>
      <c r="XD161" s="33"/>
      <c r="XE161" s="33"/>
      <c r="XF161" s="33"/>
      <c r="XG161" s="33"/>
      <c r="XH161" s="33"/>
      <c r="XI161" s="33"/>
      <c r="XJ161" s="33"/>
      <c r="XK161" s="33"/>
      <c r="XL161" s="33"/>
      <c r="XM161" s="33"/>
      <c r="XN161" s="33"/>
      <c r="XO161" s="33"/>
      <c r="XP161" s="33"/>
      <c r="XQ161" s="33"/>
      <c r="XR161" s="33"/>
      <c r="XS161" s="33"/>
      <c r="XT161" s="33"/>
      <c r="XU161" s="33"/>
      <c r="XV161" s="33"/>
      <c r="XW161" s="33"/>
      <c r="XX161" s="33"/>
      <c r="XY161" s="33"/>
      <c r="XZ161" s="33"/>
      <c r="YA161" s="33"/>
      <c r="YB161" s="33"/>
      <c r="YC161" s="33"/>
      <c r="YD161" s="33"/>
      <c r="YE161" s="33"/>
      <c r="YF161" s="33"/>
      <c r="YG161" s="33"/>
      <c r="YH161" s="33"/>
      <c r="YI161" s="33"/>
      <c r="YJ161" s="33"/>
      <c r="YK161" s="33"/>
      <c r="YL161" s="33"/>
      <c r="YM161" s="33"/>
      <c r="YN161" s="33"/>
      <c r="YO161" s="33"/>
      <c r="YP161" s="33"/>
      <c r="YQ161" s="33"/>
      <c r="YR161" s="33"/>
      <c r="YS161" s="33"/>
      <c r="YT161" s="33"/>
      <c r="YU161" s="33"/>
      <c r="YV161" s="33"/>
      <c r="YW161" s="33"/>
      <c r="YX161" s="33"/>
      <c r="YY161" s="33"/>
      <c r="YZ161" s="33"/>
      <c r="ZA161" s="33"/>
      <c r="ZB161" s="33"/>
      <c r="ZC161" s="33"/>
      <c r="ZD161" s="33"/>
      <c r="ZE161" s="33"/>
      <c r="ZF161" s="33"/>
      <c r="ZG161" s="33"/>
      <c r="ZH161" s="33"/>
      <c r="ZI161" s="33"/>
      <c r="ZJ161" s="33"/>
      <c r="ZK161" s="33"/>
      <c r="ZL161" s="33"/>
      <c r="ZM161" s="33"/>
      <c r="ZN161" s="33"/>
      <c r="ZO161" s="33"/>
      <c r="ZP161" s="33"/>
      <c r="ZQ161" s="33"/>
      <c r="ZR161" s="33"/>
      <c r="ZS161" s="33"/>
      <c r="ZT161" s="33"/>
      <c r="ZU161" s="33"/>
      <c r="ZV161" s="33"/>
      <c r="ZW161" s="33"/>
      <c r="ZX161" s="33"/>
      <c r="ZY161" s="33"/>
      <c r="ZZ161" s="33"/>
      <c r="AAA161" s="33"/>
      <c r="AAB161" s="33"/>
      <c r="AAC161" s="33"/>
      <c r="AAD161" s="33"/>
      <c r="AAE161" s="33"/>
      <c r="AAF161" s="33"/>
      <c r="AAG161" s="33"/>
      <c r="AAH161" s="33"/>
      <c r="AAI161" s="33"/>
      <c r="AAJ161" s="33"/>
      <c r="AAK161" s="33"/>
      <c r="AAL161" s="33"/>
      <c r="AAM161" s="33"/>
      <c r="AAN161" s="33"/>
      <c r="AAO161" s="33"/>
      <c r="AAP161" s="33"/>
      <c r="AAQ161" s="33"/>
      <c r="AAR161" s="33"/>
      <c r="AAS161" s="33"/>
      <c r="AAT161" s="33"/>
      <c r="AAU161" s="33"/>
      <c r="AAV161" s="33"/>
      <c r="AAW161" s="33"/>
      <c r="AAX161" s="33"/>
      <c r="AAY161" s="33"/>
      <c r="AAZ161" s="33"/>
      <c r="ABA161" s="33"/>
      <c r="ABB161" s="33"/>
      <c r="ABC161" s="33"/>
      <c r="ABD161" s="33"/>
      <c r="ABE161" s="33"/>
      <c r="ABF161" s="33"/>
      <c r="ABG161" s="33"/>
      <c r="ABH161" s="33"/>
      <c r="ABI161" s="33"/>
      <c r="ABJ161" s="33"/>
      <c r="ABK161" s="33"/>
      <c r="ABL161" s="33"/>
      <c r="ABM161" s="33"/>
      <c r="ABN161" s="33"/>
      <c r="ABO161" s="33"/>
      <c r="ABP161" s="33"/>
      <c r="ABQ161" s="33"/>
      <c r="ABR161" s="33"/>
      <c r="ABS161" s="33"/>
      <c r="ABT161" s="33"/>
      <c r="ABU161" s="33"/>
      <c r="ABV161" s="33"/>
      <c r="ABW161" s="33"/>
      <c r="ABX161" s="33"/>
      <c r="ABY161" s="33"/>
      <c r="ABZ161" s="33"/>
      <c r="ACA161" s="33"/>
      <c r="ACB161" s="33"/>
      <c r="ACC161" s="33"/>
      <c r="ACD161" s="33"/>
      <c r="ACE161" s="33"/>
      <c r="ACF161" s="33"/>
      <c r="ACG161" s="33"/>
      <c r="ACH161" s="33"/>
      <c r="ACI161" s="33"/>
      <c r="ACJ161" s="33"/>
      <c r="ACK161" s="33"/>
      <c r="ACL161" s="33"/>
      <c r="ACM161" s="33"/>
      <c r="ACN161" s="33"/>
      <c r="ACO161" s="33"/>
      <c r="ACP161" s="33"/>
      <c r="ACQ161" s="33"/>
      <c r="ACR161" s="33"/>
      <c r="ACS161" s="33"/>
      <c r="ACT161" s="33"/>
      <c r="ACU161" s="33"/>
      <c r="ACV161" s="33"/>
      <c r="ACW161" s="33"/>
      <c r="ACX161" s="33"/>
      <c r="ACY161" s="33"/>
      <c r="ACZ161" s="33"/>
      <c r="ADA161" s="33"/>
      <c r="ADB161" s="33"/>
      <c r="ADC161" s="33"/>
      <c r="ADD161" s="33"/>
      <c r="ADE161" s="33"/>
      <c r="ADF161" s="33"/>
      <c r="ADG161" s="33"/>
      <c r="ADH161" s="33"/>
      <c r="ADI161" s="33"/>
      <c r="ADJ161" s="33"/>
      <c r="ADK161" s="33"/>
      <c r="ADL161" s="33"/>
      <c r="ADM161" s="33"/>
      <c r="ADN161" s="33"/>
      <c r="ADO161" s="33"/>
      <c r="ADP161" s="33"/>
      <c r="ADQ161" s="33"/>
      <c r="ADR161" s="33"/>
      <c r="ADS161" s="33"/>
      <c r="ADT161" s="33"/>
      <c r="ADU161" s="33"/>
      <c r="ADV161" s="33"/>
      <c r="ADW161" s="33"/>
      <c r="ADX161" s="33"/>
      <c r="ADY161" s="33"/>
      <c r="ADZ161" s="33"/>
      <c r="AEA161" s="33"/>
      <c r="AEB161" s="33"/>
      <c r="AEC161" s="33"/>
      <c r="AED161" s="33"/>
      <c r="AEE161" s="33"/>
      <c r="AEF161" s="33"/>
      <c r="AEG161" s="33"/>
      <c r="AEH161" s="33"/>
      <c r="AEI161" s="33"/>
      <c r="AEJ161" s="33"/>
      <c r="AEK161" s="33"/>
      <c r="AEL161" s="33"/>
      <c r="AEM161" s="33"/>
      <c r="AEN161" s="33"/>
      <c r="AEO161" s="33"/>
      <c r="AEP161" s="33"/>
      <c r="AEQ161" s="33"/>
      <c r="AER161" s="33"/>
      <c r="AES161" s="33"/>
      <c r="AET161" s="33"/>
      <c r="AEU161" s="33"/>
      <c r="AEV161" s="33"/>
      <c r="AEW161" s="33"/>
      <c r="AEX161" s="33"/>
      <c r="AEY161" s="33"/>
      <c r="AEZ161" s="33"/>
      <c r="AFA161" s="33"/>
      <c r="AFB161" s="33"/>
      <c r="AFC161" s="33"/>
      <c r="AFD161" s="33"/>
      <c r="AFE161" s="33"/>
      <c r="AFF161" s="33"/>
      <c r="AFG161" s="33"/>
      <c r="AFH161" s="33"/>
      <c r="AFI161" s="33"/>
      <c r="AFJ161" s="33"/>
      <c r="AFK161" s="33"/>
      <c r="AFL161" s="33"/>
      <c r="AFM161" s="33"/>
      <c r="AFN161" s="33"/>
      <c r="AFO161" s="33"/>
      <c r="AFP161" s="33"/>
      <c r="AFQ161" s="33"/>
      <c r="AFR161" s="33"/>
      <c r="AFS161" s="33"/>
      <c r="AFT161" s="33"/>
      <c r="AFU161" s="33"/>
      <c r="AFV161" s="33"/>
      <c r="AFW161" s="33"/>
      <c r="AFX161" s="33"/>
      <c r="AFY161" s="33"/>
      <c r="AFZ161" s="33"/>
      <c r="AGA161" s="33"/>
      <c r="AGB161" s="33"/>
      <c r="AGC161" s="33"/>
      <c r="AGD161" s="33"/>
      <c r="AGE161" s="33"/>
      <c r="AGF161" s="33"/>
      <c r="AGG161" s="33"/>
      <c r="AGH161" s="33"/>
      <c r="AGI161" s="33"/>
      <c r="AGJ161" s="33"/>
      <c r="AGK161" s="33"/>
      <c r="AGL161" s="33"/>
      <c r="AGM161" s="33"/>
      <c r="AGN161" s="33"/>
      <c r="AGO161" s="33"/>
      <c r="AGP161" s="33"/>
      <c r="AGQ161" s="33"/>
      <c r="AGR161" s="33"/>
      <c r="AGS161" s="33"/>
      <c r="AGT161" s="33"/>
      <c r="AGU161" s="33"/>
      <c r="AGV161" s="33"/>
      <c r="AGW161" s="33"/>
      <c r="AGX161" s="33"/>
      <c r="AGY161" s="33"/>
      <c r="AGZ161" s="33"/>
      <c r="AHA161" s="33"/>
      <c r="AHB161" s="33"/>
      <c r="AHC161" s="33"/>
      <c r="AHD161" s="33"/>
      <c r="AHE161" s="33"/>
      <c r="AHF161" s="33"/>
      <c r="AHG161" s="33"/>
      <c r="AHH161" s="33"/>
      <c r="AHI161" s="33"/>
      <c r="AHJ161" s="33"/>
      <c r="AHK161" s="33"/>
      <c r="AHL161" s="33"/>
      <c r="AHM161" s="33"/>
      <c r="AHN161" s="33"/>
      <c r="AHO161" s="33"/>
      <c r="AHP161" s="33"/>
      <c r="AHQ161" s="33"/>
      <c r="AHR161" s="33"/>
      <c r="AHS161" s="33"/>
      <c r="AHT161" s="33"/>
      <c r="AHU161" s="33"/>
      <c r="AHV161" s="33"/>
      <c r="AHW161" s="33"/>
      <c r="AHX161" s="33"/>
      <c r="AHY161" s="33"/>
      <c r="AHZ161" s="33"/>
      <c r="AIA161" s="33"/>
      <c r="AIB161" s="33"/>
      <c r="AIC161" s="33"/>
      <c r="AID161" s="33"/>
      <c r="AIE161" s="33"/>
      <c r="AIF161" s="33"/>
      <c r="AIG161" s="33"/>
      <c r="AIH161" s="33"/>
      <c r="AII161" s="33"/>
      <c r="AIJ161" s="33"/>
      <c r="AIK161" s="33"/>
      <c r="AIL161" s="33"/>
      <c r="AIM161" s="33"/>
      <c r="AIN161" s="33"/>
      <c r="AIO161" s="33"/>
      <c r="AIP161" s="33"/>
      <c r="AIQ161" s="33"/>
      <c r="AIR161" s="33"/>
      <c r="AIS161" s="33"/>
      <c r="AIT161" s="33"/>
      <c r="AIU161" s="33"/>
      <c r="AIV161" s="33"/>
      <c r="AIW161" s="33"/>
      <c r="AIX161" s="33"/>
      <c r="AIY161" s="33"/>
      <c r="AIZ161" s="33"/>
      <c r="AJA161" s="33"/>
      <c r="AJB161" s="33"/>
      <c r="AJC161" s="33"/>
      <c r="AJD161" s="33"/>
      <c r="AJE161" s="33"/>
      <c r="AJF161" s="33"/>
      <c r="AJG161" s="33"/>
      <c r="AJH161" s="33"/>
      <c r="AJI161" s="33"/>
      <c r="AJJ161" s="33"/>
      <c r="AJK161" s="33"/>
      <c r="AJL161" s="33"/>
      <c r="AJM161" s="33"/>
      <c r="AJN161" s="33"/>
      <c r="AJO161" s="33"/>
      <c r="AJP161" s="33"/>
      <c r="AJQ161" s="33"/>
      <c r="AJR161" s="33"/>
      <c r="AJS161" s="33"/>
      <c r="AJT161" s="33"/>
      <c r="AJU161" s="33"/>
      <c r="AJV161" s="33"/>
      <c r="AJW161" s="33"/>
      <c r="AJX161" s="33"/>
      <c r="AJY161" s="33"/>
      <c r="AJZ161" s="33"/>
      <c r="AKA161" s="33"/>
      <c r="AKB161" s="33"/>
      <c r="AKC161" s="33"/>
      <c r="AKD161" s="33"/>
      <c r="AKE161" s="33"/>
      <c r="AKF161" s="33"/>
      <c r="AKG161" s="33"/>
      <c r="AKH161" s="33"/>
      <c r="AKI161" s="33"/>
      <c r="AKJ161" s="33"/>
      <c r="AKK161" s="33"/>
      <c r="AKL161" s="33"/>
      <c r="AKM161" s="33"/>
      <c r="AKN161" s="33"/>
      <c r="AKO161" s="33"/>
      <c r="AKP161" s="33"/>
      <c r="AKQ161" s="33"/>
      <c r="AKR161" s="33"/>
      <c r="AKS161" s="33"/>
      <c r="AKT161" s="33"/>
      <c r="AKU161" s="33"/>
      <c r="AKV161" s="33"/>
      <c r="AKW161" s="33"/>
      <c r="AKX161" s="33"/>
      <c r="AKY161" s="33"/>
      <c r="AKZ161" s="33"/>
      <c r="ALA161" s="33"/>
      <c r="ALB161" s="33"/>
      <c r="ALC161" s="33"/>
      <c r="ALD161" s="33"/>
      <c r="ALE161" s="33"/>
      <c r="ALF161" s="33"/>
      <c r="ALG161" s="33"/>
      <c r="ALH161" s="33"/>
      <c r="ALI161" s="33"/>
      <c r="ALJ161" s="33"/>
      <c r="ALK161" s="33"/>
      <c r="ALL161" s="33"/>
      <c r="ALM161" s="33"/>
      <c r="ALN161" s="33"/>
      <c r="ALO161" s="33"/>
      <c r="ALP161" s="33"/>
      <c r="ALQ161" s="33"/>
      <c r="ALR161" s="33"/>
      <c r="ALS161" s="33"/>
      <c r="ALT161" s="33"/>
      <c r="ALU161" s="33"/>
      <c r="ALV161" s="33"/>
      <c r="ALW161" s="33"/>
      <c r="ALX161" s="33"/>
      <c r="ALY161" s="33"/>
      <c r="ALZ161" s="33"/>
      <c r="AMA161" s="33"/>
      <c r="AMB161" s="33"/>
      <c r="AMC161" s="33"/>
      <c r="AMD161" s="33"/>
      <c r="AME161" s="33"/>
      <c r="AMF161" s="33"/>
      <c r="AMG161" s="33"/>
      <c r="AMH161" s="33"/>
      <c r="AMI161" s="33"/>
      <c r="AMJ161" s="33"/>
      <c r="AMK161" s="33"/>
      <c r="AML161" s="33"/>
      <c r="AMM161" s="33"/>
      <c r="AMN161" s="33"/>
      <c r="AMO161" s="33"/>
      <c r="AMP161" s="33"/>
      <c r="AMQ161" s="33"/>
      <c r="AMR161" s="33"/>
      <c r="AMS161" s="33"/>
      <c r="AMT161" s="33"/>
      <c r="AMU161" s="33"/>
      <c r="AMV161" s="33"/>
      <c r="AMW161" s="33"/>
      <c r="AMX161" s="33"/>
      <c r="AMY161" s="33"/>
      <c r="AMZ161" s="33"/>
      <c r="ANA161" s="33"/>
      <c r="ANB161" s="33"/>
      <c r="ANC161" s="33"/>
      <c r="AND161" s="33"/>
      <c r="ANE161" s="33"/>
      <c r="ANF161" s="33"/>
      <c r="ANG161" s="33"/>
      <c r="ANH161" s="33"/>
      <c r="ANI161" s="33"/>
      <c r="ANJ161" s="33"/>
      <c r="ANK161" s="33"/>
      <c r="ANL161" s="33"/>
      <c r="ANM161" s="33"/>
      <c r="ANN161" s="33"/>
      <c r="ANO161" s="33"/>
      <c r="ANP161" s="33"/>
      <c r="ANQ161" s="33"/>
      <c r="ANR161" s="33"/>
      <c r="ANS161" s="33"/>
      <c r="ANT161" s="33"/>
      <c r="ANU161" s="33"/>
      <c r="ANV161" s="33"/>
      <c r="ANW161" s="33"/>
      <c r="ANX161" s="33"/>
      <c r="ANY161" s="33"/>
      <c r="ANZ161" s="33"/>
      <c r="AOA161" s="33"/>
      <c r="AOB161" s="33"/>
      <c r="AOC161" s="33"/>
      <c r="AOD161" s="33"/>
      <c r="AOE161" s="33"/>
      <c r="AOF161" s="33"/>
      <c r="AOG161" s="33"/>
      <c r="AOH161" s="33"/>
      <c r="AOI161" s="33"/>
      <c r="AOJ161" s="33"/>
      <c r="AOK161" s="33"/>
      <c r="AOL161" s="33"/>
      <c r="AOM161" s="33"/>
      <c r="AON161" s="33"/>
      <c r="AOO161" s="33"/>
      <c r="AOP161" s="33"/>
      <c r="AOQ161" s="33"/>
      <c r="AOR161" s="33"/>
      <c r="AOS161" s="33"/>
      <c r="AOT161" s="33"/>
      <c r="AOU161" s="33"/>
      <c r="AOV161" s="33"/>
      <c r="AOW161" s="33"/>
      <c r="AOX161" s="33"/>
      <c r="AOY161" s="33"/>
      <c r="AOZ161" s="33"/>
      <c r="APA161" s="33"/>
      <c r="APB161" s="33"/>
      <c r="APC161" s="33"/>
      <c r="APD161" s="33"/>
      <c r="APE161" s="33"/>
      <c r="APF161" s="33"/>
      <c r="APG161" s="33"/>
      <c r="APH161" s="33"/>
      <c r="API161" s="33"/>
      <c r="APJ161" s="33"/>
      <c r="APK161" s="33"/>
      <c r="APL161" s="33"/>
      <c r="APM161" s="33"/>
      <c r="APN161" s="33"/>
      <c r="APO161" s="33"/>
      <c r="APP161" s="33"/>
      <c r="APQ161" s="33"/>
      <c r="APR161" s="33"/>
      <c r="APS161" s="33"/>
      <c r="APT161" s="33"/>
      <c r="APU161" s="33"/>
      <c r="APV161" s="33"/>
      <c r="APW161" s="33"/>
      <c r="APX161" s="33"/>
      <c r="APY161" s="33"/>
      <c r="APZ161" s="33"/>
      <c r="AQA161" s="33"/>
      <c r="AQB161" s="33"/>
      <c r="AQC161" s="33"/>
      <c r="AQD161" s="33"/>
      <c r="AQE161" s="33"/>
      <c r="AQF161" s="33"/>
      <c r="AQG161" s="33"/>
      <c r="AQH161" s="33"/>
      <c r="AQI161" s="33"/>
      <c r="AQJ161" s="33"/>
      <c r="AQK161" s="33"/>
      <c r="AQL161" s="33"/>
      <c r="AQM161" s="33"/>
      <c r="AQN161" s="33"/>
      <c r="AQO161" s="33"/>
      <c r="AQP161" s="33"/>
      <c r="AQQ161" s="33"/>
      <c r="AQR161" s="33"/>
      <c r="AQS161" s="33"/>
      <c r="AQT161" s="33"/>
      <c r="AQU161" s="33"/>
      <c r="AQV161" s="33"/>
      <c r="AQW161" s="33"/>
      <c r="AQX161" s="33"/>
      <c r="AQY161" s="33"/>
      <c r="AQZ161" s="33"/>
      <c r="ARA161" s="33"/>
      <c r="ARB161" s="33"/>
      <c r="ARC161" s="33"/>
      <c r="ARD161" s="33"/>
      <c r="ARE161" s="33"/>
      <c r="ARF161" s="33"/>
      <c r="ARG161" s="33"/>
      <c r="ARH161" s="33"/>
      <c r="ARI161" s="33"/>
      <c r="ARJ161" s="33"/>
      <c r="ARK161" s="33"/>
      <c r="ARL161" s="33"/>
      <c r="ARM161" s="33"/>
      <c r="ARN161" s="33"/>
      <c r="ARO161" s="33"/>
      <c r="ARP161" s="33"/>
      <c r="ARQ161" s="33"/>
      <c r="ARR161" s="33"/>
      <c r="ARS161" s="33"/>
      <c r="ART161" s="33"/>
      <c r="ARU161" s="33"/>
      <c r="ARV161" s="33"/>
      <c r="ARW161" s="33"/>
      <c r="ARX161" s="33"/>
      <c r="ARY161" s="33"/>
      <c r="ARZ161" s="33"/>
      <c r="ASA161" s="33"/>
      <c r="ASB161" s="33"/>
      <c r="ASC161" s="33"/>
      <c r="ASD161" s="33"/>
      <c r="ASE161" s="33"/>
      <c r="ASF161" s="33"/>
      <c r="ASG161" s="33"/>
      <c r="ASH161" s="33"/>
      <c r="ASI161" s="33"/>
      <c r="ASJ161" s="33"/>
      <c r="ASK161" s="33"/>
      <c r="ASL161" s="33"/>
      <c r="ASM161" s="33"/>
      <c r="ASN161" s="33"/>
      <c r="ASO161" s="33"/>
      <c r="ASP161" s="33"/>
      <c r="ASQ161" s="33"/>
      <c r="ASR161" s="33"/>
      <c r="ASS161" s="33"/>
      <c r="AST161" s="33"/>
      <c r="ASU161" s="33"/>
      <c r="ASV161" s="33"/>
      <c r="ASW161" s="33"/>
      <c r="ASX161" s="33"/>
      <c r="ASY161" s="33"/>
      <c r="ASZ161" s="33"/>
      <c r="ATA161" s="33"/>
      <c r="ATB161" s="33"/>
      <c r="ATC161" s="33"/>
      <c r="ATD161" s="33"/>
      <c r="ATE161" s="33"/>
      <c r="ATF161" s="33"/>
      <c r="ATG161" s="33"/>
      <c r="ATH161" s="33"/>
      <c r="ATI161" s="33"/>
      <c r="ATJ161" s="33"/>
      <c r="ATK161" s="33"/>
      <c r="ATL161" s="33"/>
      <c r="ATM161" s="33"/>
      <c r="ATN161" s="33"/>
      <c r="ATO161" s="33"/>
      <c r="ATP161" s="33"/>
      <c r="ATQ161" s="33"/>
      <c r="ATR161" s="33"/>
      <c r="ATS161" s="33"/>
      <c r="ATT161" s="33"/>
      <c r="ATU161" s="33"/>
      <c r="ATV161" s="33"/>
      <c r="ATW161" s="33"/>
      <c r="ATX161" s="33"/>
      <c r="ATY161" s="33"/>
      <c r="ATZ161" s="33"/>
      <c r="AUA161" s="33"/>
      <c r="AUB161" s="33"/>
      <c r="AUC161" s="33"/>
      <c r="AUD161" s="33"/>
      <c r="AUE161" s="33"/>
      <c r="AUF161" s="33"/>
      <c r="AUG161" s="33"/>
      <c r="AUH161" s="33"/>
      <c r="AUI161" s="33"/>
      <c r="AUJ161" s="33"/>
      <c r="AUK161" s="33"/>
      <c r="AUL161" s="33"/>
      <c r="AUM161" s="33"/>
      <c r="AUN161" s="33"/>
      <c r="AUO161" s="33"/>
      <c r="AUP161" s="33"/>
      <c r="AUQ161" s="33"/>
      <c r="AUR161" s="33"/>
      <c r="AUS161" s="33"/>
      <c r="AUT161" s="33"/>
      <c r="AUU161" s="33"/>
      <c r="AUV161" s="33"/>
      <c r="AUW161" s="33"/>
      <c r="AUX161" s="33"/>
      <c r="AUY161" s="33"/>
      <c r="AUZ161" s="33"/>
      <c r="AVA161" s="33"/>
      <c r="AVB161" s="33"/>
      <c r="AVC161" s="33"/>
      <c r="AVD161" s="33"/>
      <c r="AVE161" s="33"/>
      <c r="AVF161" s="33"/>
      <c r="AVG161" s="33"/>
      <c r="AVH161" s="33"/>
      <c r="AVI161" s="33"/>
      <c r="AVJ161" s="33"/>
      <c r="AVK161" s="33"/>
      <c r="AVL161" s="33"/>
      <c r="AVM161" s="33"/>
      <c r="AVN161" s="33"/>
      <c r="AVO161" s="33"/>
      <c r="AVP161" s="33"/>
      <c r="AVQ161" s="33"/>
      <c r="AVR161" s="33"/>
      <c r="AVS161" s="33"/>
      <c r="AVT161" s="33"/>
      <c r="AVU161" s="33"/>
      <c r="AVV161" s="33"/>
      <c r="AVW161" s="33"/>
      <c r="AVX161" s="33"/>
      <c r="AVY161" s="33"/>
      <c r="AVZ161" s="33"/>
      <c r="AWA161" s="33"/>
      <c r="AWB161" s="33"/>
      <c r="AWC161" s="33"/>
      <c r="AWD161" s="33"/>
      <c r="AWE161" s="33"/>
      <c r="AWF161" s="33"/>
      <c r="AWG161" s="33"/>
      <c r="AWH161" s="33"/>
      <c r="AWI161" s="33"/>
      <c r="AWJ161" s="33"/>
      <c r="AWK161" s="33"/>
      <c r="AWL161" s="33"/>
      <c r="AWM161" s="33"/>
      <c r="AWN161" s="33"/>
      <c r="AWO161" s="33"/>
      <c r="AWP161" s="33"/>
      <c r="AWQ161" s="33"/>
      <c r="AWR161" s="33"/>
      <c r="AWS161" s="33"/>
      <c r="AWT161" s="33"/>
      <c r="AWU161" s="33"/>
      <c r="AWV161" s="33"/>
      <c r="AWW161" s="33"/>
      <c r="AWX161" s="33"/>
      <c r="AWY161" s="33"/>
      <c r="AWZ161" s="33"/>
      <c r="AXA161" s="33"/>
      <c r="AXB161" s="33"/>
      <c r="AXC161" s="33"/>
      <c r="AXD161" s="33"/>
      <c r="AXE161" s="33"/>
      <c r="AXF161" s="33"/>
      <c r="AXG161" s="33"/>
      <c r="AXH161" s="33"/>
      <c r="AXI161" s="33"/>
      <c r="AXJ161" s="33"/>
      <c r="AXK161" s="33"/>
      <c r="AXL161" s="33"/>
      <c r="AXM161" s="33"/>
      <c r="AXN161" s="33"/>
      <c r="AXO161" s="33"/>
      <c r="AXP161" s="33"/>
      <c r="AXQ161" s="33"/>
      <c r="AXR161" s="33"/>
      <c r="AXS161" s="33"/>
      <c r="AXT161" s="33"/>
      <c r="AXU161" s="33"/>
      <c r="AXV161" s="33"/>
      <c r="AXW161" s="33"/>
      <c r="AXX161" s="33"/>
      <c r="AXY161" s="33"/>
      <c r="AXZ161" s="33"/>
      <c r="AYA161" s="33"/>
      <c r="AYB161" s="33"/>
      <c r="AYC161" s="33"/>
      <c r="AYD161" s="33"/>
      <c r="AYE161" s="33"/>
      <c r="AYF161" s="33"/>
      <c r="AYG161" s="33"/>
      <c r="AYH161" s="33"/>
      <c r="AYI161" s="33"/>
      <c r="AYJ161" s="33"/>
      <c r="AYK161" s="33"/>
      <c r="AYL161" s="33"/>
      <c r="AYM161" s="33"/>
      <c r="AYN161" s="33"/>
      <c r="AYO161" s="33"/>
      <c r="AYP161" s="33"/>
      <c r="AYQ161" s="33"/>
      <c r="AYR161" s="33"/>
      <c r="AYS161" s="33"/>
      <c r="AYT161" s="33"/>
      <c r="AYU161" s="33"/>
      <c r="AYV161" s="33"/>
      <c r="AYW161" s="33"/>
      <c r="AYX161" s="33"/>
      <c r="AYY161" s="33"/>
      <c r="AYZ161" s="33"/>
      <c r="AZA161" s="33"/>
      <c r="AZB161" s="33"/>
      <c r="AZC161" s="33"/>
      <c r="AZD161" s="33"/>
      <c r="AZE161" s="33"/>
      <c r="AZF161" s="33"/>
      <c r="AZG161" s="33"/>
      <c r="AZH161" s="33"/>
      <c r="AZI161" s="33"/>
      <c r="AZJ161" s="33"/>
      <c r="AZK161" s="33"/>
      <c r="AZL161" s="33"/>
      <c r="AZM161" s="33"/>
      <c r="AZN161" s="33"/>
      <c r="AZO161" s="33"/>
      <c r="AZP161" s="33"/>
      <c r="AZQ161" s="33"/>
      <c r="AZR161" s="33"/>
      <c r="AZS161" s="33"/>
      <c r="AZT161" s="33"/>
      <c r="AZU161" s="33"/>
      <c r="AZV161" s="33"/>
      <c r="AZW161" s="33"/>
      <c r="AZX161" s="33"/>
      <c r="AZY161" s="33"/>
      <c r="AZZ161" s="33"/>
      <c r="BAA161" s="33"/>
      <c r="BAB161" s="33"/>
      <c r="BAC161" s="33"/>
      <c r="BAD161" s="33"/>
      <c r="BAE161" s="33"/>
      <c r="BAF161" s="33"/>
      <c r="BAG161" s="33"/>
      <c r="BAH161" s="33"/>
      <c r="BAI161" s="33"/>
      <c r="BAJ161" s="33"/>
      <c r="BAK161" s="33"/>
      <c r="BAL161" s="33"/>
      <c r="BAM161" s="33"/>
      <c r="BAN161" s="33"/>
      <c r="BAO161" s="33"/>
      <c r="BAP161" s="33"/>
      <c r="BAQ161" s="33"/>
      <c r="BAR161" s="33"/>
      <c r="BAS161" s="33"/>
      <c r="BAT161" s="33"/>
      <c r="BAU161" s="33"/>
      <c r="BAV161" s="33"/>
      <c r="BAW161" s="33"/>
      <c r="BAX161" s="33"/>
      <c r="BAY161" s="33"/>
      <c r="BAZ161" s="33"/>
      <c r="BBA161" s="33"/>
      <c r="BBB161" s="33"/>
      <c r="BBC161" s="33"/>
      <c r="BBD161" s="33"/>
      <c r="BBE161" s="33"/>
      <c r="BBF161" s="33"/>
      <c r="BBG161" s="33"/>
      <c r="BBH161" s="33"/>
      <c r="BBI161" s="33"/>
      <c r="BBJ161" s="33"/>
      <c r="BBK161" s="33"/>
      <c r="BBL161" s="33"/>
      <c r="BBM161" s="33"/>
      <c r="BBN161" s="33"/>
      <c r="BBO161" s="33"/>
      <c r="BBP161" s="33"/>
      <c r="BBQ161" s="33"/>
      <c r="BBR161" s="33"/>
      <c r="BBS161" s="33"/>
      <c r="BBT161" s="33"/>
      <c r="BBU161" s="33"/>
      <c r="BBV161" s="33"/>
      <c r="BBW161" s="33"/>
      <c r="BBX161" s="33"/>
      <c r="BBY161" s="33"/>
      <c r="BBZ161" s="33"/>
      <c r="BCA161" s="33"/>
      <c r="BCB161" s="33"/>
      <c r="BCC161" s="33"/>
      <c r="BCD161" s="33"/>
      <c r="BCE161" s="33"/>
      <c r="BCF161" s="33"/>
      <c r="BCG161" s="33"/>
      <c r="BCH161" s="33"/>
      <c r="BCI161" s="33"/>
      <c r="BCJ161" s="33"/>
      <c r="BCK161" s="33"/>
      <c r="BCL161" s="33"/>
      <c r="BCM161" s="33"/>
      <c r="BCN161" s="33"/>
      <c r="BCO161" s="33"/>
      <c r="BCP161" s="33"/>
      <c r="BCQ161" s="33"/>
      <c r="BCR161" s="33"/>
      <c r="BCS161" s="33"/>
      <c r="BCT161" s="33"/>
      <c r="BCU161" s="33"/>
      <c r="BCV161" s="33"/>
      <c r="BCW161" s="33"/>
      <c r="BCX161" s="33"/>
      <c r="BCY161" s="33"/>
      <c r="BCZ161" s="33"/>
      <c r="BDA161" s="33"/>
      <c r="BDB161" s="33"/>
      <c r="BDC161" s="33"/>
      <c r="BDD161" s="33"/>
      <c r="BDE161" s="33"/>
      <c r="BDF161" s="33"/>
      <c r="BDG161" s="33"/>
      <c r="BDH161" s="33"/>
      <c r="BDI161" s="33"/>
      <c r="BDJ161" s="33"/>
      <c r="BDK161" s="33"/>
      <c r="BDL161" s="33"/>
      <c r="BDM161" s="33"/>
      <c r="BDN161" s="33"/>
      <c r="BDO161" s="33"/>
      <c r="BDP161" s="33"/>
      <c r="BDQ161" s="33"/>
      <c r="BDR161" s="33"/>
      <c r="BDS161" s="33"/>
      <c r="BDT161" s="33"/>
      <c r="BDU161" s="33"/>
      <c r="BDV161" s="33"/>
      <c r="BDW161" s="33"/>
      <c r="BDX161" s="33"/>
      <c r="BDY161" s="33"/>
      <c r="BDZ161" s="33"/>
      <c r="BEA161" s="33"/>
      <c r="BEB161" s="33"/>
      <c r="BEC161" s="33"/>
      <c r="BED161" s="33"/>
      <c r="BEE161" s="33"/>
      <c r="BEF161" s="33"/>
      <c r="BEG161" s="33"/>
      <c r="BEH161" s="33"/>
      <c r="BEI161" s="33"/>
      <c r="BEJ161" s="33"/>
      <c r="BEK161" s="33"/>
      <c r="BEL161" s="33"/>
      <c r="BEM161" s="33"/>
      <c r="BEN161" s="33"/>
      <c r="BEO161" s="33"/>
      <c r="BEP161" s="33"/>
      <c r="BEQ161" s="33"/>
      <c r="BER161" s="33"/>
      <c r="BES161" s="33"/>
      <c r="BET161" s="33"/>
      <c r="BEU161" s="33"/>
      <c r="BEV161" s="33"/>
      <c r="BEW161" s="33"/>
      <c r="BEX161" s="33"/>
      <c r="BEY161" s="33"/>
      <c r="BEZ161" s="33"/>
      <c r="BFA161" s="33"/>
      <c r="BFB161" s="33"/>
      <c r="BFC161" s="33"/>
      <c r="BFD161" s="33"/>
      <c r="BFE161" s="33"/>
      <c r="BFF161" s="33"/>
      <c r="BFG161" s="33"/>
      <c r="BFH161" s="33"/>
      <c r="BFI161" s="33"/>
      <c r="BFJ161" s="33"/>
      <c r="BFK161" s="33"/>
      <c r="BFL161" s="33"/>
      <c r="BFM161" s="33"/>
      <c r="BFN161" s="33"/>
      <c r="BFO161" s="33"/>
      <c r="BFP161" s="33"/>
      <c r="BFQ161" s="33"/>
      <c r="BFR161" s="33"/>
      <c r="BFS161" s="33"/>
      <c r="BFT161" s="33"/>
      <c r="BFU161" s="33"/>
      <c r="BFV161" s="33"/>
      <c r="BFW161" s="33"/>
      <c r="BFX161" s="33"/>
      <c r="BFY161" s="33"/>
      <c r="BFZ161" s="33"/>
      <c r="BGA161" s="33"/>
      <c r="BGB161" s="33"/>
      <c r="BGC161" s="33"/>
      <c r="BGD161" s="33"/>
      <c r="BGE161" s="33"/>
      <c r="BGF161" s="33"/>
      <c r="BGG161" s="33"/>
      <c r="BGH161" s="33"/>
      <c r="BGI161" s="33"/>
      <c r="BGJ161" s="33"/>
      <c r="BGK161" s="33"/>
      <c r="BGL161" s="33"/>
      <c r="BGM161" s="33"/>
      <c r="BGN161" s="33"/>
      <c r="BGO161" s="33"/>
      <c r="BGP161" s="33"/>
      <c r="BGQ161" s="33"/>
      <c r="BGR161" s="33"/>
      <c r="BGS161" s="33"/>
      <c r="BGT161" s="33"/>
      <c r="BGU161" s="33"/>
      <c r="BGV161" s="33"/>
      <c r="BGW161" s="33"/>
      <c r="BGX161" s="33"/>
      <c r="BGY161" s="33"/>
      <c r="BGZ161" s="33"/>
      <c r="BHA161" s="33"/>
      <c r="BHB161" s="33"/>
      <c r="BHC161" s="33"/>
      <c r="BHD161" s="33"/>
      <c r="BHE161" s="33"/>
      <c r="BHF161" s="33"/>
      <c r="BHG161" s="33"/>
      <c r="BHH161" s="33"/>
      <c r="BHI161" s="33"/>
      <c r="BHJ161" s="33"/>
      <c r="BHK161" s="33"/>
      <c r="BHL161" s="33"/>
      <c r="BHM161" s="33"/>
      <c r="BHN161" s="33"/>
      <c r="BHO161" s="33"/>
      <c r="BHP161" s="33"/>
      <c r="BHQ161" s="33"/>
      <c r="BHR161" s="33"/>
      <c r="BHS161" s="33"/>
      <c r="BHT161" s="33"/>
      <c r="BHU161" s="33"/>
      <c r="BHV161" s="33"/>
      <c r="BHW161" s="33"/>
      <c r="BHX161" s="33"/>
      <c r="BHY161" s="33"/>
      <c r="BHZ161" s="33"/>
      <c r="BIA161" s="33"/>
      <c r="BIB161" s="33"/>
      <c r="BIC161" s="33"/>
      <c r="BID161" s="33"/>
      <c r="BIE161" s="33"/>
      <c r="BIF161" s="33"/>
      <c r="BIG161" s="33"/>
      <c r="BIH161" s="33"/>
      <c r="BII161" s="33"/>
      <c r="BIJ161" s="33"/>
      <c r="BIK161" s="33"/>
      <c r="BIL161" s="33"/>
      <c r="BIM161" s="33"/>
      <c r="BIN161" s="33"/>
      <c r="BIO161" s="33"/>
      <c r="BIP161" s="33"/>
      <c r="BIQ161" s="33"/>
      <c r="BIR161" s="33"/>
      <c r="BIS161" s="33"/>
      <c r="BIT161" s="33"/>
      <c r="BIU161" s="33"/>
      <c r="BIV161" s="33"/>
      <c r="BIW161" s="33"/>
      <c r="BIX161" s="33"/>
      <c r="BIY161" s="33"/>
      <c r="BIZ161" s="33"/>
      <c r="BJA161" s="33"/>
      <c r="BJB161" s="33"/>
      <c r="BJC161" s="33"/>
      <c r="BJD161" s="33"/>
      <c r="BJE161" s="33"/>
      <c r="BJF161" s="33"/>
      <c r="BJG161" s="33"/>
      <c r="BJH161" s="33"/>
      <c r="BJI161" s="33"/>
      <c r="BJJ161" s="33"/>
      <c r="BJK161" s="33"/>
      <c r="BJL161" s="33"/>
      <c r="BJM161" s="33"/>
      <c r="BJN161" s="33"/>
      <c r="BJO161" s="33"/>
      <c r="BJP161" s="33"/>
      <c r="BJQ161" s="33"/>
      <c r="BJR161" s="33"/>
      <c r="BJS161" s="33"/>
      <c r="BJT161" s="33"/>
      <c r="BJU161" s="33"/>
      <c r="BJV161" s="33"/>
      <c r="BJW161" s="33"/>
      <c r="BJX161" s="33"/>
      <c r="BJY161" s="33"/>
      <c r="BJZ161" s="33"/>
      <c r="BKA161" s="33"/>
      <c r="BKB161" s="33"/>
      <c r="BKC161" s="33"/>
      <c r="BKD161" s="33"/>
      <c r="BKE161" s="33"/>
      <c r="BKF161" s="33"/>
      <c r="BKG161" s="33"/>
      <c r="BKH161" s="33"/>
      <c r="BKI161" s="33"/>
      <c r="BKJ161" s="33"/>
      <c r="BKK161" s="33"/>
      <c r="BKL161" s="33"/>
      <c r="BKM161" s="33"/>
      <c r="BKN161" s="33"/>
      <c r="BKO161" s="33"/>
      <c r="BKP161" s="33"/>
      <c r="BKQ161" s="33"/>
      <c r="BKR161" s="33"/>
      <c r="BKS161" s="33"/>
      <c r="BKT161" s="33"/>
      <c r="BKU161" s="33"/>
      <c r="BKV161" s="33"/>
      <c r="BKW161" s="33"/>
      <c r="BKX161" s="33"/>
      <c r="BKY161" s="33"/>
      <c r="BKZ161" s="33"/>
      <c r="BLA161" s="33"/>
      <c r="BLB161" s="33"/>
      <c r="BLC161" s="33"/>
      <c r="BLD161" s="33"/>
      <c r="BLE161" s="33"/>
      <c r="BLF161" s="33"/>
      <c r="BLG161" s="33"/>
      <c r="BLH161" s="33"/>
      <c r="BLI161" s="33"/>
      <c r="BLJ161" s="33"/>
      <c r="BLK161" s="33"/>
      <c r="BLL161" s="33"/>
      <c r="BLM161" s="33"/>
      <c r="BLN161" s="33"/>
      <c r="BLO161" s="33"/>
      <c r="BLP161" s="33"/>
      <c r="BLQ161" s="33"/>
      <c r="BLR161" s="33"/>
      <c r="BLS161" s="33"/>
      <c r="BLT161" s="33"/>
      <c r="BLU161" s="33"/>
      <c r="BLV161" s="33"/>
      <c r="BLW161" s="33"/>
      <c r="BLX161" s="33"/>
      <c r="BLY161" s="33"/>
      <c r="BLZ161" s="33"/>
      <c r="BMA161" s="33"/>
      <c r="BMB161" s="33"/>
      <c r="BMC161" s="33"/>
      <c r="BMD161" s="33"/>
      <c r="BME161" s="33"/>
      <c r="BMF161" s="33"/>
      <c r="BMG161" s="33"/>
      <c r="BMH161" s="33"/>
      <c r="BMI161" s="33"/>
      <c r="BMJ161" s="33"/>
      <c r="BMK161" s="33"/>
      <c r="BML161" s="33"/>
      <c r="BMM161" s="33"/>
      <c r="BMN161" s="33"/>
      <c r="BMO161" s="33"/>
      <c r="BMP161" s="33"/>
      <c r="BMQ161" s="33"/>
      <c r="BMR161" s="33"/>
      <c r="BMS161" s="33"/>
      <c r="BMT161" s="33"/>
      <c r="BMU161" s="33"/>
      <c r="BMV161" s="33"/>
      <c r="BMW161" s="33"/>
      <c r="BMX161" s="33"/>
      <c r="BMY161" s="33"/>
      <c r="BMZ161" s="33"/>
      <c r="BNA161" s="33"/>
      <c r="BNB161" s="33"/>
      <c r="BNC161" s="33"/>
      <c r="BND161" s="33"/>
      <c r="BNE161" s="33"/>
      <c r="BNF161" s="33"/>
      <c r="BNG161" s="33"/>
      <c r="BNH161" s="33"/>
      <c r="BNI161" s="33"/>
      <c r="BNJ161" s="33"/>
      <c r="BNK161" s="33"/>
      <c r="BNL161" s="33"/>
      <c r="BNM161" s="33"/>
      <c r="BNN161" s="33"/>
      <c r="BNO161" s="33"/>
      <c r="BNP161" s="33"/>
      <c r="BNQ161" s="33"/>
      <c r="BNR161" s="33"/>
      <c r="BNS161" s="33"/>
      <c r="BNT161" s="33"/>
      <c r="BNU161" s="33"/>
      <c r="BNV161" s="33"/>
      <c r="BNW161" s="33"/>
      <c r="BNX161" s="33"/>
      <c r="BNY161" s="33"/>
      <c r="BNZ161" s="33"/>
      <c r="BOA161" s="33"/>
      <c r="BOB161" s="33"/>
      <c r="BOC161" s="33"/>
      <c r="BOD161" s="33"/>
      <c r="BOE161" s="33"/>
      <c r="BOF161" s="33"/>
      <c r="BOG161" s="33"/>
      <c r="BOH161" s="33"/>
      <c r="BOI161" s="33"/>
      <c r="BOJ161" s="33"/>
      <c r="BOK161" s="33"/>
      <c r="BOL161" s="33"/>
      <c r="BOM161" s="33"/>
      <c r="BON161" s="33"/>
      <c r="BOO161" s="33"/>
      <c r="BOP161" s="33"/>
      <c r="BOQ161" s="33"/>
      <c r="BOR161" s="33"/>
      <c r="BOS161" s="33"/>
      <c r="BOT161" s="33"/>
      <c r="BOU161" s="33"/>
      <c r="BOV161" s="33"/>
      <c r="BOW161" s="33"/>
      <c r="BOX161" s="33"/>
      <c r="BOY161" s="33"/>
      <c r="BOZ161" s="33"/>
      <c r="BPA161" s="33"/>
      <c r="BPB161" s="33"/>
      <c r="BPC161" s="33"/>
      <c r="BPD161" s="33"/>
      <c r="BPE161" s="33"/>
      <c r="BPF161" s="33"/>
      <c r="BPG161" s="33"/>
      <c r="BPH161" s="33"/>
      <c r="BPI161" s="33"/>
      <c r="BPJ161" s="33"/>
      <c r="BPK161" s="33"/>
      <c r="BPL161" s="33"/>
      <c r="BPM161" s="33"/>
      <c r="BPN161" s="33"/>
      <c r="BPO161" s="33"/>
      <c r="BPP161" s="33"/>
      <c r="BPQ161" s="33"/>
      <c r="BPR161" s="33"/>
      <c r="BPS161" s="33"/>
      <c r="BPT161" s="33"/>
      <c r="BPU161" s="33"/>
      <c r="BPV161" s="33"/>
      <c r="BPW161" s="33"/>
      <c r="BPX161" s="33"/>
      <c r="BPY161" s="33"/>
      <c r="BPZ161" s="33"/>
      <c r="BQA161" s="33"/>
      <c r="BQB161" s="33"/>
      <c r="BQC161" s="33"/>
      <c r="BQD161" s="33"/>
      <c r="BQE161" s="33"/>
      <c r="BQF161" s="33"/>
      <c r="BQG161" s="33"/>
      <c r="BQH161" s="33"/>
      <c r="BQI161" s="33"/>
      <c r="BQJ161" s="33"/>
      <c r="BQK161" s="33"/>
      <c r="BQL161" s="33"/>
      <c r="BQM161" s="33"/>
      <c r="BQN161" s="33"/>
      <c r="BQO161" s="33"/>
      <c r="BQP161" s="33"/>
      <c r="BQQ161" s="33"/>
      <c r="BQR161" s="33"/>
      <c r="BQS161" s="33"/>
      <c r="BQT161" s="33"/>
      <c r="BQU161" s="33"/>
      <c r="BQV161" s="33"/>
      <c r="BQW161" s="33"/>
      <c r="BQX161" s="33"/>
      <c r="BQY161" s="33"/>
      <c r="BQZ161" s="33"/>
      <c r="BRA161" s="33"/>
      <c r="BRB161" s="33"/>
      <c r="BRC161" s="33"/>
      <c r="BRD161" s="33"/>
      <c r="BRE161" s="33"/>
      <c r="BRF161" s="33"/>
      <c r="BRG161" s="33"/>
      <c r="BRH161" s="33"/>
      <c r="BRI161" s="33"/>
      <c r="BRJ161" s="33"/>
      <c r="BRK161" s="33"/>
      <c r="BRL161" s="33"/>
      <c r="BRM161" s="33"/>
      <c r="BRN161" s="33"/>
      <c r="BRO161" s="33"/>
      <c r="BRP161" s="33"/>
      <c r="BRQ161" s="33"/>
      <c r="BRR161" s="33"/>
      <c r="BRS161" s="33"/>
      <c r="BRT161" s="33"/>
      <c r="BRU161" s="33"/>
      <c r="BRV161" s="33"/>
      <c r="BRW161" s="33"/>
      <c r="BRX161" s="33"/>
      <c r="BRY161" s="33"/>
      <c r="BRZ161" s="33"/>
      <c r="BSA161" s="33"/>
      <c r="BSB161" s="33"/>
      <c r="BSC161" s="33"/>
      <c r="BSD161" s="33"/>
      <c r="BSE161" s="33"/>
      <c r="BSF161" s="33"/>
      <c r="BSG161" s="33"/>
      <c r="BSH161" s="33"/>
      <c r="BSI161" s="33"/>
      <c r="BSJ161" s="33"/>
      <c r="BSK161" s="33"/>
      <c r="BSL161" s="33"/>
      <c r="BSM161" s="33"/>
      <c r="BSN161" s="33"/>
      <c r="BSO161" s="33"/>
      <c r="BSP161" s="33"/>
      <c r="BSQ161" s="33"/>
      <c r="BSR161" s="33"/>
      <c r="BSS161" s="33"/>
      <c r="BST161" s="33"/>
      <c r="BSU161" s="33"/>
      <c r="BSV161" s="33"/>
      <c r="BSW161" s="33"/>
      <c r="BSX161" s="33"/>
      <c r="BSY161" s="33"/>
      <c r="BSZ161" s="33"/>
      <c r="BTA161" s="33"/>
      <c r="BTB161" s="33"/>
      <c r="BTC161" s="33"/>
      <c r="BTD161" s="33"/>
      <c r="BTE161" s="33"/>
      <c r="BTF161" s="33"/>
      <c r="BTG161" s="33"/>
      <c r="BTH161" s="33"/>
      <c r="BTI161" s="33"/>
      <c r="BTJ161" s="33"/>
      <c r="BTK161" s="33"/>
      <c r="BTL161" s="33"/>
      <c r="BTM161" s="33"/>
      <c r="BTN161" s="33"/>
      <c r="BTO161" s="33"/>
      <c r="BTP161" s="33"/>
      <c r="BTQ161" s="33"/>
      <c r="BTR161" s="33"/>
      <c r="BTS161" s="33"/>
      <c r="BTT161" s="33"/>
      <c r="BTU161" s="33"/>
      <c r="BTV161" s="33"/>
      <c r="BTW161" s="33"/>
      <c r="BTX161" s="33"/>
      <c r="BTY161" s="33"/>
      <c r="BTZ161" s="33"/>
      <c r="BUA161" s="33"/>
      <c r="BUB161" s="33"/>
      <c r="BUC161" s="33"/>
      <c r="BUD161" s="33"/>
      <c r="BUE161" s="33"/>
      <c r="BUF161" s="33"/>
      <c r="BUG161" s="33"/>
      <c r="BUH161" s="33"/>
      <c r="BUI161" s="33"/>
      <c r="BUJ161" s="33"/>
      <c r="BUK161" s="33"/>
      <c r="BUL161" s="33"/>
      <c r="BUM161" s="33"/>
      <c r="BUN161" s="33"/>
      <c r="BUO161" s="33"/>
      <c r="BUP161" s="33"/>
      <c r="BUQ161" s="33"/>
      <c r="BUR161" s="33"/>
      <c r="BUS161" s="33"/>
      <c r="BUT161" s="33"/>
      <c r="BUU161" s="33"/>
      <c r="BUV161" s="33"/>
      <c r="BUW161" s="33"/>
      <c r="BUX161" s="33"/>
      <c r="BUY161" s="33"/>
      <c r="BUZ161" s="33"/>
      <c r="BVA161" s="33"/>
      <c r="BVB161" s="33"/>
      <c r="BVC161" s="33"/>
      <c r="BVD161" s="33"/>
      <c r="BVE161" s="33"/>
      <c r="BVF161" s="33"/>
      <c r="BVG161" s="33"/>
      <c r="BVH161" s="33"/>
      <c r="BVI161" s="33"/>
      <c r="BVJ161" s="33"/>
      <c r="BVK161" s="33"/>
      <c r="BVL161" s="33"/>
      <c r="BVM161" s="33"/>
      <c r="BVN161" s="33"/>
      <c r="BVO161" s="33"/>
      <c r="BVP161" s="33"/>
      <c r="BVQ161" s="33"/>
      <c r="BVR161" s="33"/>
      <c r="BVS161" s="33"/>
      <c r="BVT161" s="33"/>
      <c r="BVU161" s="33"/>
      <c r="BVV161" s="33"/>
      <c r="BVW161" s="33"/>
      <c r="BVX161" s="33"/>
      <c r="BVY161" s="33"/>
      <c r="BVZ161" s="33"/>
      <c r="BWA161" s="33"/>
      <c r="BWB161" s="33"/>
      <c r="BWC161" s="33"/>
      <c r="BWD161" s="33"/>
      <c r="BWE161" s="33"/>
      <c r="BWF161" s="33"/>
      <c r="BWG161" s="33"/>
      <c r="BWH161" s="33"/>
      <c r="BWI161" s="33"/>
      <c r="BWJ161" s="33"/>
      <c r="BWK161" s="33"/>
      <c r="BWL161" s="33"/>
      <c r="BWM161" s="33"/>
      <c r="BWN161" s="33"/>
      <c r="BWO161" s="33"/>
      <c r="BWP161" s="33"/>
      <c r="BWQ161" s="33"/>
      <c r="BWR161" s="33"/>
      <c r="BWS161" s="33"/>
      <c r="BWT161" s="33"/>
      <c r="BWU161" s="33"/>
      <c r="BWV161" s="33"/>
      <c r="BWW161" s="33"/>
      <c r="BWX161" s="33"/>
      <c r="BWY161" s="33"/>
      <c r="BWZ161" s="33"/>
      <c r="BXA161" s="33"/>
      <c r="BXB161" s="33"/>
      <c r="BXC161" s="33"/>
      <c r="BXD161" s="33"/>
      <c r="BXE161" s="33"/>
      <c r="BXF161" s="33"/>
      <c r="BXG161" s="33"/>
      <c r="BXH161" s="33"/>
      <c r="BXI161" s="33"/>
      <c r="BXJ161" s="33"/>
      <c r="BXK161" s="33"/>
      <c r="BXL161" s="33"/>
      <c r="BXM161" s="33"/>
      <c r="BXN161" s="33"/>
      <c r="BXO161" s="33"/>
      <c r="BXP161" s="33"/>
      <c r="BXQ161" s="33"/>
      <c r="BXR161" s="33"/>
      <c r="BXS161" s="33"/>
      <c r="BXT161" s="33"/>
      <c r="BXU161" s="33"/>
      <c r="BXV161" s="33"/>
      <c r="BXW161" s="33"/>
      <c r="BXX161" s="33"/>
      <c r="BXY161" s="33"/>
      <c r="BXZ161" s="33"/>
      <c r="BYA161" s="33"/>
      <c r="BYB161" s="33"/>
      <c r="BYC161" s="33"/>
      <c r="BYD161" s="33"/>
      <c r="BYE161" s="33"/>
      <c r="BYF161" s="33"/>
      <c r="BYG161" s="33"/>
      <c r="BYH161" s="33"/>
      <c r="BYI161" s="33"/>
      <c r="BYJ161" s="33"/>
      <c r="BYK161" s="33"/>
      <c r="BYL161" s="33"/>
      <c r="BYM161" s="33"/>
      <c r="BYN161" s="33"/>
      <c r="BYO161" s="33"/>
      <c r="BYP161" s="33"/>
      <c r="BYQ161" s="33"/>
      <c r="BYR161" s="33"/>
      <c r="BYS161" s="33"/>
      <c r="BYT161" s="33"/>
      <c r="BYU161" s="33"/>
      <c r="BYV161" s="33"/>
      <c r="BYW161" s="33"/>
      <c r="BYX161" s="33"/>
      <c r="BYY161" s="33"/>
      <c r="BYZ161" s="33"/>
      <c r="BZA161" s="33"/>
      <c r="BZB161" s="33"/>
      <c r="BZC161" s="33"/>
      <c r="BZD161" s="33"/>
      <c r="BZE161" s="33"/>
      <c r="BZF161" s="33"/>
      <c r="BZG161" s="33"/>
      <c r="BZH161" s="33"/>
      <c r="BZI161" s="33"/>
      <c r="BZJ161" s="33"/>
      <c r="BZK161" s="33"/>
      <c r="BZL161" s="33"/>
      <c r="BZM161" s="33"/>
      <c r="BZN161" s="33"/>
      <c r="BZO161" s="33"/>
      <c r="BZP161" s="33"/>
      <c r="BZQ161" s="33"/>
      <c r="BZR161" s="33"/>
      <c r="BZS161" s="33"/>
      <c r="BZT161" s="33"/>
      <c r="BZU161" s="33"/>
      <c r="BZV161" s="33"/>
      <c r="BZW161" s="33"/>
      <c r="BZX161" s="33"/>
      <c r="BZY161" s="33"/>
      <c r="BZZ161" s="33"/>
      <c r="CAA161" s="33"/>
      <c r="CAB161" s="33"/>
      <c r="CAC161" s="33"/>
      <c r="CAD161" s="33"/>
      <c r="CAE161" s="33"/>
      <c r="CAF161" s="33"/>
      <c r="CAG161" s="33"/>
      <c r="CAH161" s="33"/>
      <c r="CAI161" s="33"/>
      <c r="CAJ161" s="33"/>
      <c r="CAK161" s="33"/>
      <c r="CAL161" s="33"/>
      <c r="CAM161" s="33"/>
      <c r="CAN161" s="33"/>
      <c r="CAO161" s="33"/>
      <c r="CAP161" s="33"/>
      <c r="CAQ161" s="33"/>
      <c r="CAR161" s="33"/>
      <c r="CAS161" s="33"/>
      <c r="CAT161" s="33"/>
      <c r="CAU161" s="33"/>
      <c r="CAV161" s="33"/>
      <c r="CAW161" s="33"/>
      <c r="CAX161" s="33"/>
      <c r="CAY161" s="33"/>
      <c r="CAZ161" s="33"/>
      <c r="CBA161" s="33"/>
      <c r="CBB161" s="33"/>
      <c r="CBC161" s="33"/>
      <c r="CBD161" s="33"/>
      <c r="CBE161" s="33"/>
      <c r="CBF161" s="33"/>
      <c r="CBG161" s="33"/>
      <c r="CBH161" s="33"/>
      <c r="CBI161" s="33"/>
      <c r="CBJ161" s="33"/>
      <c r="CBK161" s="33"/>
      <c r="CBL161" s="33"/>
      <c r="CBM161" s="33"/>
      <c r="CBN161" s="33"/>
      <c r="CBO161" s="33"/>
      <c r="CBP161" s="33"/>
      <c r="CBQ161" s="33"/>
      <c r="CBR161" s="33"/>
      <c r="CBS161" s="33"/>
      <c r="CBT161" s="33"/>
      <c r="CBU161" s="33"/>
      <c r="CBV161" s="33"/>
      <c r="CBW161" s="33"/>
      <c r="CBX161" s="33"/>
      <c r="CBY161" s="33"/>
      <c r="CBZ161" s="33"/>
      <c r="CCA161" s="33"/>
      <c r="CCB161" s="33"/>
      <c r="CCC161" s="33"/>
      <c r="CCD161" s="33"/>
      <c r="CCE161" s="33"/>
      <c r="CCF161" s="33"/>
      <c r="CCG161" s="33"/>
      <c r="CCH161" s="33"/>
      <c r="CCI161" s="33"/>
      <c r="CCJ161" s="33"/>
      <c r="CCK161" s="33"/>
      <c r="CCL161" s="33"/>
      <c r="CCM161" s="33"/>
      <c r="CCN161" s="33"/>
      <c r="CCO161" s="33"/>
      <c r="CCP161" s="33"/>
      <c r="CCQ161" s="33"/>
      <c r="CCR161" s="33"/>
      <c r="CCS161" s="33"/>
      <c r="CCT161" s="33"/>
      <c r="CCU161" s="33"/>
      <c r="CCV161" s="33"/>
      <c r="CCW161" s="33"/>
      <c r="CCX161" s="33"/>
      <c r="CCY161" s="33"/>
      <c r="CCZ161" s="33"/>
      <c r="CDA161" s="33"/>
      <c r="CDB161" s="33"/>
      <c r="CDC161" s="33"/>
      <c r="CDD161" s="33"/>
      <c r="CDE161" s="33"/>
      <c r="CDF161" s="33"/>
      <c r="CDG161" s="33"/>
      <c r="CDH161" s="33"/>
      <c r="CDI161" s="33"/>
      <c r="CDJ161" s="33"/>
      <c r="CDK161" s="33"/>
      <c r="CDL161" s="33"/>
      <c r="CDM161" s="33"/>
      <c r="CDN161" s="33"/>
      <c r="CDO161" s="33"/>
      <c r="CDP161" s="33"/>
      <c r="CDQ161" s="33"/>
      <c r="CDR161" s="33"/>
      <c r="CDS161" s="33"/>
      <c r="CDT161" s="33"/>
      <c r="CDU161" s="33"/>
      <c r="CDV161" s="33"/>
      <c r="CDW161" s="33"/>
      <c r="CDX161" s="33"/>
      <c r="CDY161" s="33"/>
      <c r="CDZ161" s="33"/>
      <c r="CEA161" s="33"/>
      <c r="CEB161" s="33"/>
      <c r="CEC161" s="33"/>
      <c r="CED161" s="33"/>
      <c r="CEE161" s="33"/>
      <c r="CEF161" s="33"/>
      <c r="CEG161" s="33"/>
      <c r="CEH161" s="33"/>
      <c r="CEI161" s="33"/>
      <c r="CEJ161" s="33"/>
      <c r="CEK161" s="33"/>
      <c r="CEL161" s="33"/>
      <c r="CEM161" s="33"/>
      <c r="CEN161" s="33"/>
      <c r="CEO161" s="33"/>
      <c r="CEP161" s="33"/>
      <c r="CEQ161" s="33"/>
      <c r="CER161" s="33"/>
      <c r="CES161" s="33"/>
      <c r="CET161" s="33"/>
      <c r="CEU161" s="33"/>
      <c r="CEV161" s="33"/>
      <c r="CEW161" s="33"/>
      <c r="CEX161" s="33"/>
      <c r="CEY161" s="33"/>
      <c r="CEZ161" s="33"/>
      <c r="CFA161" s="33"/>
      <c r="CFB161" s="33"/>
      <c r="CFC161" s="33"/>
      <c r="CFD161" s="33"/>
      <c r="CFE161" s="33"/>
      <c r="CFF161" s="33"/>
      <c r="CFG161" s="33"/>
      <c r="CFH161" s="33"/>
      <c r="CFI161" s="33"/>
      <c r="CFJ161" s="33"/>
      <c r="CFK161" s="33"/>
      <c r="CFL161" s="33"/>
      <c r="CFM161" s="33"/>
      <c r="CFN161" s="33"/>
      <c r="CFO161" s="33"/>
      <c r="CFP161" s="33"/>
      <c r="CFQ161" s="33"/>
      <c r="CFR161" s="33"/>
      <c r="CFS161" s="33"/>
      <c r="CFT161" s="33"/>
      <c r="CFU161" s="33"/>
      <c r="CFV161" s="33"/>
      <c r="CFW161" s="33"/>
      <c r="CFX161" s="33"/>
      <c r="CFY161" s="33"/>
      <c r="CFZ161" s="33"/>
      <c r="CGA161" s="33"/>
      <c r="CGB161" s="33"/>
      <c r="CGC161" s="33"/>
      <c r="CGD161" s="33"/>
      <c r="CGE161" s="33"/>
      <c r="CGF161" s="33"/>
      <c r="CGG161" s="33"/>
      <c r="CGH161" s="33"/>
      <c r="CGI161" s="33"/>
      <c r="CGJ161" s="33"/>
      <c r="CGK161" s="33"/>
      <c r="CGL161" s="33"/>
      <c r="CGM161" s="33"/>
      <c r="CGN161" s="33"/>
      <c r="CGO161" s="33"/>
      <c r="CGP161" s="33"/>
      <c r="CGQ161" s="33"/>
      <c r="CGR161" s="33"/>
      <c r="CGS161" s="33"/>
      <c r="CGT161" s="33"/>
      <c r="CGU161" s="33"/>
      <c r="CGV161" s="33"/>
      <c r="CGW161" s="33"/>
      <c r="CGX161" s="33"/>
      <c r="CGY161" s="33"/>
      <c r="CGZ161" s="33"/>
      <c r="CHA161" s="33"/>
      <c r="CHB161" s="33"/>
      <c r="CHC161" s="33"/>
      <c r="CHD161" s="33"/>
      <c r="CHE161" s="33"/>
      <c r="CHF161" s="33"/>
      <c r="CHG161" s="33"/>
      <c r="CHH161" s="33"/>
      <c r="CHI161" s="33"/>
      <c r="CHJ161" s="33"/>
      <c r="CHK161" s="33"/>
      <c r="CHL161" s="33"/>
      <c r="CHM161" s="33"/>
      <c r="CHN161" s="33"/>
      <c r="CHO161" s="33"/>
      <c r="CHP161" s="33"/>
      <c r="CHQ161" s="33"/>
      <c r="CHR161" s="33"/>
      <c r="CHS161" s="33"/>
      <c r="CHT161" s="33"/>
      <c r="CHU161" s="33"/>
      <c r="CHV161" s="33"/>
      <c r="CHW161" s="33"/>
      <c r="CHX161" s="33"/>
      <c r="CHY161" s="33"/>
      <c r="CHZ161" s="33"/>
      <c r="CIA161" s="33"/>
      <c r="CIB161" s="33"/>
      <c r="CIC161" s="33"/>
      <c r="CID161" s="33"/>
      <c r="CIE161" s="33"/>
      <c r="CIF161" s="33"/>
      <c r="CIG161" s="33"/>
      <c r="CIH161" s="33"/>
      <c r="CII161" s="33"/>
      <c r="CIJ161" s="33"/>
      <c r="CIK161" s="33"/>
      <c r="CIL161" s="33"/>
      <c r="CIM161" s="33"/>
      <c r="CIN161" s="33"/>
      <c r="CIO161" s="33"/>
      <c r="CIP161" s="33"/>
      <c r="CIQ161" s="33"/>
      <c r="CIR161" s="33"/>
      <c r="CIS161" s="33"/>
      <c r="CIT161" s="33"/>
      <c r="CIU161" s="33"/>
      <c r="CIV161" s="33"/>
      <c r="CIW161" s="33"/>
      <c r="CIX161" s="33"/>
      <c r="CIY161" s="33"/>
      <c r="CIZ161" s="33"/>
      <c r="CJA161" s="33"/>
      <c r="CJB161" s="33"/>
      <c r="CJC161" s="33"/>
      <c r="CJD161" s="33"/>
      <c r="CJE161" s="33"/>
      <c r="CJF161" s="33"/>
      <c r="CJG161" s="33"/>
      <c r="CJH161" s="33"/>
      <c r="CJI161" s="33"/>
      <c r="CJJ161" s="33"/>
      <c r="CJK161" s="33"/>
      <c r="CJL161" s="33"/>
      <c r="CJM161" s="33"/>
      <c r="CJN161" s="33"/>
      <c r="CJO161" s="33"/>
      <c r="CJP161" s="33"/>
      <c r="CJQ161" s="33"/>
      <c r="CJR161" s="33"/>
      <c r="CJS161" s="33"/>
      <c r="CJT161" s="33"/>
      <c r="CJU161" s="33"/>
      <c r="CJV161" s="33"/>
      <c r="CJW161" s="33"/>
      <c r="CJX161" s="33"/>
      <c r="CJY161" s="33"/>
      <c r="CJZ161" s="33"/>
      <c r="CKA161" s="33"/>
      <c r="CKB161" s="33"/>
      <c r="CKC161" s="33"/>
      <c r="CKD161" s="33"/>
      <c r="CKE161" s="33"/>
      <c r="CKF161" s="33"/>
      <c r="CKG161" s="33"/>
      <c r="CKH161" s="33"/>
      <c r="CKI161" s="33"/>
      <c r="CKJ161" s="33"/>
      <c r="CKK161" s="33"/>
      <c r="CKL161" s="33"/>
      <c r="CKM161" s="33"/>
      <c r="CKN161" s="33"/>
      <c r="CKO161" s="33"/>
      <c r="CKP161" s="33"/>
      <c r="CKQ161" s="33"/>
      <c r="CKR161" s="33"/>
      <c r="CKS161" s="33"/>
      <c r="CKT161" s="33"/>
      <c r="CKU161" s="33"/>
      <c r="CKV161" s="33"/>
      <c r="CKW161" s="33"/>
      <c r="CKX161" s="33"/>
      <c r="CKY161" s="33"/>
      <c r="CKZ161" s="33"/>
      <c r="CLA161" s="33"/>
      <c r="CLB161" s="33"/>
      <c r="CLC161" s="33"/>
      <c r="CLD161" s="33"/>
      <c r="CLE161" s="33"/>
      <c r="CLF161" s="33"/>
      <c r="CLG161" s="33"/>
      <c r="CLH161" s="33"/>
      <c r="CLI161" s="33"/>
      <c r="CLJ161" s="33"/>
      <c r="CLK161" s="33"/>
      <c r="CLL161" s="33"/>
      <c r="CLM161" s="33"/>
      <c r="CLN161" s="33"/>
      <c r="CLO161" s="33"/>
      <c r="CLP161" s="33"/>
      <c r="CLQ161" s="33"/>
      <c r="CLR161" s="33"/>
      <c r="CLS161" s="33"/>
      <c r="CLT161" s="33"/>
      <c r="CLU161" s="33"/>
      <c r="CLV161" s="33"/>
      <c r="CLW161" s="33"/>
      <c r="CLX161" s="33"/>
      <c r="CLY161" s="33"/>
      <c r="CLZ161" s="33"/>
      <c r="CMA161" s="33"/>
      <c r="CMB161" s="33"/>
      <c r="CMC161" s="33"/>
      <c r="CMD161" s="33"/>
      <c r="CME161" s="33"/>
      <c r="CMF161" s="33"/>
      <c r="CMG161" s="33"/>
      <c r="CMH161" s="33"/>
      <c r="CMI161" s="33"/>
      <c r="CMJ161" s="33"/>
      <c r="CMK161" s="33"/>
      <c r="CML161" s="33"/>
      <c r="CMM161" s="33"/>
      <c r="CMN161" s="33"/>
      <c r="CMO161" s="33"/>
      <c r="CMP161" s="33"/>
      <c r="CMQ161" s="33"/>
      <c r="CMR161" s="33"/>
      <c r="CMS161" s="33"/>
      <c r="CMT161" s="33"/>
      <c r="CMU161" s="33"/>
      <c r="CMV161" s="33"/>
      <c r="CMW161" s="33"/>
      <c r="CMX161" s="33"/>
      <c r="CMY161" s="33"/>
      <c r="CMZ161" s="33"/>
      <c r="CNA161" s="33"/>
      <c r="CNB161" s="33"/>
      <c r="CNC161" s="33"/>
      <c r="CND161" s="33"/>
      <c r="CNE161" s="33"/>
      <c r="CNF161" s="33"/>
      <c r="CNG161" s="33"/>
      <c r="CNH161" s="33"/>
      <c r="CNI161" s="33"/>
      <c r="CNJ161" s="33"/>
      <c r="CNK161" s="33"/>
      <c r="CNL161" s="33"/>
      <c r="CNM161" s="33"/>
      <c r="CNN161" s="33"/>
      <c r="CNO161" s="33"/>
      <c r="CNP161" s="33"/>
      <c r="CNQ161" s="33"/>
      <c r="CNR161" s="33"/>
      <c r="CNS161" s="33"/>
      <c r="CNT161" s="33"/>
      <c r="CNU161" s="33"/>
      <c r="CNV161" s="33"/>
      <c r="CNW161" s="33"/>
      <c r="CNX161" s="33"/>
      <c r="CNY161" s="33"/>
      <c r="CNZ161" s="33"/>
      <c r="COA161" s="33"/>
      <c r="COB161" s="33"/>
      <c r="COC161" s="33"/>
      <c r="COD161" s="33"/>
      <c r="COE161" s="33"/>
      <c r="COF161" s="33"/>
      <c r="COG161" s="33"/>
      <c r="COH161" s="33"/>
      <c r="COI161" s="33"/>
      <c r="COJ161" s="33"/>
      <c r="COK161" s="33"/>
      <c r="COL161" s="33"/>
      <c r="COM161" s="33"/>
      <c r="CON161" s="33"/>
      <c r="COO161" s="33"/>
      <c r="COP161" s="33"/>
      <c r="COQ161" s="33"/>
      <c r="COR161" s="33"/>
      <c r="COS161" s="33"/>
      <c r="COT161" s="33"/>
      <c r="COU161" s="33"/>
      <c r="COV161" s="33"/>
      <c r="COW161" s="33"/>
      <c r="COX161" s="33"/>
      <c r="COY161" s="33"/>
      <c r="COZ161" s="33"/>
      <c r="CPA161" s="33"/>
      <c r="CPB161" s="33"/>
      <c r="CPC161" s="33"/>
      <c r="CPD161" s="33"/>
      <c r="CPE161" s="33"/>
      <c r="CPF161" s="33"/>
      <c r="CPG161" s="33"/>
      <c r="CPH161" s="33"/>
      <c r="CPI161" s="33"/>
      <c r="CPJ161" s="33"/>
      <c r="CPK161" s="33"/>
      <c r="CPL161" s="33"/>
      <c r="CPM161" s="33"/>
      <c r="CPN161" s="33"/>
      <c r="CPO161" s="33"/>
      <c r="CPP161" s="33"/>
      <c r="CPQ161" s="33"/>
      <c r="CPR161" s="33"/>
      <c r="CPS161" s="33"/>
      <c r="CPT161" s="33"/>
      <c r="CPU161" s="33"/>
      <c r="CPV161" s="33"/>
      <c r="CPW161" s="33"/>
      <c r="CPX161" s="33"/>
      <c r="CPY161" s="33"/>
      <c r="CPZ161" s="33"/>
      <c r="CQA161" s="33"/>
      <c r="CQB161" s="33"/>
      <c r="CQC161" s="33"/>
      <c r="CQD161" s="33"/>
      <c r="CQE161" s="33"/>
      <c r="CQF161" s="33"/>
      <c r="CQG161" s="33"/>
      <c r="CQH161" s="33"/>
      <c r="CQI161" s="33"/>
      <c r="CQJ161" s="33"/>
      <c r="CQK161" s="33"/>
      <c r="CQL161" s="33"/>
      <c r="CQM161" s="33"/>
      <c r="CQN161" s="33"/>
      <c r="CQO161" s="33"/>
      <c r="CQP161" s="33"/>
      <c r="CQQ161" s="33"/>
      <c r="CQR161" s="33"/>
      <c r="CQS161" s="33"/>
      <c r="CQT161" s="33"/>
      <c r="CQU161" s="33"/>
      <c r="CQV161" s="33"/>
      <c r="CQW161" s="33"/>
      <c r="CQX161" s="33"/>
      <c r="CQY161" s="33"/>
      <c r="CQZ161" s="33"/>
      <c r="CRA161" s="33"/>
      <c r="CRB161" s="33"/>
      <c r="CRC161" s="33"/>
      <c r="CRD161" s="33"/>
      <c r="CRE161" s="33"/>
      <c r="CRF161" s="33"/>
      <c r="CRG161" s="33"/>
      <c r="CRH161" s="33"/>
      <c r="CRI161" s="33"/>
      <c r="CRJ161" s="33"/>
      <c r="CRK161" s="33"/>
      <c r="CRL161" s="33"/>
      <c r="CRM161" s="33"/>
      <c r="CRN161" s="33"/>
      <c r="CRO161" s="33"/>
      <c r="CRP161" s="33"/>
      <c r="CRQ161" s="33"/>
      <c r="CRR161" s="33"/>
      <c r="CRS161" s="33"/>
      <c r="CRT161" s="33"/>
      <c r="CRU161" s="33"/>
      <c r="CRV161" s="33"/>
      <c r="CRW161" s="33"/>
      <c r="CRX161" s="33"/>
      <c r="CRY161" s="33"/>
      <c r="CRZ161" s="33"/>
      <c r="CSA161" s="33"/>
      <c r="CSB161" s="33"/>
      <c r="CSC161" s="33"/>
      <c r="CSD161" s="33"/>
      <c r="CSE161" s="33"/>
      <c r="CSF161" s="33"/>
      <c r="CSG161" s="33"/>
      <c r="CSH161" s="33"/>
      <c r="CSI161" s="33"/>
      <c r="CSJ161" s="33"/>
      <c r="CSK161" s="33"/>
      <c r="CSL161" s="33"/>
      <c r="CSM161" s="33"/>
      <c r="CSN161" s="33"/>
      <c r="CSO161" s="33"/>
      <c r="CSP161" s="33"/>
      <c r="CSQ161" s="33"/>
      <c r="CSR161" s="33"/>
      <c r="CSS161" s="33"/>
      <c r="CST161" s="33"/>
      <c r="CSU161" s="33"/>
      <c r="CSV161" s="33"/>
      <c r="CSW161" s="33"/>
      <c r="CSX161" s="33"/>
      <c r="CSY161" s="33"/>
      <c r="CSZ161" s="33"/>
      <c r="CTA161" s="33"/>
      <c r="CTB161" s="33"/>
      <c r="CTC161" s="33"/>
      <c r="CTD161" s="33"/>
      <c r="CTE161" s="33"/>
      <c r="CTF161" s="33"/>
      <c r="CTG161" s="33"/>
      <c r="CTH161" s="33"/>
      <c r="CTI161" s="33"/>
      <c r="CTJ161" s="33"/>
      <c r="CTK161" s="33"/>
      <c r="CTL161" s="33"/>
      <c r="CTM161" s="33"/>
      <c r="CTN161" s="33"/>
      <c r="CTO161" s="33"/>
      <c r="CTP161" s="33"/>
      <c r="CTQ161" s="33"/>
      <c r="CTR161" s="33"/>
      <c r="CTS161" s="33"/>
      <c r="CTT161" s="33"/>
      <c r="CTU161" s="33"/>
      <c r="CTV161" s="33"/>
      <c r="CTW161" s="33"/>
      <c r="CTX161" s="33"/>
      <c r="CTY161" s="33"/>
      <c r="CTZ161" s="33"/>
      <c r="CUA161" s="33"/>
      <c r="CUB161" s="33"/>
      <c r="CUC161" s="33"/>
      <c r="CUD161" s="33"/>
      <c r="CUE161" s="33"/>
      <c r="CUF161" s="33"/>
      <c r="CUG161" s="33"/>
      <c r="CUH161" s="33"/>
      <c r="CUI161" s="33"/>
      <c r="CUJ161" s="33"/>
      <c r="CUK161" s="33"/>
      <c r="CUL161" s="33"/>
      <c r="CUM161" s="33"/>
      <c r="CUN161" s="33"/>
      <c r="CUO161" s="33"/>
      <c r="CUP161" s="33"/>
      <c r="CUQ161" s="33"/>
      <c r="CUR161" s="33"/>
      <c r="CUS161" s="33"/>
      <c r="CUT161" s="33"/>
      <c r="CUU161" s="33"/>
      <c r="CUV161" s="33"/>
      <c r="CUW161" s="33"/>
      <c r="CUX161" s="33"/>
      <c r="CUY161" s="33"/>
      <c r="CUZ161" s="33"/>
      <c r="CVA161" s="33"/>
      <c r="CVB161" s="33"/>
      <c r="CVC161" s="33"/>
      <c r="CVD161" s="33"/>
      <c r="CVE161" s="33"/>
      <c r="CVF161" s="33"/>
      <c r="CVG161" s="33"/>
      <c r="CVH161" s="33"/>
      <c r="CVI161" s="33"/>
      <c r="CVJ161" s="33"/>
      <c r="CVK161" s="33"/>
      <c r="CVL161" s="33"/>
      <c r="CVM161" s="33"/>
      <c r="CVN161" s="33"/>
      <c r="CVO161" s="33"/>
      <c r="CVP161" s="33"/>
      <c r="CVQ161" s="33"/>
      <c r="CVR161" s="33"/>
      <c r="CVS161" s="33"/>
      <c r="CVT161" s="33"/>
      <c r="CVU161" s="33"/>
      <c r="CVV161" s="33"/>
      <c r="CVW161" s="33"/>
      <c r="CVX161" s="33"/>
      <c r="CVY161" s="33"/>
      <c r="CVZ161" s="33"/>
      <c r="CWA161" s="33"/>
      <c r="CWB161" s="33"/>
      <c r="CWC161" s="33"/>
      <c r="CWD161" s="33"/>
      <c r="CWE161" s="33"/>
      <c r="CWF161" s="33"/>
      <c r="CWG161" s="33"/>
      <c r="CWH161" s="33"/>
      <c r="CWI161" s="33"/>
      <c r="CWJ161" s="33"/>
      <c r="CWK161" s="33"/>
      <c r="CWL161" s="33"/>
      <c r="CWM161" s="33"/>
      <c r="CWN161" s="33"/>
      <c r="CWO161" s="33"/>
      <c r="CWP161" s="33"/>
      <c r="CWQ161" s="33"/>
      <c r="CWR161" s="33"/>
      <c r="CWS161" s="33"/>
      <c r="CWT161" s="33"/>
      <c r="CWU161" s="33"/>
      <c r="CWV161" s="33"/>
      <c r="CWW161" s="33"/>
      <c r="CWX161" s="33"/>
      <c r="CWY161" s="33"/>
      <c r="CWZ161" s="33"/>
      <c r="CXA161" s="33"/>
      <c r="CXB161" s="33"/>
      <c r="CXC161" s="33"/>
      <c r="CXD161" s="33"/>
      <c r="CXE161" s="33"/>
      <c r="CXF161" s="33"/>
      <c r="CXG161" s="33"/>
      <c r="CXH161" s="33"/>
      <c r="CXI161" s="33"/>
      <c r="CXJ161" s="33"/>
      <c r="CXK161" s="33"/>
      <c r="CXL161" s="33"/>
      <c r="CXM161" s="33"/>
      <c r="CXN161" s="33"/>
      <c r="CXO161" s="33"/>
      <c r="CXP161" s="33"/>
      <c r="CXQ161" s="33"/>
      <c r="CXR161" s="33"/>
      <c r="CXS161" s="33"/>
      <c r="CXT161" s="33"/>
      <c r="CXU161" s="33"/>
      <c r="CXV161" s="33"/>
      <c r="CXW161" s="33"/>
      <c r="CXX161" s="33"/>
      <c r="CXY161" s="33"/>
      <c r="CXZ161" s="33"/>
      <c r="CYA161" s="33"/>
      <c r="CYB161" s="33"/>
      <c r="CYC161" s="33"/>
      <c r="CYD161" s="33"/>
      <c r="CYE161" s="33"/>
      <c r="CYF161" s="33"/>
      <c r="CYG161" s="33"/>
      <c r="CYH161" s="33"/>
      <c r="CYI161" s="33"/>
      <c r="CYJ161" s="33"/>
      <c r="CYK161" s="33"/>
      <c r="CYL161" s="33"/>
      <c r="CYM161" s="33"/>
      <c r="CYN161" s="33"/>
      <c r="CYO161" s="33"/>
      <c r="CYP161" s="33"/>
      <c r="CYQ161" s="33"/>
      <c r="CYR161" s="33"/>
      <c r="CYS161" s="33"/>
      <c r="CYT161" s="33"/>
      <c r="CYU161" s="33"/>
      <c r="CYV161" s="33"/>
      <c r="CYW161" s="33"/>
      <c r="CYX161" s="33"/>
      <c r="CYY161" s="33"/>
      <c r="CYZ161" s="33"/>
      <c r="CZA161" s="33"/>
      <c r="CZB161" s="33"/>
      <c r="CZC161" s="33"/>
      <c r="CZD161" s="33"/>
      <c r="CZE161" s="33"/>
      <c r="CZF161" s="33"/>
      <c r="CZG161" s="33"/>
      <c r="CZH161" s="33"/>
      <c r="CZI161" s="33"/>
      <c r="CZJ161" s="33"/>
      <c r="CZK161" s="33"/>
      <c r="CZL161" s="33"/>
      <c r="CZM161" s="33"/>
      <c r="CZN161" s="33"/>
      <c r="CZO161" s="33"/>
      <c r="CZP161" s="33"/>
      <c r="CZQ161" s="33"/>
      <c r="CZR161" s="33"/>
      <c r="CZS161" s="33"/>
      <c r="CZT161" s="33"/>
      <c r="CZU161" s="33"/>
      <c r="CZV161" s="33"/>
      <c r="CZW161" s="33"/>
      <c r="CZX161" s="33"/>
      <c r="CZY161" s="33"/>
      <c r="CZZ161" s="33"/>
      <c r="DAA161" s="33"/>
      <c r="DAB161" s="33"/>
      <c r="DAC161" s="33"/>
      <c r="DAD161" s="33"/>
      <c r="DAE161" s="33"/>
      <c r="DAF161" s="33"/>
      <c r="DAG161" s="33"/>
      <c r="DAH161" s="33"/>
      <c r="DAI161" s="33"/>
      <c r="DAJ161" s="33"/>
      <c r="DAK161" s="33"/>
      <c r="DAL161" s="33"/>
      <c r="DAM161" s="33"/>
      <c r="DAN161" s="33"/>
      <c r="DAO161" s="33"/>
      <c r="DAP161" s="33"/>
      <c r="DAQ161" s="33"/>
      <c r="DAR161" s="33"/>
      <c r="DAS161" s="33"/>
      <c r="DAT161" s="33"/>
      <c r="DAU161" s="33"/>
      <c r="DAV161" s="33"/>
      <c r="DAW161" s="33"/>
      <c r="DAX161" s="33"/>
      <c r="DAY161" s="33"/>
      <c r="DAZ161" s="33"/>
      <c r="DBA161" s="33"/>
      <c r="DBB161" s="33"/>
      <c r="DBC161" s="33"/>
      <c r="DBD161" s="33"/>
      <c r="DBE161" s="33"/>
      <c r="DBF161" s="33"/>
      <c r="DBG161" s="33"/>
      <c r="DBH161" s="33"/>
      <c r="DBI161" s="33"/>
      <c r="DBJ161" s="33"/>
      <c r="DBK161" s="33"/>
      <c r="DBL161" s="33"/>
      <c r="DBM161" s="33"/>
      <c r="DBN161" s="33"/>
      <c r="DBO161" s="33"/>
      <c r="DBP161" s="33"/>
      <c r="DBQ161" s="33"/>
      <c r="DBR161" s="33"/>
      <c r="DBS161" s="33"/>
      <c r="DBT161" s="33"/>
      <c r="DBU161" s="33"/>
      <c r="DBV161" s="33"/>
      <c r="DBW161" s="33"/>
      <c r="DBX161" s="33"/>
      <c r="DBY161" s="33"/>
      <c r="DBZ161" s="33"/>
      <c r="DCA161" s="33"/>
      <c r="DCB161" s="33"/>
      <c r="DCC161" s="33"/>
      <c r="DCD161" s="33"/>
      <c r="DCE161" s="33"/>
      <c r="DCF161" s="33"/>
      <c r="DCG161" s="33"/>
      <c r="DCH161" s="33"/>
      <c r="DCI161" s="33"/>
      <c r="DCJ161" s="33"/>
      <c r="DCK161" s="33"/>
      <c r="DCL161" s="33"/>
      <c r="DCM161" s="33"/>
      <c r="DCN161" s="33"/>
      <c r="DCO161" s="33"/>
      <c r="DCP161" s="33"/>
      <c r="DCQ161" s="33"/>
      <c r="DCR161" s="33"/>
      <c r="DCS161" s="33"/>
      <c r="DCT161" s="33"/>
      <c r="DCU161" s="33"/>
      <c r="DCV161" s="33"/>
      <c r="DCW161" s="33"/>
      <c r="DCX161" s="33"/>
      <c r="DCY161" s="33"/>
      <c r="DCZ161" s="33"/>
      <c r="DDA161" s="33"/>
      <c r="DDB161" s="33"/>
      <c r="DDC161" s="33"/>
      <c r="DDD161" s="33"/>
      <c r="DDE161" s="33"/>
      <c r="DDF161" s="33"/>
      <c r="DDG161" s="33"/>
      <c r="DDH161" s="33"/>
      <c r="DDI161" s="33"/>
      <c r="DDJ161" s="33"/>
      <c r="DDK161" s="33"/>
      <c r="DDL161" s="33"/>
      <c r="DDM161" s="33"/>
      <c r="DDN161" s="33"/>
      <c r="DDO161" s="33"/>
      <c r="DDP161" s="33"/>
      <c r="DDQ161" s="33"/>
      <c r="DDR161" s="33"/>
      <c r="DDS161" s="33"/>
      <c r="DDT161" s="33"/>
      <c r="DDU161" s="33"/>
      <c r="DDV161" s="33"/>
      <c r="DDW161" s="33"/>
      <c r="DDX161" s="33"/>
      <c r="DDY161" s="33"/>
      <c r="DDZ161" s="33"/>
      <c r="DEA161" s="33"/>
      <c r="DEB161" s="33"/>
      <c r="DEC161" s="33"/>
      <c r="DED161" s="33"/>
      <c r="DEE161" s="33"/>
      <c r="DEF161" s="33"/>
      <c r="DEG161" s="33"/>
      <c r="DEH161" s="33"/>
      <c r="DEI161" s="33"/>
      <c r="DEJ161" s="33"/>
      <c r="DEK161" s="33"/>
      <c r="DEL161" s="33"/>
      <c r="DEM161" s="33"/>
      <c r="DEN161" s="33"/>
      <c r="DEO161" s="33"/>
      <c r="DEP161" s="33"/>
      <c r="DEQ161" s="33"/>
      <c r="DER161" s="33"/>
      <c r="DES161" s="33"/>
      <c r="DET161" s="33"/>
      <c r="DEU161" s="33"/>
      <c r="DEV161" s="33"/>
      <c r="DEW161" s="33"/>
      <c r="DEX161" s="33"/>
      <c r="DEY161" s="33"/>
      <c r="DEZ161" s="33"/>
      <c r="DFA161" s="33"/>
      <c r="DFB161" s="33"/>
      <c r="DFC161" s="33"/>
      <c r="DFD161" s="33"/>
      <c r="DFE161" s="33"/>
      <c r="DFF161" s="33"/>
      <c r="DFG161" s="33"/>
      <c r="DFH161" s="33"/>
      <c r="DFI161" s="33"/>
      <c r="DFJ161" s="33"/>
      <c r="DFK161" s="33"/>
      <c r="DFL161" s="33"/>
      <c r="DFM161" s="33"/>
      <c r="DFN161" s="33"/>
      <c r="DFO161" s="33"/>
      <c r="DFP161" s="33"/>
      <c r="DFQ161" s="33"/>
      <c r="DFR161" s="33"/>
      <c r="DFS161" s="33"/>
      <c r="DFT161" s="33"/>
      <c r="DFU161" s="33"/>
      <c r="DFV161" s="33"/>
      <c r="DFW161" s="33"/>
      <c r="DFX161" s="33"/>
      <c r="DFY161" s="33"/>
      <c r="DFZ161" s="33"/>
      <c r="DGA161" s="33"/>
      <c r="DGB161" s="33"/>
      <c r="DGC161" s="33"/>
      <c r="DGD161" s="33"/>
      <c r="DGE161" s="33"/>
      <c r="DGF161" s="33"/>
      <c r="DGG161" s="33"/>
      <c r="DGH161" s="33"/>
      <c r="DGI161" s="33"/>
      <c r="DGJ161" s="33"/>
      <c r="DGK161" s="33"/>
      <c r="DGL161" s="33"/>
      <c r="DGM161" s="33"/>
      <c r="DGN161" s="33"/>
      <c r="DGO161" s="33"/>
      <c r="DGP161" s="33"/>
      <c r="DGQ161" s="33"/>
      <c r="DGR161" s="33"/>
      <c r="DGS161" s="33"/>
      <c r="DGT161" s="33"/>
      <c r="DGU161" s="33"/>
      <c r="DGV161" s="33"/>
      <c r="DGW161" s="33"/>
      <c r="DGX161" s="33"/>
      <c r="DGY161" s="33"/>
      <c r="DGZ161" s="33"/>
      <c r="DHA161" s="33"/>
      <c r="DHB161" s="33"/>
      <c r="DHC161" s="33"/>
      <c r="DHD161" s="33"/>
      <c r="DHE161" s="33"/>
      <c r="DHF161" s="33"/>
      <c r="DHG161" s="33"/>
      <c r="DHH161" s="33"/>
      <c r="DHI161" s="33"/>
      <c r="DHJ161" s="33"/>
      <c r="DHK161" s="33"/>
      <c r="DHL161" s="33"/>
      <c r="DHM161" s="33"/>
      <c r="DHN161" s="33"/>
      <c r="DHO161" s="33"/>
      <c r="DHP161" s="33"/>
      <c r="DHQ161" s="33"/>
      <c r="DHR161" s="33"/>
      <c r="DHS161" s="33"/>
      <c r="DHT161" s="33"/>
      <c r="DHU161" s="33"/>
      <c r="DHV161" s="33"/>
      <c r="DHW161" s="33"/>
      <c r="DHX161" s="33"/>
      <c r="DHY161" s="33"/>
      <c r="DHZ161" s="33"/>
      <c r="DIA161" s="33"/>
      <c r="DIB161" s="33"/>
      <c r="DIC161" s="33"/>
      <c r="DID161" s="33"/>
      <c r="DIE161" s="33"/>
      <c r="DIF161" s="33"/>
      <c r="DIG161" s="33"/>
      <c r="DIH161" s="33"/>
      <c r="DII161" s="33"/>
      <c r="DIJ161" s="33"/>
      <c r="DIK161" s="33"/>
      <c r="DIL161" s="33"/>
      <c r="DIM161" s="33"/>
      <c r="DIN161" s="33"/>
      <c r="DIO161" s="33"/>
      <c r="DIP161" s="33"/>
      <c r="DIQ161" s="33"/>
      <c r="DIR161" s="33"/>
      <c r="DIS161" s="33"/>
      <c r="DIT161" s="33"/>
      <c r="DIU161" s="33"/>
      <c r="DIV161" s="33"/>
      <c r="DIW161" s="33"/>
      <c r="DIX161" s="33"/>
      <c r="DIY161" s="33"/>
      <c r="DIZ161" s="33"/>
      <c r="DJA161" s="33"/>
      <c r="DJB161" s="33"/>
      <c r="DJC161" s="33"/>
      <c r="DJD161" s="33"/>
      <c r="DJE161" s="33"/>
      <c r="DJF161" s="33"/>
      <c r="DJG161" s="33"/>
      <c r="DJH161" s="33"/>
      <c r="DJI161" s="33"/>
      <c r="DJJ161" s="33"/>
      <c r="DJK161" s="33"/>
      <c r="DJL161" s="33"/>
      <c r="DJM161" s="33"/>
      <c r="DJN161" s="33"/>
      <c r="DJO161" s="33"/>
      <c r="DJP161" s="33"/>
      <c r="DJQ161" s="33"/>
      <c r="DJR161" s="33"/>
      <c r="DJS161" s="33"/>
      <c r="DJT161" s="33"/>
      <c r="DJU161" s="33"/>
      <c r="DJV161" s="33"/>
      <c r="DJW161" s="33"/>
      <c r="DJX161" s="33"/>
      <c r="DJY161" s="33"/>
      <c r="DJZ161" s="33"/>
      <c r="DKA161" s="33"/>
      <c r="DKB161" s="33"/>
      <c r="DKC161" s="33"/>
      <c r="DKD161" s="33"/>
      <c r="DKE161" s="33"/>
      <c r="DKF161" s="33"/>
      <c r="DKG161" s="33"/>
      <c r="DKH161" s="33"/>
      <c r="DKI161" s="33"/>
      <c r="DKJ161" s="33"/>
      <c r="DKK161" s="33"/>
      <c r="DKL161" s="33"/>
      <c r="DKM161" s="33"/>
      <c r="DKN161" s="33"/>
      <c r="DKO161" s="33"/>
      <c r="DKP161" s="33"/>
      <c r="DKQ161" s="33"/>
      <c r="DKR161" s="33"/>
      <c r="DKS161" s="33"/>
      <c r="DKT161" s="33"/>
      <c r="DKU161" s="33"/>
      <c r="DKV161" s="33"/>
      <c r="DKW161" s="33"/>
      <c r="DKX161" s="33"/>
      <c r="DKY161" s="33"/>
      <c r="DKZ161" s="33"/>
      <c r="DLA161" s="33"/>
      <c r="DLB161" s="33"/>
      <c r="DLC161" s="33"/>
      <c r="DLD161" s="33"/>
      <c r="DLE161" s="33"/>
      <c r="DLF161" s="33"/>
      <c r="DLG161" s="33"/>
      <c r="DLH161" s="33"/>
      <c r="DLI161" s="33"/>
      <c r="DLJ161" s="33"/>
      <c r="DLK161" s="33"/>
      <c r="DLL161" s="33"/>
      <c r="DLM161" s="33"/>
      <c r="DLN161" s="33"/>
      <c r="DLO161" s="33"/>
      <c r="DLP161" s="33"/>
      <c r="DLQ161" s="33"/>
      <c r="DLR161" s="33"/>
      <c r="DLS161" s="33"/>
      <c r="DLT161" s="33"/>
      <c r="DLU161" s="33"/>
      <c r="DLV161" s="33"/>
      <c r="DLW161" s="33"/>
      <c r="DLX161" s="33"/>
      <c r="DLY161" s="33"/>
      <c r="DLZ161" s="33"/>
      <c r="DMA161" s="33"/>
      <c r="DMB161" s="33"/>
      <c r="DMC161" s="33"/>
      <c r="DMD161" s="33"/>
      <c r="DME161" s="33"/>
      <c r="DMF161" s="33"/>
      <c r="DMG161" s="33"/>
      <c r="DMH161" s="33"/>
      <c r="DMI161" s="33"/>
      <c r="DMJ161" s="33"/>
      <c r="DMK161" s="33"/>
      <c r="DML161" s="33"/>
      <c r="DMM161" s="33"/>
      <c r="DMN161" s="33"/>
      <c r="DMO161" s="33"/>
      <c r="DMP161" s="33"/>
      <c r="DMQ161" s="33"/>
      <c r="DMR161" s="33"/>
      <c r="DMS161" s="33"/>
      <c r="DMT161" s="33"/>
      <c r="DMU161" s="33"/>
      <c r="DMV161" s="33"/>
      <c r="DMW161" s="33"/>
      <c r="DMX161" s="33"/>
      <c r="DMY161" s="33"/>
      <c r="DMZ161" s="33"/>
      <c r="DNA161" s="33"/>
      <c r="DNB161" s="33"/>
      <c r="DNC161" s="33"/>
      <c r="DND161" s="33"/>
      <c r="DNE161" s="33"/>
      <c r="DNF161" s="33"/>
      <c r="DNG161" s="33"/>
      <c r="DNH161" s="33"/>
      <c r="DNI161" s="33"/>
      <c r="DNJ161" s="33"/>
      <c r="DNK161" s="33"/>
      <c r="DNL161" s="33"/>
      <c r="DNM161" s="33"/>
      <c r="DNN161" s="33"/>
      <c r="DNO161" s="33"/>
      <c r="DNP161" s="33"/>
      <c r="DNQ161" s="33"/>
      <c r="DNR161" s="33"/>
      <c r="DNS161" s="33"/>
      <c r="DNT161" s="33"/>
      <c r="DNU161" s="33"/>
      <c r="DNV161" s="33"/>
      <c r="DNW161" s="33"/>
      <c r="DNX161" s="33"/>
      <c r="DNY161" s="33"/>
      <c r="DNZ161" s="33"/>
      <c r="DOA161" s="33"/>
      <c r="DOB161" s="33"/>
      <c r="DOC161" s="33"/>
      <c r="DOD161" s="33"/>
      <c r="DOE161" s="33"/>
      <c r="DOF161" s="33"/>
      <c r="DOG161" s="33"/>
      <c r="DOH161" s="33"/>
      <c r="DOI161" s="33"/>
      <c r="DOJ161" s="33"/>
      <c r="DOK161" s="33"/>
      <c r="DOL161" s="33"/>
      <c r="DOM161" s="33"/>
      <c r="DON161" s="33"/>
      <c r="DOO161" s="33"/>
      <c r="DOP161" s="33"/>
      <c r="DOQ161" s="33"/>
      <c r="DOR161" s="33"/>
      <c r="DOS161" s="33"/>
      <c r="DOT161" s="33"/>
      <c r="DOU161" s="33"/>
      <c r="DOV161" s="33"/>
      <c r="DOW161" s="33"/>
      <c r="DOX161" s="33"/>
      <c r="DOY161" s="33"/>
      <c r="DOZ161" s="33"/>
      <c r="DPA161" s="33"/>
      <c r="DPB161" s="33"/>
      <c r="DPC161" s="33"/>
      <c r="DPD161" s="33"/>
      <c r="DPE161" s="33"/>
      <c r="DPF161" s="33"/>
      <c r="DPG161" s="33"/>
      <c r="DPH161" s="33"/>
      <c r="DPI161" s="33"/>
      <c r="DPJ161" s="33"/>
      <c r="DPK161" s="33"/>
      <c r="DPL161" s="33"/>
      <c r="DPM161" s="33"/>
      <c r="DPN161" s="33"/>
      <c r="DPO161" s="33"/>
      <c r="DPP161" s="33"/>
      <c r="DPQ161" s="33"/>
      <c r="DPR161" s="33"/>
      <c r="DPS161" s="33"/>
      <c r="DPT161" s="33"/>
      <c r="DPU161" s="33"/>
      <c r="DPV161" s="33"/>
      <c r="DPW161" s="33"/>
      <c r="DPX161" s="33"/>
      <c r="DPY161" s="33"/>
      <c r="DPZ161" s="33"/>
      <c r="DQA161" s="33"/>
      <c r="DQB161" s="33"/>
      <c r="DQC161" s="33"/>
      <c r="DQD161" s="33"/>
      <c r="DQE161" s="33"/>
      <c r="DQF161" s="33"/>
      <c r="DQG161" s="33"/>
      <c r="DQH161" s="33"/>
      <c r="DQI161" s="33"/>
      <c r="DQJ161" s="33"/>
      <c r="DQK161" s="33"/>
      <c r="DQL161" s="33"/>
      <c r="DQM161" s="33"/>
      <c r="DQN161" s="33"/>
      <c r="DQO161" s="33"/>
      <c r="DQP161" s="33"/>
      <c r="DQQ161" s="33"/>
      <c r="DQR161" s="33"/>
      <c r="DQS161" s="33"/>
      <c r="DQT161" s="33"/>
      <c r="DQU161" s="33"/>
      <c r="DQV161" s="33"/>
      <c r="DQW161" s="33"/>
      <c r="DQX161" s="33"/>
      <c r="DQY161" s="33"/>
      <c r="DQZ161" s="33"/>
      <c r="DRA161" s="33"/>
      <c r="DRB161" s="33"/>
      <c r="DRC161" s="33"/>
      <c r="DRD161" s="33"/>
      <c r="DRE161" s="33"/>
      <c r="DRF161" s="33"/>
      <c r="DRG161" s="33"/>
      <c r="DRH161" s="33"/>
      <c r="DRI161" s="33"/>
      <c r="DRJ161" s="33"/>
      <c r="DRK161" s="33"/>
      <c r="DRL161" s="33"/>
      <c r="DRM161" s="33"/>
      <c r="DRN161" s="33"/>
      <c r="DRO161" s="33"/>
      <c r="DRP161" s="33"/>
      <c r="DRQ161" s="33"/>
      <c r="DRR161" s="33"/>
      <c r="DRS161" s="33"/>
      <c r="DRT161" s="33"/>
      <c r="DRU161" s="33"/>
      <c r="DRV161" s="33"/>
      <c r="DRW161" s="33"/>
      <c r="DRX161" s="33"/>
      <c r="DRY161" s="33"/>
      <c r="DRZ161" s="33"/>
      <c r="DSA161" s="33"/>
      <c r="DSB161" s="33"/>
      <c r="DSC161" s="33"/>
      <c r="DSD161" s="33"/>
      <c r="DSE161" s="33"/>
      <c r="DSF161" s="33"/>
      <c r="DSG161" s="33"/>
      <c r="DSH161" s="33"/>
      <c r="DSI161" s="33"/>
      <c r="DSJ161" s="33"/>
      <c r="DSK161" s="33"/>
      <c r="DSL161" s="33"/>
      <c r="DSM161" s="33"/>
      <c r="DSN161" s="33"/>
      <c r="DSO161" s="33"/>
      <c r="DSP161" s="33"/>
      <c r="DSQ161" s="33"/>
      <c r="DSR161" s="33"/>
      <c r="DSS161" s="33"/>
      <c r="DST161" s="33"/>
      <c r="DSU161" s="33"/>
      <c r="DSV161" s="33"/>
      <c r="DSW161" s="33"/>
      <c r="DSX161" s="33"/>
      <c r="DSY161" s="33"/>
      <c r="DSZ161" s="33"/>
      <c r="DTA161" s="33"/>
      <c r="DTB161" s="33"/>
      <c r="DTC161" s="33"/>
      <c r="DTD161" s="33"/>
      <c r="DTE161" s="33"/>
      <c r="DTF161" s="33"/>
      <c r="DTG161" s="33"/>
      <c r="DTH161" s="33"/>
      <c r="DTI161" s="33"/>
      <c r="DTJ161" s="33"/>
      <c r="DTK161" s="33"/>
      <c r="DTL161" s="33"/>
      <c r="DTM161" s="33"/>
      <c r="DTN161" s="33"/>
      <c r="DTO161" s="33"/>
      <c r="DTP161" s="33"/>
      <c r="DTQ161" s="33"/>
      <c r="DTR161" s="33"/>
      <c r="DTS161" s="33"/>
      <c r="DTT161" s="33"/>
      <c r="DTU161" s="33"/>
      <c r="DTV161" s="33"/>
      <c r="DTW161" s="33"/>
      <c r="DTX161" s="33"/>
      <c r="DTY161" s="33"/>
      <c r="DTZ161" s="33"/>
      <c r="DUA161" s="33"/>
      <c r="DUB161" s="33"/>
      <c r="DUC161" s="33"/>
      <c r="DUD161" s="33"/>
      <c r="DUE161" s="33"/>
      <c r="DUF161" s="33"/>
      <c r="DUG161" s="33"/>
      <c r="DUH161" s="33"/>
      <c r="DUI161" s="33"/>
      <c r="DUJ161" s="33"/>
      <c r="DUK161" s="33"/>
      <c r="DUL161" s="33"/>
      <c r="DUM161" s="33"/>
      <c r="DUN161" s="33"/>
      <c r="DUO161" s="33"/>
      <c r="DUP161" s="33"/>
      <c r="DUQ161" s="33"/>
      <c r="DUR161" s="33"/>
      <c r="DUS161" s="33"/>
      <c r="DUT161" s="33"/>
      <c r="DUU161" s="33"/>
      <c r="DUV161" s="33"/>
      <c r="DUW161" s="33"/>
      <c r="DUX161" s="33"/>
      <c r="DUY161" s="33"/>
      <c r="DUZ161" s="33"/>
      <c r="DVA161" s="33"/>
      <c r="DVB161" s="33"/>
      <c r="DVC161" s="33"/>
      <c r="DVD161" s="33"/>
      <c r="DVE161" s="33"/>
      <c r="DVF161" s="33"/>
      <c r="DVG161" s="33"/>
      <c r="DVH161" s="33"/>
      <c r="DVI161" s="33"/>
      <c r="DVJ161" s="33"/>
      <c r="DVK161" s="33"/>
      <c r="DVL161" s="33"/>
      <c r="DVM161" s="33"/>
      <c r="DVN161" s="33"/>
      <c r="DVO161" s="33"/>
      <c r="DVP161" s="33"/>
      <c r="DVQ161" s="33"/>
      <c r="DVR161" s="33"/>
      <c r="DVS161" s="33"/>
      <c r="DVT161" s="33"/>
      <c r="DVU161" s="33"/>
      <c r="DVV161" s="33"/>
      <c r="DVW161" s="33"/>
      <c r="DVX161" s="33"/>
      <c r="DVY161" s="33"/>
      <c r="DVZ161" s="33"/>
      <c r="DWA161" s="33"/>
      <c r="DWB161" s="33"/>
      <c r="DWC161" s="33"/>
      <c r="DWD161" s="33"/>
      <c r="DWE161" s="33"/>
      <c r="DWF161" s="33"/>
      <c r="DWG161" s="33"/>
      <c r="DWH161" s="33"/>
      <c r="DWI161" s="33"/>
      <c r="DWJ161" s="33"/>
      <c r="DWK161" s="33"/>
      <c r="DWL161" s="33"/>
      <c r="DWM161" s="33"/>
      <c r="DWN161" s="33"/>
      <c r="DWO161" s="33"/>
      <c r="DWP161" s="33"/>
      <c r="DWQ161" s="33"/>
      <c r="DWR161" s="33"/>
      <c r="DWS161" s="33"/>
      <c r="DWT161" s="33"/>
      <c r="DWU161" s="33"/>
      <c r="DWV161" s="33"/>
      <c r="DWW161" s="33"/>
      <c r="DWX161" s="33"/>
      <c r="DWY161" s="33"/>
      <c r="DWZ161" s="33"/>
      <c r="DXA161" s="33"/>
      <c r="DXB161" s="33"/>
      <c r="DXC161" s="33"/>
      <c r="DXD161" s="33"/>
      <c r="DXE161" s="33"/>
      <c r="DXF161" s="33"/>
      <c r="DXG161" s="33"/>
      <c r="DXH161" s="33"/>
      <c r="DXI161" s="33"/>
      <c r="DXJ161" s="33"/>
      <c r="DXK161" s="33"/>
      <c r="DXL161" s="33"/>
      <c r="DXM161" s="33"/>
      <c r="DXN161" s="33"/>
      <c r="DXO161" s="33"/>
      <c r="DXP161" s="33"/>
      <c r="DXQ161" s="33"/>
      <c r="DXR161" s="33"/>
      <c r="DXS161" s="33"/>
      <c r="DXT161" s="33"/>
      <c r="DXU161" s="33"/>
      <c r="DXV161" s="33"/>
      <c r="DXW161" s="33"/>
      <c r="DXX161" s="33"/>
      <c r="DXY161" s="33"/>
      <c r="DXZ161" s="33"/>
      <c r="DYA161" s="33"/>
      <c r="DYB161" s="33"/>
      <c r="DYC161" s="33"/>
      <c r="DYD161" s="33"/>
      <c r="DYE161" s="33"/>
      <c r="DYF161" s="33"/>
      <c r="DYG161" s="33"/>
      <c r="DYH161" s="33"/>
      <c r="DYI161" s="33"/>
      <c r="DYJ161" s="33"/>
      <c r="DYK161" s="33"/>
      <c r="DYL161" s="33"/>
      <c r="DYM161" s="33"/>
      <c r="DYN161" s="33"/>
      <c r="DYO161" s="33"/>
      <c r="DYP161" s="33"/>
      <c r="DYQ161" s="33"/>
      <c r="DYR161" s="33"/>
      <c r="DYS161" s="33"/>
      <c r="DYT161" s="33"/>
      <c r="DYU161" s="33"/>
      <c r="DYV161" s="33"/>
      <c r="DYW161" s="33"/>
      <c r="DYX161" s="33"/>
      <c r="DYY161" s="33"/>
      <c r="DYZ161" s="33"/>
      <c r="DZA161" s="33"/>
      <c r="DZB161" s="33"/>
      <c r="DZC161" s="33"/>
      <c r="DZD161" s="33"/>
      <c r="DZE161" s="33"/>
      <c r="DZF161" s="33"/>
      <c r="DZG161" s="33"/>
      <c r="DZH161" s="33"/>
      <c r="DZI161" s="33"/>
      <c r="DZJ161" s="33"/>
      <c r="DZK161" s="33"/>
      <c r="DZL161" s="33"/>
      <c r="DZM161" s="33"/>
      <c r="DZN161" s="33"/>
      <c r="DZO161" s="33"/>
      <c r="DZP161" s="33"/>
      <c r="DZQ161" s="33"/>
      <c r="DZR161" s="33"/>
      <c r="DZS161" s="33"/>
      <c r="DZT161" s="33"/>
      <c r="DZU161" s="33"/>
      <c r="DZV161" s="33"/>
      <c r="DZW161" s="33"/>
      <c r="DZX161" s="33"/>
      <c r="DZY161" s="33"/>
      <c r="DZZ161" s="33"/>
      <c r="EAA161" s="33"/>
      <c r="EAB161" s="33"/>
      <c r="EAC161" s="33"/>
      <c r="EAD161" s="33"/>
      <c r="EAE161" s="33"/>
      <c r="EAF161" s="33"/>
      <c r="EAG161" s="33"/>
      <c r="EAH161" s="33"/>
      <c r="EAI161" s="33"/>
      <c r="EAJ161" s="33"/>
      <c r="EAK161" s="33"/>
      <c r="EAL161" s="33"/>
      <c r="EAM161" s="33"/>
      <c r="EAN161" s="33"/>
      <c r="EAO161" s="33"/>
      <c r="EAP161" s="33"/>
      <c r="EAQ161" s="33"/>
      <c r="EAR161" s="33"/>
      <c r="EAS161" s="33"/>
      <c r="EAT161" s="33"/>
      <c r="EAU161" s="33"/>
      <c r="EAV161" s="33"/>
      <c r="EAW161" s="33"/>
      <c r="EAX161" s="33"/>
      <c r="EAY161" s="33"/>
      <c r="EAZ161" s="33"/>
      <c r="EBA161" s="33"/>
      <c r="EBB161" s="33"/>
      <c r="EBC161" s="33"/>
      <c r="EBD161" s="33"/>
      <c r="EBE161" s="33"/>
      <c r="EBF161" s="33"/>
      <c r="EBG161" s="33"/>
      <c r="EBH161" s="33"/>
      <c r="EBI161" s="33"/>
      <c r="EBJ161" s="33"/>
      <c r="EBK161" s="33"/>
      <c r="EBL161" s="33"/>
      <c r="EBM161" s="33"/>
      <c r="EBN161" s="33"/>
      <c r="EBO161" s="33"/>
      <c r="EBP161" s="33"/>
      <c r="EBQ161" s="33"/>
      <c r="EBR161" s="33"/>
      <c r="EBS161" s="33"/>
      <c r="EBT161" s="33"/>
      <c r="EBU161" s="33"/>
      <c r="EBV161" s="33"/>
      <c r="EBW161" s="33"/>
      <c r="EBX161" s="33"/>
      <c r="EBY161" s="33"/>
      <c r="EBZ161" s="33"/>
      <c r="ECA161" s="33"/>
      <c r="ECB161" s="33"/>
      <c r="ECC161" s="33"/>
      <c r="ECD161" s="33"/>
      <c r="ECE161" s="33"/>
      <c r="ECF161" s="33"/>
      <c r="ECG161" s="33"/>
      <c r="ECH161" s="33"/>
      <c r="ECI161" s="33"/>
      <c r="ECJ161" s="33"/>
      <c r="ECK161" s="33"/>
      <c r="ECL161" s="33"/>
      <c r="ECM161" s="33"/>
      <c r="ECN161" s="33"/>
      <c r="ECO161" s="33"/>
      <c r="ECP161" s="33"/>
      <c r="ECQ161" s="33"/>
      <c r="ECR161" s="33"/>
      <c r="ECS161" s="33"/>
      <c r="ECT161" s="33"/>
      <c r="ECU161" s="33"/>
      <c r="ECV161" s="33"/>
      <c r="ECW161" s="33"/>
      <c r="ECX161" s="33"/>
      <c r="ECY161" s="33"/>
      <c r="ECZ161" s="33"/>
      <c r="EDA161" s="33"/>
      <c r="EDB161" s="33"/>
      <c r="EDC161" s="33"/>
      <c r="EDD161" s="33"/>
      <c r="EDE161" s="33"/>
      <c r="EDF161" s="33"/>
      <c r="EDG161" s="33"/>
      <c r="EDH161" s="33"/>
      <c r="EDI161" s="33"/>
      <c r="EDJ161" s="33"/>
      <c r="EDK161" s="33"/>
      <c r="EDL161" s="33"/>
      <c r="EDM161" s="33"/>
      <c r="EDN161" s="33"/>
      <c r="EDO161" s="33"/>
      <c r="EDP161" s="33"/>
      <c r="EDQ161" s="33"/>
      <c r="EDR161" s="33"/>
      <c r="EDS161" s="33"/>
      <c r="EDT161" s="33"/>
      <c r="EDU161" s="33"/>
      <c r="EDV161" s="33"/>
      <c r="EDW161" s="33"/>
      <c r="EDX161" s="33"/>
      <c r="EDY161" s="33"/>
      <c r="EDZ161" s="33"/>
      <c r="EEA161" s="33"/>
      <c r="EEB161" s="33"/>
      <c r="EEC161" s="33"/>
      <c r="EED161" s="33"/>
      <c r="EEE161" s="33"/>
      <c r="EEF161" s="33"/>
      <c r="EEG161" s="33"/>
      <c r="EEH161" s="33"/>
      <c r="EEI161" s="33"/>
      <c r="EEJ161" s="33"/>
      <c r="EEK161" s="33"/>
      <c r="EEL161" s="33"/>
      <c r="EEM161" s="33"/>
      <c r="EEN161" s="33"/>
      <c r="EEO161" s="33"/>
      <c r="EEP161" s="33"/>
      <c r="EEQ161" s="33"/>
      <c r="EER161" s="33"/>
      <c r="EES161" s="33"/>
      <c r="EET161" s="33"/>
      <c r="EEU161" s="33"/>
      <c r="EEV161" s="33"/>
      <c r="EEW161" s="33"/>
      <c r="EEX161" s="33"/>
      <c r="EEY161" s="33"/>
      <c r="EEZ161" s="33"/>
      <c r="EFA161" s="33"/>
      <c r="EFB161" s="33"/>
      <c r="EFC161" s="33"/>
      <c r="EFD161" s="33"/>
      <c r="EFE161" s="33"/>
      <c r="EFF161" s="33"/>
      <c r="EFG161" s="33"/>
      <c r="EFH161" s="33"/>
      <c r="EFI161" s="33"/>
      <c r="EFJ161" s="33"/>
      <c r="EFK161" s="33"/>
      <c r="EFL161" s="33"/>
      <c r="EFM161" s="33"/>
      <c r="EFN161" s="33"/>
      <c r="EFO161" s="33"/>
      <c r="EFP161" s="33"/>
      <c r="EFQ161" s="33"/>
      <c r="EFR161" s="33"/>
      <c r="EFS161" s="33"/>
      <c r="EFT161" s="33"/>
      <c r="EFU161" s="33"/>
      <c r="EFV161" s="33"/>
      <c r="EFW161" s="33"/>
      <c r="EFX161" s="33"/>
      <c r="EFY161" s="33"/>
      <c r="EFZ161" s="33"/>
      <c r="EGA161" s="33"/>
      <c r="EGB161" s="33"/>
      <c r="EGC161" s="33"/>
      <c r="EGD161" s="33"/>
      <c r="EGE161" s="33"/>
      <c r="EGF161" s="33"/>
      <c r="EGG161" s="33"/>
      <c r="EGH161" s="33"/>
      <c r="EGI161" s="33"/>
      <c r="EGJ161" s="33"/>
      <c r="EGK161" s="33"/>
      <c r="EGL161" s="33"/>
      <c r="EGM161" s="33"/>
      <c r="EGN161" s="33"/>
      <c r="EGO161" s="33"/>
      <c r="EGP161" s="33"/>
      <c r="EGQ161" s="33"/>
      <c r="EGR161" s="33"/>
      <c r="EGS161" s="33"/>
      <c r="EGT161" s="33"/>
      <c r="EGU161" s="33"/>
      <c r="EGV161" s="33"/>
      <c r="EGW161" s="33"/>
      <c r="EGX161" s="33"/>
      <c r="EGY161" s="33"/>
      <c r="EGZ161" s="33"/>
      <c r="EHA161" s="33"/>
      <c r="EHB161" s="33"/>
      <c r="EHC161" s="33"/>
      <c r="EHD161" s="33"/>
      <c r="EHE161" s="33"/>
      <c r="EHF161" s="33"/>
      <c r="EHG161" s="33"/>
      <c r="EHH161" s="33"/>
      <c r="EHI161" s="33"/>
      <c r="EHJ161" s="33"/>
      <c r="EHK161" s="33"/>
      <c r="EHL161" s="33"/>
      <c r="EHM161" s="33"/>
      <c r="EHN161" s="33"/>
      <c r="EHO161" s="33"/>
      <c r="EHP161" s="33"/>
      <c r="EHQ161" s="33"/>
      <c r="EHR161" s="33"/>
      <c r="EHS161" s="33"/>
      <c r="EHT161" s="33"/>
      <c r="EHU161" s="33"/>
      <c r="EHV161" s="33"/>
      <c r="EHW161" s="33"/>
      <c r="EHX161" s="33"/>
      <c r="EHY161" s="33"/>
      <c r="EHZ161" s="33"/>
      <c r="EIA161" s="33"/>
      <c r="EIB161" s="33"/>
      <c r="EIC161" s="33"/>
      <c r="EID161" s="33"/>
      <c r="EIE161" s="33"/>
      <c r="EIF161" s="33"/>
      <c r="EIG161" s="33"/>
      <c r="EIH161" s="33"/>
      <c r="EII161" s="33"/>
      <c r="EIJ161" s="33"/>
      <c r="EIK161" s="33"/>
      <c r="EIL161" s="33"/>
      <c r="EIM161" s="33"/>
      <c r="EIN161" s="33"/>
      <c r="EIO161" s="33"/>
      <c r="EIP161" s="33"/>
      <c r="EIQ161" s="33"/>
      <c r="EIR161" s="33"/>
      <c r="EIS161" s="33"/>
      <c r="EIT161" s="33"/>
      <c r="EIU161" s="33"/>
      <c r="EIV161" s="33"/>
      <c r="EIW161" s="33"/>
      <c r="EIX161" s="33"/>
      <c r="EIY161" s="33"/>
      <c r="EIZ161" s="33"/>
      <c r="EJA161" s="33"/>
      <c r="EJB161" s="33"/>
      <c r="EJC161" s="33"/>
      <c r="EJD161" s="33"/>
      <c r="EJE161" s="33"/>
      <c r="EJF161" s="33"/>
      <c r="EJG161" s="33"/>
      <c r="EJH161" s="33"/>
      <c r="EJI161" s="33"/>
      <c r="EJJ161" s="33"/>
      <c r="EJK161" s="33"/>
      <c r="EJL161" s="33"/>
      <c r="EJM161" s="33"/>
      <c r="EJN161" s="33"/>
      <c r="EJO161" s="33"/>
      <c r="EJP161" s="33"/>
      <c r="EJQ161" s="33"/>
      <c r="EJR161" s="33"/>
      <c r="EJS161" s="33"/>
      <c r="EJT161" s="33"/>
      <c r="EJU161" s="33"/>
      <c r="EJV161" s="33"/>
      <c r="EJW161" s="33"/>
      <c r="EJX161" s="33"/>
      <c r="EJY161" s="33"/>
      <c r="EJZ161" s="33"/>
      <c r="EKA161" s="33"/>
      <c r="EKB161" s="33"/>
      <c r="EKC161" s="33"/>
      <c r="EKD161" s="33"/>
      <c r="EKE161" s="33"/>
      <c r="EKF161" s="33"/>
      <c r="EKG161" s="33"/>
      <c r="EKH161" s="33"/>
      <c r="EKI161" s="33"/>
      <c r="EKJ161" s="33"/>
      <c r="EKK161" s="33"/>
      <c r="EKL161" s="33"/>
      <c r="EKM161" s="33"/>
      <c r="EKN161" s="33"/>
      <c r="EKO161" s="33"/>
      <c r="EKP161" s="33"/>
      <c r="EKQ161" s="33"/>
      <c r="EKR161" s="33"/>
      <c r="EKS161" s="33"/>
      <c r="EKT161" s="33"/>
      <c r="EKU161" s="33"/>
      <c r="EKV161" s="33"/>
      <c r="EKW161" s="33"/>
      <c r="EKX161" s="33"/>
      <c r="EKY161" s="33"/>
      <c r="EKZ161" s="33"/>
      <c r="ELA161" s="33"/>
      <c r="ELB161" s="33"/>
      <c r="ELC161" s="33"/>
      <c r="ELD161" s="33"/>
      <c r="ELE161" s="33"/>
      <c r="ELF161" s="33"/>
      <c r="ELG161" s="33"/>
      <c r="ELH161" s="33"/>
      <c r="ELI161" s="33"/>
      <c r="ELJ161" s="33"/>
      <c r="ELK161" s="33"/>
      <c r="ELL161" s="33"/>
      <c r="ELM161" s="33"/>
      <c r="ELN161" s="33"/>
      <c r="ELO161" s="33"/>
      <c r="ELP161" s="33"/>
      <c r="ELQ161" s="33"/>
      <c r="ELR161" s="33"/>
      <c r="ELS161" s="33"/>
      <c r="ELT161" s="33"/>
      <c r="ELU161" s="33"/>
      <c r="ELV161" s="33"/>
      <c r="ELW161" s="33"/>
      <c r="ELX161" s="33"/>
      <c r="ELY161" s="33"/>
      <c r="ELZ161" s="33"/>
      <c r="EMA161" s="33"/>
      <c r="EMB161" s="33"/>
      <c r="EMC161" s="33"/>
      <c r="EMD161" s="33"/>
      <c r="EME161" s="33"/>
      <c r="EMF161" s="33"/>
      <c r="EMG161" s="33"/>
      <c r="EMH161" s="33"/>
      <c r="EMI161" s="33"/>
      <c r="EMJ161" s="33"/>
      <c r="EMK161" s="33"/>
      <c r="EML161" s="33"/>
      <c r="EMM161" s="33"/>
      <c r="EMN161" s="33"/>
      <c r="EMO161" s="33"/>
      <c r="EMP161" s="33"/>
      <c r="EMQ161" s="33"/>
      <c r="EMR161" s="33"/>
      <c r="EMS161" s="33"/>
      <c r="EMT161" s="33"/>
      <c r="EMU161" s="33"/>
      <c r="EMV161" s="33"/>
      <c r="EMW161" s="33"/>
      <c r="EMX161" s="33"/>
      <c r="EMY161" s="33"/>
      <c r="EMZ161" s="33"/>
      <c r="ENA161" s="33"/>
      <c r="ENB161" s="33"/>
      <c r="ENC161" s="33"/>
      <c r="END161" s="33"/>
      <c r="ENE161" s="33"/>
      <c r="ENF161" s="33"/>
      <c r="ENG161" s="33"/>
      <c r="ENH161" s="33"/>
      <c r="ENI161" s="33"/>
      <c r="ENJ161" s="33"/>
      <c r="ENK161" s="33"/>
      <c r="ENL161" s="33"/>
      <c r="ENM161" s="33"/>
      <c r="ENN161" s="33"/>
      <c r="ENO161" s="33"/>
      <c r="ENP161" s="33"/>
      <c r="ENQ161" s="33"/>
      <c r="ENR161" s="33"/>
      <c r="ENS161" s="33"/>
      <c r="ENT161" s="33"/>
      <c r="ENU161" s="33"/>
      <c r="ENV161" s="33"/>
      <c r="ENW161" s="33"/>
      <c r="ENX161" s="33"/>
      <c r="ENY161" s="33"/>
      <c r="ENZ161" s="33"/>
      <c r="EOA161" s="33"/>
      <c r="EOB161" s="33"/>
      <c r="EOC161" s="33"/>
      <c r="EOD161" s="33"/>
      <c r="EOE161" s="33"/>
      <c r="EOF161" s="33"/>
      <c r="EOG161" s="33"/>
      <c r="EOH161" s="33"/>
      <c r="EOI161" s="33"/>
      <c r="EOJ161" s="33"/>
      <c r="EOK161" s="33"/>
      <c r="EOL161" s="33"/>
      <c r="EOM161" s="33"/>
      <c r="EON161" s="33"/>
      <c r="EOO161" s="33"/>
      <c r="EOP161" s="33"/>
      <c r="EOQ161" s="33"/>
      <c r="EOR161" s="33"/>
      <c r="EOS161" s="33"/>
      <c r="EOT161" s="33"/>
      <c r="EOU161" s="33"/>
      <c r="EOV161" s="33"/>
      <c r="EOW161" s="33"/>
      <c r="EOX161" s="33"/>
      <c r="EOY161" s="33"/>
      <c r="EOZ161" s="33"/>
      <c r="EPA161" s="33"/>
      <c r="EPB161" s="33"/>
      <c r="EPC161" s="33"/>
      <c r="EPD161" s="33"/>
      <c r="EPE161" s="33"/>
      <c r="EPF161" s="33"/>
      <c r="EPG161" s="33"/>
      <c r="EPH161" s="33"/>
      <c r="EPI161" s="33"/>
      <c r="EPJ161" s="33"/>
      <c r="EPK161" s="33"/>
      <c r="EPL161" s="33"/>
      <c r="EPM161" s="33"/>
      <c r="EPN161" s="33"/>
      <c r="EPO161" s="33"/>
      <c r="EPP161" s="33"/>
      <c r="EPQ161" s="33"/>
      <c r="EPR161" s="33"/>
      <c r="EPS161" s="33"/>
      <c r="EPT161" s="33"/>
      <c r="EPU161" s="33"/>
      <c r="EPV161" s="33"/>
      <c r="EPW161" s="33"/>
      <c r="EPX161" s="33"/>
      <c r="EPY161" s="33"/>
      <c r="EPZ161" s="33"/>
      <c r="EQA161" s="33"/>
      <c r="EQB161" s="33"/>
      <c r="EQC161" s="33"/>
      <c r="EQD161" s="33"/>
      <c r="EQE161" s="33"/>
      <c r="EQF161" s="33"/>
      <c r="EQG161" s="33"/>
      <c r="EQH161" s="33"/>
      <c r="EQI161" s="33"/>
      <c r="EQJ161" s="33"/>
      <c r="EQK161" s="33"/>
      <c r="EQL161" s="33"/>
      <c r="EQM161" s="33"/>
      <c r="EQN161" s="33"/>
      <c r="EQO161" s="33"/>
      <c r="EQP161" s="33"/>
      <c r="EQQ161" s="33"/>
      <c r="EQR161" s="33"/>
      <c r="EQS161" s="33"/>
      <c r="EQT161" s="33"/>
      <c r="EQU161" s="33"/>
      <c r="EQV161" s="33"/>
      <c r="EQW161" s="33"/>
      <c r="EQX161" s="33"/>
      <c r="EQY161" s="33"/>
      <c r="EQZ161" s="33"/>
      <c r="ERA161" s="33"/>
      <c r="ERB161" s="33"/>
      <c r="ERC161" s="33"/>
      <c r="ERD161" s="33"/>
      <c r="ERE161" s="33"/>
      <c r="ERF161" s="33"/>
      <c r="ERG161" s="33"/>
      <c r="ERH161" s="33"/>
      <c r="ERI161" s="33"/>
      <c r="ERJ161" s="33"/>
      <c r="ERK161" s="33"/>
      <c r="ERL161" s="33"/>
      <c r="ERM161" s="33"/>
      <c r="ERN161" s="33"/>
      <c r="ERO161" s="33"/>
      <c r="ERP161" s="33"/>
      <c r="ERQ161" s="33"/>
      <c r="ERR161" s="33"/>
      <c r="ERS161" s="33"/>
      <c r="ERT161" s="33"/>
      <c r="ERU161" s="33"/>
      <c r="ERV161" s="33"/>
      <c r="ERW161" s="33"/>
      <c r="ERX161" s="33"/>
      <c r="ERY161" s="33"/>
      <c r="ERZ161" s="33"/>
      <c r="ESA161" s="33"/>
      <c r="ESB161" s="33"/>
      <c r="ESC161" s="33"/>
      <c r="ESD161" s="33"/>
      <c r="ESE161" s="33"/>
      <c r="ESF161" s="33"/>
      <c r="ESG161" s="33"/>
      <c r="ESH161" s="33"/>
      <c r="ESI161" s="33"/>
      <c r="ESJ161" s="33"/>
      <c r="ESK161" s="33"/>
      <c r="ESL161" s="33"/>
      <c r="ESM161" s="33"/>
      <c r="ESN161" s="33"/>
      <c r="ESO161" s="33"/>
      <c r="ESP161" s="33"/>
      <c r="ESQ161" s="33"/>
      <c r="ESR161" s="33"/>
      <c r="ESS161" s="33"/>
      <c r="EST161" s="33"/>
      <c r="ESU161" s="33"/>
      <c r="ESV161" s="33"/>
      <c r="ESW161" s="33"/>
      <c r="ESX161" s="33"/>
      <c r="ESY161" s="33"/>
      <c r="ESZ161" s="33"/>
      <c r="ETA161" s="33"/>
      <c r="ETB161" s="33"/>
      <c r="ETC161" s="33"/>
      <c r="ETD161" s="33"/>
      <c r="ETE161" s="33"/>
      <c r="ETF161" s="33"/>
      <c r="ETG161" s="33"/>
      <c r="ETH161" s="33"/>
      <c r="ETI161" s="33"/>
      <c r="ETJ161" s="33"/>
      <c r="ETK161" s="33"/>
      <c r="ETL161" s="33"/>
      <c r="ETM161" s="33"/>
      <c r="ETN161" s="33"/>
      <c r="ETO161" s="33"/>
      <c r="ETP161" s="33"/>
      <c r="ETQ161" s="33"/>
      <c r="ETR161" s="33"/>
      <c r="ETS161" s="33"/>
      <c r="ETT161" s="33"/>
      <c r="ETU161" s="33"/>
      <c r="ETV161" s="33"/>
      <c r="ETW161" s="33"/>
      <c r="ETX161" s="33"/>
      <c r="ETY161" s="33"/>
      <c r="ETZ161" s="33"/>
      <c r="EUA161" s="33"/>
      <c r="EUB161" s="33"/>
      <c r="EUC161" s="33"/>
      <c r="EUD161" s="33"/>
      <c r="EUE161" s="33"/>
      <c r="EUF161" s="33"/>
      <c r="EUG161" s="33"/>
      <c r="EUH161" s="33"/>
      <c r="EUI161" s="33"/>
      <c r="EUJ161" s="33"/>
      <c r="EUK161" s="33"/>
      <c r="EUL161" s="33"/>
      <c r="EUM161" s="33"/>
      <c r="EUN161" s="33"/>
      <c r="EUO161" s="33"/>
      <c r="EUP161" s="33"/>
      <c r="EUQ161" s="33"/>
      <c r="EUR161" s="33"/>
      <c r="EUS161" s="33"/>
      <c r="EUT161" s="33"/>
      <c r="EUU161" s="33"/>
      <c r="EUV161" s="33"/>
      <c r="EUW161" s="33"/>
      <c r="EUX161" s="33"/>
      <c r="EUY161" s="33"/>
      <c r="EUZ161" s="33"/>
      <c r="EVA161" s="33"/>
      <c r="EVB161" s="33"/>
      <c r="EVC161" s="33"/>
      <c r="EVD161" s="33"/>
      <c r="EVE161" s="33"/>
      <c r="EVF161" s="33"/>
      <c r="EVG161" s="33"/>
      <c r="EVH161" s="33"/>
      <c r="EVI161" s="33"/>
      <c r="EVJ161" s="33"/>
      <c r="EVK161" s="33"/>
      <c r="EVL161" s="33"/>
      <c r="EVM161" s="33"/>
      <c r="EVN161" s="33"/>
      <c r="EVO161" s="33"/>
      <c r="EVP161" s="33"/>
      <c r="EVQ161" s="33"/>
      <c r="EVR161" s="33"/>
      <c r="EVS161" s="33"/>
      <c r="EVT161" s="33"/>
      <c r="EVU161" s="33"/>
      <c r="EVV161" s="33"/>
      <c r="EVW161" s="33"/>
      <c r="EVX161" s="33"/>
      <c r="EVY161" s="33"/>
      <c r="EVZ161" s="33"/>
      <c r="EWA161" s="33"/>
      <c r="EWB161" s="33"/>
      <c r="EWC161" s="33"/>
      <c r="EWD161" s="33"/>
      <c r="EWE161" s="33"/>
      <c r="EWF161" s="33"/>
      <c r="EWG161" s="33"/>
      <c r="EWH161" s="33"/>
      <c r="EWI161" s="33"/>
      <c r="EWJ161" s="33"/>
      <c r="EWK161" s="33"/>
      <c r="EWL161" s="33"/>
      <c r="EWM161" s="33"/>
      <c r="EWN161" s="33"/>
      <c r="EWO161" s="33"/>
      <c r="EWP161" s="33"/>
      <c r="EWQ161" s="33"/>
      <c r="EWR161" s="33"/>
      <c r="EWS161" s="33"/>
      <c r="EWT161" s="33"/>
      <c r="EWU161" s="33"/>
      <c r="EWV161" s="33"/>
      <c r="EWW161" s="33"/>
      <c r="EWX161" s="33"/>
      <c r="EWY161" s="33"/>
      <c r="EWZ161" s="33"/>
      <c r="EXA161" s="33"/>
      <c r="EXB161" s="33"/>
      <c r="EXC161" s="33"/>
      <c r="EXD161" s="33"/>
      <c r="EXE161" s="33"/>
      <c r="EXF161" s="33"/>
      <c r="EXG161" s="33"/>
      <c r="EXH161" s="33"/>
      <c r="EXI161" s="33"/>
      <c r="EXJ161" s="33"/>
      <c r="EXK161" s="33"/>
      <c r="EXL161" s="33"/>
      <c r="EXM161" s="33"/>
      <c r="EXN161" s="33"/>
      <c r="EXO161" s="33"/>
      <c r="EXP161" s="33"/>
      <c r="EXQ161" s="33"/>
      <c r="EXR161" s="33"/>
      <c r="EXS161" s="33"/>
      <c r="EXT161" s="33"/>
      <c r="EXU161" s="33"/>
      <c r="EXV161" s="33"/>
      <c r="EXW161" s="33"/>
      <c r="EXX161" s="33"/>
      <c r="EXY161" s="33"/>
      <c r="EXZ161" s="33"/>
      <c r="EYA161" s="33"/>
      <c r="EYB161" s="33"/>
      <c r="EYC161" s="33"/>
      <c r="EYD161" s="33"/>
      <c r="EYE161" s="33"/>
      <c r="EYF161" s="33"/>
      <c r="EYG161" s="33"/>
      <c r="EYH161" s="33"/>
      <c r="EYI161" s="33"/>
      <c r="EYJ161" s="33"/>
      <c r="EYK161" s="33"/>
      <c r="EYL161" s="33"/>
      <c r="EYM161" s="33"/>
      <c r="EYN161" s="33"/>
      <c r="EYO161" s="33"/>
      <c r="EYP161" s="33"/>
      <c r="EYQ161" s="33"/>
      <c r="EYR161" s="33"/>
      <c r="EYS161" s="33"/>
      <c r="EYT161" s="33"/>
      <c r="EYU161" s="33"/>
      <c r="EYV161" s="33"/>
      <c r="EYW161" s="33"/>
      <c r="EYX161" s="33"/>
      <c r="EYY161" s="33"/>
      <c r="EYZ161" s="33"/>
      <c r="EZA161" s="33"/>
      <c r="EZB161" s="33"/>
      <c r="EZC161" s="33"/>
      <c r="EZD161" s="33"/>
      <c r="EZE161" s="33"/>
      <c r="EZF161" s="33"/>
      <c r="EZG161" s="33"/>
      <c r="EZH161" s="33"/>
      <c r="EZI161" s="33"/>
      <c r="EZJ161" s="33"/>
      <c r="EZK161" s="33"/>
      <c r="EZL161" s="33"/>
      <c r="EZM161" s="33"/>
      <c r="EZN161" s="33"/>
      <c r="EZO161" s="33"/>
      <c r="EZP161" s="33"/>
      <c r="EZQ161" s="33"/>
      <c r="EZR161" s="33"/>
      <c r="EZS161" s="33"/>
      <c r="EZT161" s="33"/>
      <c r="EZU161" s="33"/>
      <c r="EZV161" s="33"/>
      <c r="EZW161" s="33"/>
      <c r="EZX161" s="33"/>
      <c r="EZY161" s="33"/>
      <c r="EZZ161" s="33"/>
      <c r="FAA161" s="33"/>
      <c r="FAB161" s="33"/>
      <c r="FAC161" s="33"/>
      <c r="FAD161" s="33"/>
      <c r="FAE161" s="33"/>
      <c r="FAF161" s="33"/>
      <c r="FAG161" s="33"/>
      <c r="FAH161" s="33"/>
      <c r="FAI161" s="33"/>
      <c r="FAJ161" s="33"/>
      <c r="FAK161" s="33"/>
      <c r="FAL161" s="33"/>
      <c r="FAM161" s="33"/>
      <c r="FAN161" s="33"/>
      <c r="FAO161" s="33"/>
      <c r="FAP161" s="33"/>
      <c r="FAQ161" s="33"/>
      <c r="FAR161" s="33"/>
      <c r="FAS161" s="33"/>
      <c r="FAT161" s="33"/>
      <c r="FAU161" s="33"/>
      <c r="FAV161" s="33"/>
      <c r="FAW161" s="33"/>
      <c r="FAX161" s="33"/>
      <c r="FAY161" s="33"/>
      <c r="FAZ161" s="33"/>
      <c r="FBA161" s="33"/>
      <c r="FBB161" s="33"/>
      <c r="FBC161" s="33"/>
      <c r="FBD161" s="33"/>
      <c r="FBE161" s="33"/>
      <c r="FBF161" s="33"/>
      <c r="FBG161" s="33"/>
      <c r="FBH161" s="33"/>
      <c r="FBI161" s="33"/>
      <c r="FBJ161" s="33"/>
      <c r="FBK161" s="33"/>
      <c r="FBL161" s="33"/>
      <c r="FBM161" s="33"/>
      <c r="FBN161" s="33"/>
      <c r="FBO161" s="33"/>
      <c r="FBP161" s="33"/>
      <c r="FBQ161" s="33"/>
      <c r="FBR161" s="33"/>
      <c r="FBS161" s="33"/>
      <c r="FBT161" s="33"/>
      <c r="FBU161" s="33"/>
      <c r="FBV161" s="33"/>
      <c r="FBW161" s="33"/>
      <c r="FBX161" s="33"/>
      <c r="FBY161" s="33"/>
      <c r="FBZ161" s="33"/>
      <c r="FCA161" s="33"/>
      <c r="FCB161" s="33"/>
      <c r="FCC161" s="33"/>
      <c r="FCD161" s="33"/>
      <c r="FCE161" s="33"/>
      <c r="FCF161" s="33"/>
      <c r="FCG161" s="33"/>
      <c r="FCH161" s="33"/>
      <c r="FCI161" s="33"/>
      <c r="FCJ161" s="33"/>
      <c r="FCK161" s="33"/>
      <c r="FCL161" s="33"/>
      <c r="FCM161" s="33"/>
      <c r="FCN161" s="33"/>
      <c r="FCO161" s="33"/>
      <c r="FCP161" s="33"/>
      <c r="FCQ161" s="33"/>
      <c r="FCR161" s="33"/>
      <c r="FCS161" s="33"/>
      <c r="FCT161" s="33"/>
      <c r="FCU161" s="33"/>
      <c r="FCV161" s="33"/>
      <c r="FCW161" s="33"/>
      <c r="FCX161" s="33"/>
      <c r="FCY161" s="33"/>
      <c r="FCZ161" s="33"/>
      <c r="FDA161" s="33"/>
      <c r="FDB161" s="33"/>
      <c r="FDC161" s="33"/>
      <c r="FDD161" s="33"/>
      <c r="FDE161" s="33"/>
      <c r="FDF161" s="33"/>
      <c r="FDG161" s="33"/>
      <c r="FDH161" s="33"/>
      <c r="FDI161" s="33"/>
      <c r="FDJ161" s="33"/>
      <c r="FDK161" s="33"/>
      <c r="FDL161" s="33"/>
      <c r="FDM161" s="33"/>
      <c r="FDN161" s="33"/>
      <c r="FDO161" s="33"/>
      <c r="FDP161" s="33"/>
      <c r="FDQ161" s="33"/>
      <c r="FDR161" s="33"/>
      <c r="FDS161" s="33"/>
      <c r="FDT161" s="33"/>
      <c r="FDU161" s="33"/>
      <c r="FDV161" s="33"/>
      <c r="FDW161" s="33"/>
      <c r="FDX161" s="33"/>
      <c r="FDY161" s="33"/>
      <c r="FDZ161" s="33"/>
      <c r="FEA161" s="33"/>
      <c r="FEB161" s="33"/>
      <c r="FEC161" s="33"/>
      <c r="FED161" s="33"/>
      <c r="FEE161" s="33"/>
      <c r="FEF161" s="33"/>
      <c r="FEG161" s="33"/>
      <c r="FEH161" s="33"/>
      <c r="FEI161" s="33"/>
      <c r="FEJ161" s="33"/>
      <c r="FEK161" s="33"/>
      <c r="FEL161" s="33"/>
      <c r="FEM161" s="33"/>
      <c r="FEN161" s="33"/>
      <c r="FEO161" s="33"/>
      <c r="FEP161" s="33"/>
      <c r="FEQ161" s="33"/>
      <c r="FER161" s="33"/>
      <c r="FES161" s="33"/>
      <c r="FET161" s="33"/>
      <c r="FEU161" s="33"/>
      <c r="FEV161" s="33"/>
      <c r="FEW161" s="33"/>
      <c r="FEX161" s="33"/>
      <c r="FEY161" s="33"/>
      <c r="FEZ161" s="33"/>
      <c r="FFA161" s="33"/>
      <c r="FFB161" s="33"/>
      <c r="FFC161" s="33"/>
      <c r="FFD161" s="33"/>
      <c r="FFE161" s="33"/>
      <c r="FFF161" s="33"/>
      <c r="FFG161" s="33"/>
      <c r="FFH161" s="33"/>
      <c r="FFI161" s="33"/>
      <c r="FFJ161" s="33"/>
      <c r="FFK161" s="33"/>
      <c r="FFL161" s="33"/>
      <c r="FFM161" s="33"/>
      <c r="FFN161" s="33"/>
      <c r="FFO161" s="33"/>
      <c r="FFP161" s="33"/>
      <c r="FFQ161" s="33"/>
      <c r="FFR161" s="33"/>
      <c r="FFS161" s="33"/>
      <c r="FFT161" s="33"/>
      <c r="FFU161" s="33"/>
      <c r="FFV161" s="33"/>
      <c r="FFW161" s="33"/>
      <c r="FFX161" s="33"/>
      <c r="FFY161" s="33"/>
      <c r="FFZ161" s="33"/>
      <c r="FGA161" s="33"/>
      <c r="FGB161" s="33"/>
      <c r="FGC161" s="33"/>
      <c r="FGD161" s="33"/>
      <c r="FGE161" s="33"/>
      <c r="FGF161" s="33"/>
      <c r="FGG161" s="33"/>
      <c r="FGH161" s="33"/>
      <c r="FGI161" s="33"/>
      <c r="FGJ161" s="33"/>
      <c r="FGK161" s="33"/>
      <c r="FGL161" s="33"/>
      <c r="FGM161" s="33"/>
      <c r="FGN161" s="33"/>
      <c r="FGO161" s="33"/>
      <c r="FGP161" s="33"/>
      <c r="FGQ161" s="33"/>
      <c r="FGR161" s="33"/>
      <c r="FGS161" s="33"/>
      <c r="FGT161" s="33"/>
      <c r="FGU161" s="33"/>
      <c r="FGV161" s="33"/>
      <c r="FGW161" s="33"/>
      <c r="FGX161" s="33"/>
      <c r="FGY161" s="33"/>
      <c r="FGZ161" s="33"/>
      <c r="FHA161" s="33"/>
      <c r="FHB161" s="33"/>
      <c r="FHC161" s="33"/>
      <c r="FHD161" s="33"/>
      <c r="FHE161" s="33"/>
      <c r="FHF161" s="33"/>
      <c r="FHG161" s="33"/>
      <c r="FHH161" s="33"/>
      <c r="FHI161" s="33"/>
      <c r="FHJ161" s="33"/>
      <c r="FHK161" s="33"/>
      <c r="FHL161" s="33"/>
      <c r="FHM161" s="33"/>
      <c r="FHN161" s="33"/>
      <c r="FHO161" s="33"/>
      <c r="FHP161" s="33"/>
      <c r="FHQ161" s="33"/>
      <c r="FHR161" s="33"/>
      <c r="FHS161" s="33"/>
      <c r="FHT161" s="33"/>
      <c r="FHU161" s="33"/>
      <c r="FHV161" s="33"/>
      <c r="FHW161" s="33"/>
      <c r="FHX161" s="33"/>
      <c r="FHY161" s="33"/>
      <c r="FHZ161" s="33"/>
      <c r="FIA161" s="33"/>
      <c r="FIB161" s="33"/>
      <c r="FIC161" s="33"/>
      <c r="FID161" s="33"/>
      <c r="FIE161" s="33"/>
      <c r="FIF161" s="33"/>
      <c r="FIG161" s="33"/>
      <c r="FIH161" s="33"/>
      <c r="FII161" s="33"/>
      <c r="FIJ161" s="33"/>
      <c r="FIK161" s="33"/>
      <c r="FIL161" s="33"/>
      <c r="FIM161" s="33"/>
      <c r="FIN161" s="33"/>
      <c r="FIO161" s="33"/>
      <c r="FIP161" s="33"/>
      <c r="FIQ161" s="33"/>
      <c r="FIR161" s="33"/>
      <c r="FIS161" s="33"/>
      <c r="FIT161" s="33"/>
      <c r="FIU161" s="33"/>
      <c r="FIV161" s="33"/>
      <c r="FIW161" s="33"/>
      <c r="FIX161" s="33"/>
      <c r="FIY161" s="33"/>
      <c r="FIZ161" s="33"/>
      <c r="FJA161" s="33"/>
      <c r="FJB161" s="33"/>
      <c r="FJC161" s="33"/>
      <c r="FJD161" s="33"/>
      <c r="FJE161" s="33"/>
      <c r="FJF161" s="33"/>
      <c r="FJG161" s="33"/>
      <c r="FJH161" s="33"/>
      <c r="FJI161" s="33"/>
      <c r="FJJ161" s="33"/>
      <c r="FJK161" s="33"/>
      <c r="FJL161" s="33"/>
      <c r="FJM161" s="33"/>
      <c r="FJN161" s="33"/>
      <c r="FJO161" s="33"/>
      <c r="FJP161" s="33"/>
      <c r="FJQ161" s="33"/>
      <c r="FJR161" s="33"/>
      <c r="FJS161" s="33"/>
      <c r="FJT161" s="33"/>
      <c r="FJU161" s="33"/>
      <c r="FJV161" s="33"/>
      <c r="FJW161" s="33"/>
      <c r="FJX161" s="33"/>
      <c r="FJY161" s="33"/>
      <c r="FJZ161" s="33"/>
      <c r="FKA161" s="33"/>
      <c r="FKB161" s="33"/>
      <c r="FKC161" s="33"/>
      <c r="FKD161" s="33"/>
      <c r="FKE161" s="33"/>
      <c r="FKF161" s="33"/>
      <c r="FKG161" s="33"/>
      <c r="FKH161" s="33"/>
      <c r="FKI161" s="33"/>
      <c r="FKJ161" s="33"/>
      <c r="FKK161" s="33"/>
      <c r="FKL161" s="33"/>
      <c r="FKM161" s="33"/>
      <c r="FKN161" s="33"/>
      <c r="FKO161" s="33"/>
      <c r="FKP161" s="33"/>
      <c r="FKQ161" s="33"/>
      <c r="FKR161" s="33"/>
      <c r="FKS161" s="33"/>
      <c r="FKT161" s="33"/>
      <c r="FKU161" s="33"/>
      <c r="FKV161" s="33"/>
      <c r="FKW161" s="33"/>
      <c r="FKX161" s="33"/>
      <c r="FKY161" s="33"/>
      <c r="FKZ161" s="33"/>
      <c r="FLA161" s="33"/>
      <c r="FLB161" s="33"/>
      <c r="FLC161" s="33"/>
      <c r="FLD161" s="33"/>
      <c r="FLE161" s="33"/>
      <c r="FLF161" s="33"/>
      <c r="FLG161" s="33"/>
      <c r="FLH161" s="33"/>
      <c r="FLI161" s="33"/>
      <c r="FLJ161" s="33"/>
      <c r="FLK161" s="33"/>
      <c r="FLL161" s="33"/>
      <c r="FLM161" s="33"/>
      <c r="FLN161" s="33"/>
      <c r="FLO161" s="33"/>
      <c r="FLP161" s="33"/>
      <c r="FLQ161" s="33"/>
      <c r="FLR161" s="33"/>
      <c r="FLS161" s="33"/>
      <c r="FLT161" s="33"/>
      <c r="FLU161" s="33"/>
      <c r="FLV161" s="33"/>
      <c r="FLW161" s="33"/>
      <c r="FLX161" s="33"/>
      <c r="FLY161" s="33"/>
      <c r="FLZ161" s="33"/>
      <c r="FMA161" s="33"/>
      <c r="FMB161" s="33"/>
      <c r="FMC161" s="33"/>
      <c r="FMD161" s="33"/>
      <c r="FME161" s="33"/>
      <c r="FMF161" s="33"/>
      <c r="FMG161" s="33"/>
      <c r="FMH161" s="33"/>
      <c r="FMI161" s="33"/>
      <c r="FMJ161" s="33"/>
      <c r="FMK161" s="33"/>
      <c r="FML161" s="33"/>
      <c r="FMM161" s="33"/>
      <c r="FMN161" s="33"/>
      <c r="FMO161" s="33"/>
      <c r="FMP161" s="33"/>
      <c r="FMQ161" s="33"/>
      <c r="FMR161" s="33"/>
      <c r="FMS161" s="33"/>
      <c r="FMT161" s="33"/>
      <c r="FMU161" s="33"/>
      <c r="FMV161" s="33"/>
      <c r="FMW161" s="33"/>
      <c r="FMX161" s="33"/>
      <c r="FMY161" s="33"/>
      <c r="FMZ161" s="33"/>
      <c r="FNA161" s="33"/>
      <c r="FNB161" s="33"/>
      <c r="FNC161" s="33"/>
      <c r="FND161" s="33"/>
      <c r="FNE161" s="33"/>
      <c r="FNF161" s="33"/>
      <c r="FNG161" s="33"/>
      <c r="FNH161" s="33"/>
      <c r="FNI161" s="33"/>
      <c r="FNJ161" s="33"/>
      <c r="FNK161" s="33"/>
      <c r="FNL161" s="33"/>
      <c r="FNM161" s="33"/>
      <c r="FNN161" s="33"/>
      <c r="FNO161" s="33"/>
      <c r="FNP161" s="33"/>
      <c r="FNQ161" s="33"/>
      <c r="FNR161" s="33"/>
      <c r="FNS161" s="33"/>
      <c r="FNT161" s="33"/>
      <c r="FNU161" s="33"/>
      <c r="FNV161" s="33"/>
      <c r="FNW161" s="33"/>
      <c r="FNX161" s="33"/>
      <c r="FNY161" s="33"/>
      <c r="FNZ161" s="33"/>
      <c r="FOA161" s="33"/>
      <c r="FOB161" s="33"/>
      <c r="FOC161" s="33"/>
      <c r="FOD161" s="33"/>
      <c r="FOE161" s="33"/>
      <c r="FOF161" s="33"/>
      <c r="FOG161" s="33"/>
      <c r="FOH161" s="33"/>
      <c r="FOI161" s="33"/>
      <c r="FOJ161" s="33"/>
      <c r="FOK161" s="33"/>
      <c r="FOL161" s="33"/>
      <c r="FOM161" s="33"/>
      <c r="FON161" s="33"/>
      <c r="FOO161" s="33"/>
      <c r="FOP161" s="33"/>
      <c r="FOQ161" s="33"/>
      <c r="FOR161" s="33"/>
      <c r="FOS161" s="33"/>
      <c r="FOT161" s="33"/>
      <c r="FOU161" s="33"/>
      <c r="FOV161" s="33"/>
      <c r="FOW161" s="33"/>
      <c r="FOX161" s="33"/>
      <c r="FOY161" s="33"/>
      <c r="FOZ161" s="33"/>
      <c r="FPA161" s="33"/>
      <c r="FPB161" s="33"/>
      <c r="FPC161" s="33"/>
      <c r="FPD161" s="33"/>
      <c r="FPE161" s="33"/>
      <c r="FPF161" s="33"/>
      <c r="FPG161" s="33"/>
      <c r="FPH161" s="33"/>
      <c r="FPI161" s="33"/>
      <c r="FPJ161" s="33"/>
      <c r="FPK161" s="33"/>
      <c r="FPL161" s="33"/>
      <c r="FPM161" s="33"/>
      <c r="FPN161" s="33"/>
      <c r="FPO161" s="33"/>
      <c r="FPP161" s="33"/>
      <c r="FPQ161" s="33"/>
      <c r="FPR161" s="33"/>
      <c r="FPS161" s="33"/>
      <c r="FPT161" s="33"/>
      <c r="FPU161" s="33"/>
      <c r="FPV161" s="33"/>
      <c r="FPW161" s="33"/>
      <c r="FPX161" s="33"/>
      <c r="FPY161" s="33"/>
      <c r="FPZ161" s="33"/>
      <c r="FQA161" s="33"/>
      <c r="FQB161" s="33"/>
      <c r="FQC161" s="33"/>
      <c r="FQD161" s="33"/>
      <c r="FQE161" s="33"/>
      <c r="FQF161" s="33"/>
      <c r="FQG161" s="33"/>
      <c r="FQH161" s="33"/>
      <c r="FQI161" s="33"/>
      <c r="FQJ161" s="33"/>
      <c r="FQK161" s="33"/>
      <c r="FQL161" s="33"/>
      <c r="FQM161" s="33"/>
      <c r="FQN161" s="33"/>
      <c r="FQO161" s="33"/>
      <c r="FQP161" s="33"/>
      <c r="FQQ161" s="33"/>
      <c r="FQR161" s="33"/>
      <c r="FQS161" s="33"/>
      <c r="FQT161" s="33"/>
      <c r="FQU161" s="33"/>
      <c r="FQV161" s="33"/>
      <c r="FQW161" s="33"/>
      <c r="FQX161" s="33"/>
      <c r="FQY161" s="33"/>
      <c r="FQZ161" s="33"/>
      <c r="FRA161" s="33"/>
      <c r="FRB161" s="33"/>
      <c r="FRC161" s="33"/>
      <c r="FRD161" s="33"/>
      <c r="FRE161" s="33"/>
      <c r="FRF161" s="33"/>
      <c r="FRG161" s="33"/>
      <c r="FRH161" s="33"/>
      <c r="FRI161" s="33"/>
      <c r="FRJ161" s="33"/>
      <c r="FRK161" s="33"/>
      <c r="FRL161" s="33"/>
      <c r="FRM161" s="33"/>
      <c r="FRN161" s="33"/>
      <c r="FRO161" s="33"/>
      <c r="FRP161" s="33"/>
      <c r="FRQ161" s="33"/>
      <c r="FRR161" s="33"/>
      <c r="FRS161" s="33"/>
      <c r="FRT161" s="33"/>
      <c r="FRU161" s="33"/>
      <c r="FRV161" s="33"/>
      <c r="FRW161" s="33"/>
      <c r="FRX161" s="33"/>
      <c r="FRY161" s="33"/>
      <c r="FRZ161" s="33"/>
      <c r="FSA161" s="33"/>
      <c r="FSB161" s="33"/>
      <c r="FSC161" s="33"/>
      <c r="FSD161" s="33"/>
      <c r="FSE161" s="33"/>
      <c r="FSF161" s="33"/>
      <c r="FSG161" s="33"/>
      <c r="FSH161" s="33"/>
      <c r="FSI161" s="33"/>
      <c r="FSJ161" s="33"/>
      <c r="FSK161" s="33"/>
      <c r="FSL161" s="33"/>
      <c r="FSM161" s="33"/>
      <c r="FSN161" s="33"/>
      <c r="FSO161" s="33"/>
      <c r="FSP161" s="33"/>
      <c r="FSQ161" s="33"/>
      <c r="FSR161" s="33"/>
      <c r="FSS161" s="33"/>
      <c r="FST161" s="33"/>
      <c r="FSU161" s="33"/>
      <c r="FSV161" s="33"/>
      <c r="FSW161" s="33"/>
      <c r="FSX161" s="33"/>
      <c r="FSY161" s="33"/>
      <c r="FSZ161" s="33"/>
      <c r="FTA161" s="33"/>
      <c r="FTB161" s="33"/>
      <c r="FTC161" s="33"/>
      <c r="FTD161" s="33"/>
      <c r="FTE161" s="33"/>
      <c r="FTF161" s="33"/>
      <c r="FTG161" s="33"/>
      <c r="FTH161" s="33"/>
      <c r="FTI161" s="33"/>
      <c r="FTJ161" s="33"/>
      <c r="FTK161" s="33"/>
      <c r="FTL161" s="33"/>
      <c r="FTM161" s="33"/>
      <c r="FTN161" s="33"/>
      <c r="FTO161" s="33"/>
      <c r="FTP161" s="33"/>
      <c r="FTQ161" s="33"/>
      <c r="FTR161" s="33"/>
      <c r="FTS161" s="33"/>
      <c r="FTT161" s="33"/>
      <c r="FTU161" s="33"/>
      <c r="FTV161" s="33"/>
      <c r="FTW161" s="33"/>
      <c r="FTX161" s="33"/>
      <c r="FTY161" s="33"/>
      <c r="FTZ161" s="33"/>
      <c r="FUA161" s="33"/>
      <c r="FUB161" s="33"/>
      <c r="FUC161" s="33"/>
      <c r="FUD161" s="33"/>
      <c r="FUE161" s="33"/>
      <c r="FUF161" s="33"/>
      <c r="FUG161" s="33"/>
      <c r="FUH161" s="33"/>
      <c r="FUI161" s="33"/>
      <c r="FUJ161" s="33"/>
      <c r="FUK161" s="33"/>
      <c r="FUL161" s="33"/>
      <c r="FUM161" s="33"/>
      <c r="FUN161" s="33"/>
      <c r="FUO161" s="33"/>
      <c r="FUP161" s="33"/>
      <c r="FUQ161" s="33"/>
      <c r="FUR161" s="33"/>
      <c r="FUS161" s="33"/>
      <c r="FUT161" s="33"/>
      <c r="FUU161" s="33"/>
      <c r="FUV161" s="33"/>
      <c r="FUW161" s="33"/>
      <c r="FUX161" s="33"/>
      <c r="FUY161" s="33"/>
      <c r="FUZ161" s="33"/>
      <c r="FVA161" s="33"/>
      <c r="FVB161" s="33"/>
      <c r="FVC161" s="33"/>
      <c r="FVD161" s="33"/>
      <c r="FVE161" s="33"/>
      <c r="FVF161" s="33"/>
      <c r="FVG161" s="33"/>
      <c r="FVH161" s="33"/>
      <c r="FVI161" s="33"/>
      <c r="FVJ161" s="33"/>
      <c r="FVK161" s="33"/>
      <c r="FVL161" s="33"/>
      <c r="FVM161" s="33"/>
      <c r="FVN161" s="33"/>
      <c r="FVO161" s="33"/>
      <c r="FVP161" s="33"/>
      <c r="FVQ161" s="33"/>
      <c r="FVR161" s="33"/>
      <c r="FVS161" s="33"/>
      <c r="FVT161" s="33"/>
      <c r="FVU161" s="33"/>
      <c r="FVV161" s="33"/>
      <c r="FVW161" s="33"/>
      <c r="FVX161" s="33"/>
      <c r="FVY161" s="33"/>
      <c r="FVZ161" s="33"/>
      <c r="FWA161" s="33"/>
      <c r="FWB161" s="33"/>
      <c r="FWC161" s="33"/>
      <c r="FWD161" s="33"/>
      <c r="FWE161" s="33"/>
      <c r="FWF161" s="33"/>
      <c r="FWG161" s="33"/>
      <c r="FWH161" s="33"/>
      <c r="FWI161" s="33"/>
      <c r="FWJ161" s="33"/>
      <c r="FWK161" s="33"/>
      <c r="FWL161" s="33"/>
      <c r="FWM161" s="33"/>
      <c r="FWN161" s="33"/>
      <c r="FWO161" s="33"/>
      <c r="FWP161" s="33"/>
      <c r="FWQ161" s="33"/>
      <c r="FWR161" s="33"/>
      <c r="FWS161" s="33"/>
      <c r="FWT161" s="33"/>
      <c r="FWU161" s="33"/>
      <c r="FWV161" s="33"/>
      <c r="FWW161" s="33"/>
      <c r="FWX161" s="33"/>
      <c r="FWY161" s="33"/>
      <c r="FWZ161" s="33"/>
      <c r="FXA161" s="33"/>
      <c r="FXB161" s="33"/>
      <c r="FXC161" s="33"/>
      <c r="FXD161" s="33"/>
      <c r="FXE161" s="33"/>
      <c r="FXF161" s="33"/>
      <c r="FXG161" s="33"/>
      <c r="FXH161" s="33"/>
      <c r="FXI161" s="33"/>
      <c r="FXJ161" s="33"/>
      <c r="FXK161" s="33"/>
      <c r="FXL161" s="33"/>
      <c r="FXM161" s="33"/>
      <c r="FXN161" s="33"/>
      <c r="FXO161" s="33"/>
      <c r="FXP161" s="33"/>
      <c r="FXQ161" s="33"/>
      <c r="FXR161" s="33"/>
      <c r="FXS161" s="33"/>
      <c r="FXT161" s="33"/>
      <c r="FXU161" s="33"/>
      <c r="FXV161" s="33"/>
      <c r="FXW161" s="33"/>
      <c r="FXX161" s="33"/>
      <c r="FXY161" s="33"/>
      <c r="FXZ161" s="33"/>
      <c r="FYA161" s="33"/>
      <c r="FYB161" s="33"/>
      <c r="FYC161" s="33"/>
      <c r="FYD161" s="33"/>
      <c r="FYE161" s="33"/>
      <c r="FYF161" s="33"/>
      <c r="FYG161" s="33"/>
      <c r="FYH161" s="33"/>
      <c r="FYI161" s="33"/>
      <c r="FYJ161" s="33"/>
      <c r="FYK161" s="33"/>
      <c r="FYL161" s="33"/>
      <c r="FYM161" s="33"/>
      <c r="FYN161" s="33"/>
      <c r="FYO161" s="33"/>
      <c r="FYP161" s="33"/>
      <c r="FYQ161" s="33"/>
      <c r="FYR161" s="33"/>
      <c r="FYS161" s="33"/>
      <c r="FYT161" s="33"/>
      <c r="FYU161" s="33"/>
      <c r="FYV161" s="33"/>
      <c r="FYW161" s="33"/>
      <c r="FYX161" s="33"/>
      <c r="FYY161" s="33"/>
      <c r="FYZ161" s="33"/>
      <c r="FZA161" s="33"/>
      <c r="FZB161" s="33"/>
      <c r="FZC161" s="33"/>
      <c r="FZD161" s="33"/>
      <c r="FZE161" s="33"/>
      <c r="FZF161" s="33"/>
      <c r="FZG161" s="33"/>
      <c r="FZH161" s="33"/>
      <c r="FZI161" s="33"/>
      <c r="FZJ161" s="33"/>
      <c r="FZK161" s="33"/>
      <c r="FZL161" s="33"/>
      <c r="FZM161" s="33"/>
      <c r="FZN161" s="33"/>
      <c r="FZO161" s="33"/>
      <c r="FZP161" s="33"/>
      <c r="FZQ161" s="33"/>
      <c r="FZR161" s="33"/>
      <c r="FZS161" s="33"/>
      <c r="FZT161" s="33"/>
      <c r="FZU161" s="33"/>
      <c r="FZV161" s="33"/>
      <c r="FZW161" s="33"/>
      <c r="FZX161" s="33"/>
      <c r="FZY161" s="33"/>
      <c r="FZZ161" s="33"/>
      <c r="GAA161" s="33"/>
      <c r="GAB161" s="33"/>
      <c r="GAC161" s="33"/>
      <c r="GAD161" s="33"/>
      <c r="GAE161" s="33"/>
      <c r="GAF161" s="33"/>
      <c r="GAG161" s="33"/>
      <c r="GAH161" s="33"/>
      <c r="GAI161" s="33"/>
      <c r="GAJ161" s="33"/>
      <c r="GAK161" s="33"/>
      <c r="GAL161" s="33"/>
      <c r="GAM161" s="33"/>
      <c r="GAN161" s="33"/>
      <c r="GAO161" s="33"/>
      <c r="GAP161" s="33"/>
      <c r="GAQ161" s="33"/>
      <c r="GAR161" s="33"/>
      <c r="GAS161" s="33"/>
      <c r="GAT161" s="33"/>
      <c r="GAU161" s="33"/>
      <c r="GAV161" s="33"/>
      <c r="GAW161" s="33"/>
      <c r="GAX161" s="33"/>
      <c r="GAY161" s="33"/>
      <c r="GAZ161" s="33"/>
      <c r="GBA161" s="33"/>
      <c r="GBB161" s="33"/>
      <c r="GBC161" s="33"/>
      <c r="GBD161" s="33"/>
      <c r="GBE161" s="33"/>
      <c r="GBF161" s="33"/>
      <c r="GBG161" s="33"/>
      <c r="GBH161" s="33"/>
      <c r="GBI161" s="33"/>
      <c r="GBJ161" s="33"/>
      <c r="GBK161" s="33"/>
      <c r="GBL161" s="33"/>
      <c r="GBM161" s="33"/>
      <c r="GBN161" s="33"/>
      <c r="GBO161" s="33"/>
      <c r="GBP161" s="33"/>
      <c r="GBQ161" s="33"/>
      <c r="GBR161" s="33"/>
      <c r="GBS161" s="33"/>
      <c r="GBT161" s="33"/>
      <c r="GBU161" s="33"/>
      <c r="GBV161" s="33"/>
      <c r="GBW161" s="33"/>
      <c r="GBX161" s="33"/>
      <c r="GBY161" s="33"/>
      <c r="GBZ161" s="33"/>
      <c r="GCA161" s="33"/>
      <c r="GCB161" s="33"/>
      <c r="GCC161" s="33"/>
      <c r="GCD161" s="33"/>
      <c r="GCE161" s="33"/>
      <c r="GCF161" s="33"/>
      <c r="GCG161" s="33"/>
      <c r="GCH161" s="33"/>
      <c r="GCI161" s="33"/>
      <c r="GCJ161" s="33"/>
      <c r="GCK161" s="33"/>
      <c r="GCL161" s="33"/>
      <c r="GCM161" s="33"/>
      <c r="GCN161" s="33"/>
      <c r="GCO161" s="33"/>
      <c r="GCP161" s="33"/>
      <c r="GCQ161" s="33"/>
      <c r="GCR161" s="33"/>
      <c r="GCS161" s="33"/>
      <c r="GCT161" s="33"/>
      <c r="GCU161" s="33"/>
      <c r="GCV161" s="33"/>
      <c r="GCW161" s="33"/>
      <c r="GCX161" s="33"/>
      <c r="GCY161" s="33"/>
      <c r="GCZ161" s="33"/>
      <c r="GDA161" s="33"/>
      <c r="GDB161" s="33"/>
      <c r="GDC161" s="33"/>
      <c r="GDD161" s="33"/>
      <c r="GDE161" s="33"/>
      <c r="GDF161" s="33"/>
      <c r="GDG161" s="33"/>
      <c r="GDH161" s="33"/>
      <c r="GDI161" s="33"/>
      <c r="GDJ161" s="33"/>
      <c r="GDK161" s="33"/>
      <c r="GDL161" s="33"/>
      <c r="GDM161" s="33"/>
      <c r="GDN161" s="33"/>
      <c r="GDO161" s="33"/>
      <c r="GDP161" s="33"/>
      <c r="GDQ161" s="33"/>
      <c r="GDR161" s="33"/>
      <c r="GDS161" s="33"/>
      <c r="GDT161" s="33"/>
      <c r="GDU161" s="33"/>
      <c r="GDV161" s="33"/>
      <c r="GDW161" s="33"/>
      <c r="GDX161" s="33"/>
      <c r="GDY161" s="33"/>
      <c r="GDZ161" s="33"/>
      <c r="GEA161" s="33"/>
      <c r="GEB161" s="33"/>
      <c r="GEC161" s="33"/>
      <c r="GED161" s="33"/>
      <c r="GEE161" s="33"/>
      <c r="GEF161" s="33"/>
      <c r="GEG161" s="33"/>
      <c r="GEH161" s="33"/>
      <c r="GEI161" s="33"/>
      <c r="GEJ161" s="33"/>
      <c r="GEK161" s="33"/>
      <c r="GEL161" s="33"/>
      <c r="GEM161" s="33"/>
      <c r="GEN161" s="33"/>
      <c r="GEO161" s="33"/>
      <c r="GEP161" s="33"/>
      <c r="GEQ161" s="33"/>
      <c r="GER161" s="33"/>
      <c r="GES161" s="33"/>
      <c r="GET161" s="33"/>
      <c r="GEU161" s="33"/>
      <c r="GEV161" s="33"/>
      <c r="GEW161" s="33"/>
      <c r="GEX161" s="33"/>
      <c r="GEY161" s="33"/>
      <c r="GEZ161" s="33"/>
      <c r="GFA161" s="33"/>
      <c r="GFB161" s="33"/>
      <c r="GFC161" s="33"/>
      <c r="GFD161" s="33"/>
      <c r="GFE161" s="33"/>
      <c r="GFF161" s="33"/>
      <c r="GFG161" s="33"/>
      <c r="GFH161" s="33"/>
      <c r="GFI161" s="33"/>
      <c r="GFJ161" s="33"/>
      <c r="GFK161" s="33"/>
      <c r="GFL161" s="33"/>
      <c r="GFM161" s="33"/>
      <c r="GFN161" s="33"/>
      <c r="GFO161" s="33"/>
      <c r="GFP161" s="33"/>
      <c r="GFQ161" s="33"/>
      <c r="GFR161" s="33"/>
      <c r="GFS161" s="33"/>
      <c r="GFT161" s="33"/>
      <c r="GFU161" s="33"/>
      <c r="GFV161" s="33"/>
      <c r="GFW161" s="33"/>
      <c r="GFX161" s="33"/>
      <c r="GFY161" s="33"/>
      <c r="GFZ161" s="33"/>
      <c r="GGA161" s="33"/>
      <c r="GGB161" s="33"/>
      <c r="GGC161" s="33"/>
      <c r="GGD161" s="33"/>
      <c r="GGE161" s="33"/>
      <c r="GGF161" s="33"/>
      <c r="GGG161" s="33"/>
      <c r="GGH161" s="33"/>
      <c r="GGI161" s="33"/>
      <c r="GGJ161" s="33"/>
      <c r="GGK161" s="33"/>
      <c r="GGL161" s="33"/>
      <c r="GGM161" s="33"/>
      <c r="GGN161" s="33"/>
      <c r="GGO161" s="33"/>
      <c r="GGP161" s="33"/>
      <c r="GGQ161" s="33"/>
      <c r="GGR161" s="33"/>
      <c r="GGS161" s="33"/>
      <c r="GGT161" s="33"/>
      <c r="GGU161" s="33"/>
      <c r="GGV161" s="33"/>
      <c r="GGW161" s="33"/>
      <c r="GGX161" s="33"/>
      <c r="GGY161" s="33"/>
      <c r="GGZ161" s="33"/>
      <c r="GHA161" s="33"/>
      <c r="GHB161" s="33"/>
      <c r="GHC161" s="33"/>
      <c r="GHD161" s="33"/>
      <c r="GHE161" s="33"/>
      <c r="GHF161" s="33"/>
      <c r="GHG161" s="33"/>
      <c r="GHH161" s="33"/>
      <c r="GHI161" s="33"/>
      <c r="GHJ161" s="33"/>
      <c r="GHK161" s="33"/>
      <c r="GHL161" s="33"/>
      <c r="GHM161" s="33"/>
      <c r="GHN161" s="33"/>
      <c r="GHO161" s="33"/>
      <c r="GHP161" s="33"/>
      <c r="GHQ161" s="33"/>
      <c r="GHR161" s="33"/>
      <c r="GHS161" s="33"/>
      <c r="GHT161" s="33"/>
      <c r="GHU161" s="33"/>
      <c r="GHV161" s="33"/>
      <c r="GHW161" s="33"/>
      <c r="GHX161" s="33"/>
      <c r="GHY161" s="33"/>
      <c r="GHZ161" s="33"/>
      <c r="GIA161" s="33"/>
      <c r="GIB161" s="33"/>
      <c r="GIC161" s="33"/>
      <c r="GID161" s="33"/>
      <c r="GIE161" s="33"/>
      <c r="GIF161" s="33"/>
      <c r="GIG161" s="33"/>
      <c r="GIH161" s="33"/>
      <c r="GII161" s="33"/>
      <c r="GIJ161" s="33"/>
      <c r="GIK161" s="33"/>
      <c r="GIL161" s="33"/>
      <c r="GIM161" s="33"/>
      <c r="GIN161" s="33"/>
      <c r="GIO161" s="33"/>
      <c r="GIP161" s="33"/>
      <c r="GIQ161" s="33"/>
      <c r="GIR161" s="33"/>
      <c r="GIS161" s="33"/>
      <c r="GIT161" s="33"/>
      <c r="GIU161" s="33"/>
      <c r="GIV161" s="33"/>
      <c r="GIW161" s="33"/>
      <c r="GIX161" s="33"/>
      <c r="GIY161" s="33"/>
      <c r="GIZ161" s="33"/>
      <c r="GJA161" s="33"/>
      <c r="GJB161" s="33"/>
      <c r="GJC161" s="33"/>
      <c r="GJD161" s="33"/>
      <c r="GJE161" s="33"/>
      <c r="GJF161" s="33"/>
      <c r="GJG161" s="33"/>
      <c r="GJH161" s="33"/>
      <c r="GJI161" s="33"/>
      <c r="GJJ161" s="33"/>
      <c r="GJK161" s="33"/>
      <c r="GJL161" s="33"/>
      <c r="GJM161" s="33"/>
      <c r="GJN161" s="33"/>
      <c r="GJO161" s="33"/>
      <c r="GJP161" s="33"/>
      <c r="GJQ161" s="33"/>
      <c r="GJR161" s="33"/>
      <c r="GJS161" s="33"/>
      <c r="GJT161" s="33"/>
      <c r="GJU161" s="33"/>
      <c r="GJV161" s="33"/>
      <c r="GJW161" s="33"/>
      <c r="GJX161" s="33"/>
      <c r="GJY161" s="33"/>
      <c r="GJZ161" s="33"/>
      <c r="GKA161" s="33"/>
      <c r="GKB161" s="33"/>
      <c r="GKC161" s="33"/>
      <c r="GKD161" s="33"/>
      <c r="GKE161" s="33"/>
      <c r="GKF161" s="33"/>
      <c r="GKG161" s="33"/>
      <c r="GKH161" s="33"/>
      <c r="GKI161" s="33"/>
      <c r="GKJ161" s="33"/>
      <c r="GKK161" s="33"/>
      <c r="GKL161" s="33"/>
      <c r="GKM161" s="33"/>
      <c r="GKN161" s="33"/>
      <c r="GKO161" s="33"/>
      <c r="GKP161" s="33"/>
      <c r="GKQ161" s="33"/>
      <c r="GKR161" s="33"/>
      <c r="GKS161" s="33"/>
      <c r="GKT161" s="33"/>
      <c r="GKU161" s="33"/>
      <c r="GKV161" s="33"/>
      <c r="GKW161" s="33"/>
      <c r="GKX161" s="33"/>
      <c r="GKY161" s="33"/>
      <c r="GKZ161" s="33"/>
      <c r="GLA161" s="33"/>
      <c r="GLB161" s="33"/>
      <c r="GLC161" s="33"/>
      <c r="GLD161" s="33"/>
      <c r="GLE161" s="33"/>
      <c r="GLF161" s="33"/>
      <c r="GLG161" s="33"/>
      <c r="GLH161" s="33"/>
      <c r="GLI161" s="33"/>
      <c r="GLJ161" s="33"/>
      <c r="GLK161" s="33"/>
      <c r="GLL161" s="33"/>
      <c r="GLM161" s="33"/>
      <c r="GLN161" s="33"/>
      <c r="GLO161" s="33"/>
      <c r="GLP161" s="33"/>
      <c r="GLQ161" s="33"/>
      <c r="GLR161" s="33"/>
      <c r="GLS161" s="33"/>
      <c r="GLT161" s="33"/>
      <c r="GLU161" s="33"/>
      <c r="GLV161" s="33"/>
      <c r="GLW161" s="33"/>
      <c r="GLX161" s="33"/>
      <c r="GLY161" s="33"/>
      <c r="GLZ161" s="33"/>
      <c r="GMA161" s="33"/>
      <c r="GMB161" s="33"/>
      <c r="GMC161" s="33"/>
      <c r="GMD161" s="33"/>
      <c r="GME161" s="33"/>
      <c r="GMF161" s="33"/>
      <c r="GMG161" s="33"/>
      <c r="GMH161" s="33"/>
      <c r="GMI161" s="33"/>
      <c r="GMJ161" s="33"/>
      <c r="GMK161" s="33"/>
      <c r="GML161" s="33"/>
      <c r="GMM161" s="33"/>
      <c r="GMN161" s="33"/>
      <c r="GMO161" s="33"/>
      <c r="GMP161" s="33"/>
      <c r="GMQ161" s="33"/>
      <c r="GMR161" s="33"/>
      <c r="GMS161" s="33"/>
      <c r="GMT161" s="33"/>
      <c r="GMU161" s="33"/>
      <c r="GMV161" s="33"/>
      <c r="GMW161" s="33"/>
      <c r="GMX161" s="33"/>
      <c r="GMY161" s="33"/>
      <c r="GMZ161" s="33"/>
      <c r="GNA161" s="33"/>
      <c r="GNB161" s="33"/>
      <c r="GNC161" s="33"/>
      <c r="GND161" s="33"/>
      <c r="GNE161" s="33"/>
      <c r="GNF161" s="33"/>
      <c r="GNG161" s="33"/>
      <c r="GNH161" s="33"/>
      <c r="GNI161" s="33"/>
      <c r="GNJ161" s="33"/>
      <c r="GNK161" s="33"/>
      <c r="GNL161" s="33"/>
      <c r="GNM161" s="33"/>
      <c r="GNN161" s="33"/>
      <c r="GNO161" s="33"/>
      <c r="GNP161" s="33"/>
      <c r="GNQ161" s="33"/>
      <c r="GNR161" s="33"/>
      <c r="GNS161" s="33"/>
      <c r="GNT161" s="33"/>
      <c r="GNU161" s="33"/>
      <c r="GNV161" s="33"/>
      <c r="GNW161" s="33"/>
      <c r="GNX161" s="33"/>
      <c r="GNY161" s="33"/>
      <c r="GNZ161" s="33"/>
      <c r="GOA161" s="33"/>
      <c r="GOB161" s="33"/>
      <c r="GOC161" s="33"/>
      <c r="GOD161" s="33"/>
      <c r="GOE161" s="33"/>
      <c r="GOF161" s="33"/>
      <c r="GOG161" s="33"/>
      <c r="GOH161" s="33"/>
      <c r="GOI161" s="33"/>
      <c r="GOJ161" s="33"/>
      <c r="GOK161" s="33"/>
      <c r="GOL161" s="33"/>
      <c r="GOM161" s="33"/>
      <c r="GON161" s="33"/>
      <c r="GOO161" s="33"/>
      <c r="GOP161" s="33"/>
      <c r="GOQ161" s="33"/>
      <c r="GOR161" s="33"/>
      <c r="GOS161" s="33"/>
      <c r="GOT161" s="33"/>
      <c r="GOU161" s="33"/>
      <c r="GOV161" s="33"/>
      <c r="GOW161" s="33"/>
      <c r="GOX161" s="33"/>
      <c r="GOY161" s="33"/>
      <c r="GOZ161" s="33"/>
      <c r="GPA161" s="33"/>
      <c r="GPB161" s="33"/>
      <c r="GPC161" s="33"/>
      <c r="GPD161" s="33"/>
      <c r="GPE161" s="33"/>
      <c r="GPF161" s="33"/>
      <c r="GPG161" s="33"/>
      <c r="GPH161" s="33"/>
      <c r="GPI161" s="33"/>
      <c r="GPJ161" s="33"/>
      <c r="GPK161" s="33"/>
      <c r="GPL161" s="33"/>
      <c r="GPM161" s="33"/>
      <c r="GPN161" s="33"/>
      <c r="GPO161" s="33"/>
      <c r="GPP161" s="33"/>
      <c r="GPQ161" s="33"/>
      <c r="GPR161" s="33"/>
      <c r="GPS161" s="33"/>
      <c r="GPT161" s="33"/>
      <c r="GPU161" s="33"/>
      <c r="GPV161" s="33"/>
      <c r="GPW161" s="33"/>
      <c r="GPX161" s="33"/>
      <c r="GPY161" s="33"/>
      <c r="GPZ161" s="33"/>
      <c r="GQA161" s="33"/>
      <c r="GQB161" s="33"/>
      <c r="GQC161" s="33"/>
      <c r="GQD161" s="33"/>
      <c r="GQE161" s="33"/>
      <c r="GQF161" s="33"/>
      <c r="GQG161" s="33"/>
      <c r="GQH161" s="33"/>
      <c r="GQI161" s="33"/>
      <c r="GQJ161" s="33"/>
      <c r="GQK161" s="33"/>
      <c r="GQL161" s="33"/>
      <c r="GQM161" s="33"/>
      <c r="GQN161" s="33"/>
      <c r="GQO161" s="33"/>
      <c r="GQP161" s="33"/>
      <c r="GQQ161" s="33"/>
      <c r="GQR161" s="33"/>
      <c r="GQS161" s="33"/>
      <c r="GQT161" s="33"/>
      <c r="GQU161" s="33"/>
      <c r="GQV161" s="33"/>
      <c r="GQW161" s="33"/>
      <c r="GQX161" s="33"/>
      <c r="GQY161" s="33"/>
      <c r="GQZ161" s="33"/>
      <c r="GRA161" s="33"/>
      <c r="GRB161" s="33"/>
      <c r="GRC161" s="33"/>
      <c r="GRD161" s="33"/>
      <c r="GRE161" s="33"/>
      <c r="GRF161" s="33"/>
      <c r="GRG161" s="33"/>
      <c r="GRH161" s="33"/>
      <c r="GRI161" s="33"/>
      <c r="GRJ161" s="33"/>
      <c r="GRK161" s="33"/>
      <c r="GRL161" s="33"/>
      <c r="GRM161" s="33"/>
      <c r="GRN161" s="33"/>
      <c r="GRO161" s="33"/>
      <c r="GRP161" s="33"/>
      <c r="GRQ161" s="33"/>
      <c r="GRR161" s="33"/>
      <c r="GRS161" s="33"/>
      <c r="GRT161" s="33"/>
      <c r="GRU161" s="33"/>
      <c r="GRV161" s="33"/>
      <c r="GRW161" s="33"/>
      <c r="GRX161" s="33"/>
      <c r="GRY161" s="33"/>
      <c r="GRZ161" s="33"/>
      <c r="GSA161" s="33"/>
      <c r="GSB161" s="33"/>
      <c r="GSC161" s="33"/>
      <c r="GSD161" s="33"/>
      <c r="GSE161" s="33"/>
      <c r="GSF161" s="33"/>
      <c r="GSG161" s="33"/>
      <c r="GSH161" s="33"/>
      <c r="GSI161" s="33"/>
      <c r="GSJ161" s="33"/>
      <c r="GSK161" s="33"/>
      <c r="GSL161" s="33"/>
      <c r="GSM161" s="33"/>
      <c r="GSN161" s="33"/>
      <c r="GSO161" s="33"/>
      <c r="GSP161" s="33"/>
      <c r="GSQ161" s="33"/>
      <c r="GSR161" s="33"/>
      <c r="GSS161" s="33"/>
      <c r="GST161" s="33"/>
      <c r="GSU161" s="33"/>
      <c r="GSV161" s="33"/>
      <c r="GSW161" s="33"/>
      <c r="GSX161" s="33"/>
      <c r="GSY161" s="33"/>
      <c r="GSZ161" s="33"/>
      <c r="GTA161" s="33"/>
      <c r="GTB161" s="33"/>
      <c r="GTC161" s="33"/>
      <c r="GTD161" s="33"/>
      <c r="GTE161" s="33"/>
      <c r="GTF161" s="33"/>
      <c r="GTG161" s="33"/>
      <c r="GTH161" s="33"/>
      <c r="GTI161" s="33"/>
      <c r="GTJ161" s="33"/>
      <c r="GTK161" s="33"/>
      <c r="GTL161" s="33"/>
      <c r="GTM161" s="33"/>
      <c r="GTN161" s="33"/>
      <c r="GTO161" s="33"/>
      <c r="GTP161" s="33"/>
      <c r="GTQ161" s="33"/>
      <c r="GTR161" s="33"/>
      <c r="GTS161" s="33"/>
      <c r="GTT161" s="33"/>
      <c r="GTU161" s="33"/>
      <c r="GTV161" s="33"/>
      <c r="GTW161" s="33"/>
      <c r="GTX161" s="33"/>
      <c r="GTY161" s="33"/>
      <c r="GTZ161" s="33"/>
      <c r="GUA161" s="33"/>
      <c r="GUB161" s="33"/>
      <c r="GUC161" s="33"/>
      <c r="GUD161" s="33"/>
      <c r="GUE161" s="33"/>
      <c r="GUF161" s="33"/>
      <c r="GUG161" s="33"/>
      <c r="GUH161" s="33"/>
      <c r="GUI161" s="33"/>
      <c r="GUJ161" s="33"/>
      <c r="GUK161" s="33"/>
      <c r="GUL161" s="33"/>
      <c r="GUM161" s="33"/>
      <c r="GUN161" s="33"/>
      <c r="GUO161" s="33"/>
      <c r="GUP161" s="33"/>
      <c r="GUQ161" s="33"/>
      <c r="GUR161" s="33"/>
      <c r="GUS161" s="33"/>
      <c r="GUT161" s="33"/>
      <c r="GUU161" s="33"/>
      <c r="GUV161" s="33"/>
      <c r="GUW161" s="33"/>
      <c r="GUX161" s="33"/>
      <c r="GUY161" s="33"/>
      <c r="GUZ161" s="33"/>
      <c r="GVA161" s="33"/>
      <c r="GVB161" s="33"/>
      <c r="GVC161" s="33"/>
      <c r="GVD161" s="33"/>
      <c r="GVE161" s="33"/>
      <c r="GVF161" s="33"/>
      <c r="GVG161" s="33"/>
      <c r="GVH161" s="33"/>
      <c r="GVI161" s="33"/>
      <c r="GVJ161" s="33"/>
      <c r="GVK161" s="33"/>
      <c r="GVL161" s="33"/>
      <c r="GVM161" s="33"/>
      <c r="GVN161" s="33"/>
      <c r="GVO161" s="33"/>
      <c r="GVP161" s="33"/>
      <c r="GVQ161" s="33"/>
      <c r="GVR161" s="33"/>
      <c r="GVS161" s="33"/>
      <c r="GVT161" s="33"/>
      <c r="GVU161" s="33"/>
      <c r="GVV161" s="33"/>
      <c r="GVW161" s="33"/>
      <c r="GVX161" s="33"/>
      <c r="GVY161" s="33"/>
      <c r="GVZ161" s="33"/>
      <c r="GWA161" s="33"/>
      <c r="GWB161" s="33"/>
      <c r="GWC161" s="33"/>
      <c r="GWD161" s="33"/>
      <c r="GWE161" s="33"/>
      <c r="GWF161" s="33"/>
      <c r="GWG161" s="33"/>
      <c r="GWH161" s="33"/>
      <c r="GWI161" s="33"/>
      <c r="GWJ161" s="33"/>
      <c r="GWK161" s="33"/>
      <c r="GWL161" s="33"/>
      <c r="GWM161" s="33"/>
      <c r="GWN161" s="33"/>
      <c r="GWO161" s="33"/>
      <c r="GWP161" s="33"/>
      <c r="GWQ161" s="33"/>
      <c r="GWR161" s="33"/>
      <c r="GWS161" s="33"/>
      <c r="GWT161" s="33"/>
      <c r="GWU161" s="33"/>
      <c r="GWV161" s="33"/>
      <c r="GWW161" s="33"/>
      <c r="GWX161" s="33"/>
      <c r="GWY161" s="33"/>
      <c r="GWZ161" s="33"/>
      <c r="GXA161" s="33"/>
      <c r="GXB161" s="33"/>
      <c r="GXC161" s="33"/>
      <c r="GXD161" s="33"/>
      <c r="GXE161" s="33"/>
      <c r="GXF161" s="33"/>
      <c r="GXG161" s="33"/>
      <c r="GXH161" s="33"/>
      <c r="GXI161" s="33"/>
      <c r="GXJ161" s="33"/>
      <c r="GXK161" s="33"/>
      <c r="GXL161" s="33"/>
      <c r="GXM161" s="33"/>
      <c r="GXN161" s="33"/>
      <c r="GXO161" s="33"/>
      <c r="GXP161" s="33"/>
      <c r="GXQ161" s="33"/>
      <c r="GXR161" s="33"/>
      <c r="GXS161" s="33"/>
      <c r="GXT161" s="33"/>
      <c r="GXU161" s="33"/>
      <c r="GXV161" s="33"/>
      <c r="GXW161" s="33"/>
      <c r="GXX161" s="33"/>
      <c r="GXY161" s="33"/>
      <c r="GXZ161" s="33"/>
      <c r="GYA161" s="33"/>
      <c r="GYB161" s="33"/>
      <c r="GYC161" s="33"/>
      <c r="GYD161" s="33"/>
      <c r="GYE161" s="33"/>
      <c r="GYF161" s="33"/>
      <c r="GYG161" s="33"/>
      <c r="GYH161" s="33"/>
      <c r="GYI161" s="33"/>
      <c r="GYJ161" s="33"/>
      <c r="GYK161" s="33"/>
      <c r="GYL161" s="33"/>
      <c r="GYM161" s="33"/>
      <c r="GYN161" s="33"/>
      <c r="GYO161" s="33"/>
      <c r="GYP161" s="33"/>
      <c r="GYQ161" s="33"/>
      <c r="GYR161" s="33"/>
      <c r="GYS161" s="33"/>
      <c r="GYT161" s="33"/>
      <c r="GYU161" s="33"/>
      <c r="GYV161" s="33"/>
      <c r="GYW161" s="33"/>
      <c r="GYX161" s="33"/>
      <c r="GYY161" s="33"/>
      <c r="GYZ161" s="33"/>
      <c r="GZA161" s="33"/>
      <c r="GZB161" s="33"/>
      <c r="GZC161" s="33"/>
      <c r="GZD161" s="33"/>
      <c r="GZE161" s="33"/>
      <c r="GZF161" s="33"/>
      <c r="GZG161" s="33"/>
      <c r="GZH161" s="33"/>
      <c r="GZI161" s="33"/>
      <c r="GZJ161" s="33"/>
      <c r="GZK161" s="33"/>
      <c r="GZL161" s="33"/>
      <c r="GZM161" s="33"/>
      <c r="GZN161" s="33"/>
      <c r="GZO161" s="33"/>
      <c r="GZP161" s="33"/>
      <c r="GZQ161" s="33"/>
      <c r="GZR161" s="33"/>
      <c r="GZS161" s="33"/>
      <c r="GZT161" s="33"/>
      <c r="GZU161" s="33"/>
      <c r="GZV161" s="33"/>
      <c r="GZW161" s="33"/>
      <c r="GZX161" s="33"/>
      <c r="GZY161" s="33"/>
      <c r="GZZ161" s="33"/>
      <c r="HAA161" s="33"/>
      <c r="HAB161" s="33"/>
      <c r="HAC161" s="33"/>
      <c r="HAD161" s="33"/>
      <c r="HAE161" s="33"/>
      <c r="HAF161" s="33"/>
      <c r="HAG161" s="33"/>
      <c r="HAH161" s="33"/>
      <c r="HAI161" s="33"/>
      <c r="HAJ161" s="33"/>
      <c r="HAK161" s="33"/>
      <c r="HAL161" s="33"/>
      <c r="HAM161" s="33"/>
      <c r="HAN161" s="33"/>
      <c r="HAO161" s="33"/>
      <c r="HAP161" s="33"/>
      <c r="HAQ161" s="33"/>
      <c r="HAR161" s="33"/>
      <c r="HAS161" s="33"/>
      <c r="HAT161" s="33"/>
      <c r="HAU161" s="33"/>
      <c r="HAV161" s="33"/>
      <c r="HAW161" s="33"/>
      <c r="HAX161" s="33"/>
      <c r="HAY161" s="33"/>
      <c r="HAZ161" s="33"/>
      <c r="HBA161" s="33"/>
      <c r="HBB161" s="33"/>
      <c r="HBC161" s="33"/>
      <c r="HBD161" s="33"/>
      <c r="HBE161" s="33"/>
      <c r="HBF161" s="33"/>
      <c r="HBG161" s="33"/>
      <c r="HBH161" s="33"/>
      <c r="HBI161" s="33"/>
      <c r="HBJ161" s="33"/>
      <c r="HBK161" s="33"/>
      <c r="HBL161" s="33"/>
      <c r="HBM161" s="33"/>
      <c r="HBN161" s="33"/>
      <c r="HBO161" s="33"/>
      <c r="HBP161" s="33"/>
      <c r="HBQ161" s="33"/>
      <c r="HBR161" s="33"/>
      <c r="HBS161" s="33"/>
      <c r="HBT161" s="33"/>
      <c r="HBU161" s="33"/>
      <c r="HBV161" s="33"/>
      <c r="HBW161" s="33"/>
      <c r="HBX161" s="33"/>
      <c r="HBY161" s="33"/>
      <c r="HBZ161" s="33"/>
      <c r="HCA161" s="33"/>
      <c r="HCB161" s="33"/>
      <c r="HCC161" s="33"/>
      <c r="HCD161" s="33"/>
      <c r="HCE161" s="33"/>
      <c r="HCF161" s="33"/>
      <c r="HCG161" s="33"/>
      <c r="HCH161" s="33"/>
      <c r="HCI161" s="33"/>
      <c r="HCJ161" s="33"/>
      <c r="HCK161" s="33"/>
      <c r="HCL161" s="33"/>
      <c r="HCM161" s="33"/>
      <c r="HCN161" s="33"/>
      <c r="HCO161" s="33"/>
      <c r="HCP161" s="33"/>
      <c r="HCQ161" s="33"/>
      <c r="HCR161" s="33"/>
      <c r="HCS161" s="33"/>
      <c r="HCT161" s="33"/>
      <c r="HCU161" s="33"/>
      <c r="HCV161" s="33"/>
      <c r="HCW161" s="33"/>
      <c r="HCX161" s="33"/>
      <c r="HCY161" s="33"/>
      <c r="HCZ161" s="33"/>
      <c r="HDA161" s="33"/>
      <c r="HDB161" s="33"/>
      <c r="HDC161" s="33"/>
      <c r="HDD161" s="33"/>
      <c r="HDE161" s="33"/>
      <c r="HDF161" s="33"/>
      <c r="HDG161" s="33"/>
      <c r="HDH161" s="33"/>
      <c r="HDI161" s="33"/>
      <c r="HDJ161" s="33"/>
      <c r="HDK161" s="33"/>
      <c r="HDL161" s="33"/>
      <c r="HDM161" s="33"/>
      <c r="HDN161" s="33"/>
      <c r="HDO161" s="33"/>
      <c r="HDP161" s="33"/>
      <c r="HDQ161" s="33"/>
      <c r="HDR161" s="33"/>
      <c r="HDS161" s="33"/>
      <c r="HDT161" s="33"/>
      <c r="HDU161" s="33"/>
      <c r="HDV161" s="33"/>
      <c r="HDW161" s="33"/>
      <c r="HDX161" s="33"/>
      <c r="HDY161" s="33"/>
      <c r="HDZ161" s="33"/>
      <c r="HEA161" s="33"/>
      <c r="HEB161" s="33"/>
      <c r="HEC161" s="33"/>
      <c r="HED161" s="33"/>
      <c r="HEE161" s="33"/>
      <c r="HEF161" s="33"/>
      <c r="HEG161" s="33"/>
      <c r="HEH161" s="33"/>
      <c r="HEI161" s="33"/>
      <c r="HEJ161" s="33"/>
      <c r="HEK161" s="33"/>
      <c r="HEL161" s="33"/>
      <c r="HEM161" s="33"/>
      <c r="HEN161" s="33"/>
      <c r="HEO161" s="33"/>
      <c r="HEP161" s="33"/>
      <c r="HEQ161" s="33"/>
      <c r="HER161" s="33"/>
      <c r="HES161" s="33"/>
      <c r="HET161" s="33"/>
      <c r="HEU161" s="33"/>
      <c r="HEV161" s="33"/>
      <c r="HEW161" s="33"/>
      <c r="HEX161" s="33"/>
      <c r="HEY161" s="33"/>
      <c r="HEZ161" s="33"/>
      <c r="HFA161" s="33"/>
      <c r="HFB161" s="33"/>
      <c r="HFC161" s="33"/>
      <c r="HFD161" s="33"/>
      <c r="HFE161" s="33"/>
      <c r="HFF161" s="33"/>
      <c r="HFG161" s="33"/>
      <c r="HFH161" s="33"/>
      <c r="HFI161" s="33"/>
      <c r="HFJ161" s="33"/>
      <c r="HFK161" s="33"/>
      <c r="HFL161" s="33"/>
      <c r="HFM161" s="33"/>
      <c r="HFN161" s="33"/>
      <c r="HFO161" s="33"/>
      <c r="HFP161" s="33"/>
      <c r="HFQ161" s="33"/>
      <c r="HFR161" s="33"/>
      <c r="HFS161" s="33"/>
      <c r="HFT161" s="33"/>
      <c r="HFU161" s="33"/>
      <c r="HFV161" s="33"/>
      <c r="HFW161" s="33"/>
      <c r="HFX161" s="33"/>
      <c r="HFY161" s="33"/>
      <c r="HFZ161" s="33"/>
      <c r="HGA161" s="33"/>
      <c r="HGB161" s="33"/>
      <c r="HGC161" s="33"/>
      <c r="HGD161" s="33"/>
      <c r="HGE161" s="33"/>
      <c r="HGF161" s="33"/>
      <c r="HGG161" s="33"/>
      <c r="HGH161" s="33"/>
      <c r="HGI161" s="33"/>
      <c r="HGJ161" s="33"/>
      <c r="HGK161" s="33"/>
      <c r="HGL161" s="33"/>
      <c r="HGM161" s="33"/>
      <c r="HGN161" s="33"/>
      <c r="HGO161" s="33"/>
      <c r="HGP161" s="33"/>
      <c r="HGQ161" s="33"/>
      <c r="HGR161" s="33"/>
      <c r="HGS161" s="33"/>
      <c r="HGT161" s="33"/>
      <c r="HGU161" s="33"/>
      <c r="HGV161" s="33"/>
      <c r="HGW161" s="33"/>
      <c r="HGX161" s="33"/>
      <c r="HGY161" s="33"/>
      <c r="HGZ161" s="33"/>
      <c r="HHA161" s="33"/>
      <c r="HHB161" s="33"/>
      <c r="HHC161" s="33"/>
      <c r="HHD161" s="33"/>
      <c r="HHE161" s="33"/>
      <c r="HHF161" s="33"/>
      <c r="HHG161" s="33"/>
      <c r="HHH161" s="33"/>
      <c r="HHI161" s="33"/>
      <c r="HHJ161" s="33"/>
      <c r="HHK161" s="33"/>
      <c r="HHL161" s="33"/>
      <c r="HHM161" s="33"/>
      <c r="HHN161" s="33"/>
      <c r="HHO161" s="33"/>
      <c r="HHP161" s="33"/>
      <c r="HHQ161" s="33"/>
      <c r="HHR161" s="33"/>
      <c r="HHS161" s="33"/>
      <c r="HHT161" s="33"/>
      <c r="HHU161" s="33"/>
      <c r="HHV161" s="33"/>
      <c r="HHW161" s="33"/>
      <c r="HHX161" s="33"/>
      <c r="HHY161" s="33"/>
      <c r="HHZ161" s="33"/>
      <c r="HIA161" s="33"/>
      <c r="HIB161" s="33"/>
      <c r="HIC161" s="33"/>
      <c r="HID161" s="33"/>
      <c r="HIE161" s="33"/>
      <c r="HIF161" s="33"/>
      <c r="HIG161" s="33"/>
      <c r="HIH161" s="33"/>
      <c r="HII161" s="33"/>
      <c r="HIJ161" s="33"/>
      <c r="HIK161" s="33"/>
      <c r="HIL161" s="33"/>
      <c r="HIM161" s="33"/>
      <c r="HIN161" s="33"/>
      <c r="HIO161" s="33"/>
      <c r="HIP161" s="33"/>
      <c r="HIQ161" s="33"/>
      <c r="HIR161" s="33"/>
      <c r="HIS161" s="33"/>
      <c r="HIT161" s="33"/>
      <c r="HIU161" s="33"/>
      <c r="HIV161" s="33"/>
      <c r="HIW161" s="33"/>
      <c r="HIX161" s="33"/>
      <c r="HIY161" s="33"/>
      <c r="HIZ161" s="33"/>
      <c r="HJA161" s="33"/>
      <c r="HJB161" s="33"/>
      <c r="HJC161" s="33"/>
      <c r="HJD161" s="33"/>
      <c r="HJE161" s="33"/>
      <c r="HJF161" s="33"/>
      <c r="HJG161" s="33"/>
      <c r="HJH161" s="33"/>
      <c r="HJI161" s="33"/>
      <c r="HJJ161" s="33"/>
      <c r="HJK161" s="33"/>
      <c r="HJL161" s="33"/>
      <c r="HJM161" s="33"/>
      <c r="HJN161" s="33"/>
      <c r="HJO161" s="33"/>
      <c r="HJP161" s="33"/>
      <c r="HJQ161" s="33"/>
      <c r="HJR161" s="33"/>
      <c r="HJS161" s="33"/>
      <c r="HJT161" s="33"/>
      <c r="HJU161" s="33"/>
      <c r="HJV161" s="33"/>
      <c r="HJW161" s="33"/>
      <c r="HJX161" s="33"/>
      <c r="HJY161" s="33"/>
      <c r="HJZ161" s="33"/>
      <c r="HKA161" s="33"/>
      <c r="HKB161" s="33"/>
      <c r="HKC161" s="33"/>
      <c r="HKD161" s="33"/>
      <c r="HKE161" s="33"/>
      <c r="HKF161" s="33"/>
      <c r="HKG161" s="33"/>
      <c r="HKH161" s="33"/>
      <c r="HKI161" s="33"/>
      <c r="HKJ161" s="33"/>
      <c r="HKK161" s="33"/>
      <c r="HKL161" s="33"/>
      <c r="HKM161" s="33"/>
      <c r="HKN161" s="33"/>
      <c r="HKO161" s="33"/>
      <c r="HKP161" s="33"/>
      <c r="HKQ161" s="33"/>
      <c r="HKR161" s="33"/>
      <c r="HKS161" s="33"/>
      <c r="HKT161" s="33"/>
      <c r="HKU161" s="33"/>
      <c r="HKV161" s="33"/>
      <c r="HKW161" s="33"/>
      <c r="HKX161" s="33"/>
      <c r="HKY161" s="33"/>
      <c r="HKZ161" s="33"/>
      <c r="HLA161" s="33"/>
      <c r="HLB161" s="33"/>
      <c r="HLC161" s="33"/>
      <c r="HLD161" s="33"/>
      <c r="HLE161" s="33"/>
      <c r="HLF161" s="33"/>
      <c r="HLG161" s="33"/>
      <c r="HLH161" s="33"/>
      <c r="HLI161" s="33"/>
      <c r="HLJ161" s="33"/>
      <c r="HLK161" s="33"/>
      <c r="HLL161" s="33"/>
      <c r="HLM161" s="33"/>
      <c r="HLN161" s="33"/>
      <c r="HLO161" s="33"/>
      <c r="HLP161" s="33"/>
      <c r="HLQ161" s="33"/>
      <c r="HLR161" s="33"/>
      <c r="HLS161" s="33"/>
      <c r="HLT161" s="33"/>
      <c r="HLU161" s="33"/>
      <c r="HLV161" s="33"/>
      <c r="HLW161" s="33"/>
      <c r="HLX161" s="33"/>
      <c r="HLY161" s="33"/>
      <c r="HLZ161" s="33"/>
      <c r="HMA161" s="33"/>
      <c r="HMB161" s="33"/>
      <c r="HMC161" s="33"/>
      <c r="HMD161" s="33"/>
      <c r="HME161" s="33"/>
      <c r="HMF161" s="33"/>
      <c r="HMG161" s="33"/>
      <c r="HMH161" s="33"/>
      <c r="HMI161" s="33"/>
      <c r="HMJ161" s="33"/>
      <c r="HMK161" s="33"/>
      <c r="HML161" s="33"/>
      <c r="HMM161" s="33"/>
      <c r="HMN161" s="33"/>
      <c r="HMO161" s="33"/>
      <c r="HMP161" s="33"/>
      <c r="HMQ161" s="33"/>
      <c r="HMR161" s="33"/>
      <c r="HMS161" s="33"/>
      <c r="HMT161" s="33"/>
      <c r="HMU161" s="33"/>
      <c r="HMV161" s="33"/>
      <c r="HMW161" s="33"/>
      <c r="HMX161" s="33"/>
      <c r="HMY161" s="33"/>
      <c r="HMZ161" s="33"/>
      <c r="HNA161" s="33"/>
      <c r="HNB161" s="33"/>
      <c r="HNC161" s="33"/>
      <c r="HND161" s="33"/>
      <c r="HNE161" s="33"/>
      <c r="HNF161" s="33"/>
      <c r="HNG161" s="33"/>
      <c r="HNH161" s="33"/>
      <c r="HNI161" s="33"/>
      <c r="HNJ161" s="33"/>
      <c r="HNK161" s="33"/>
      <c r="HNL161" s="33"/>
      <c r="HNM161" s="33"/>
      <c r="HNN161" s="33"/>
      <c r="HNO161" s="33"/>
      <c r="HNP161" s="33"/>
      <c r="HNQ161" s="33"/>
      <c r="HNR161" s="33"/>
      <c r="HNS161" s="33"/>
      <c r="HNT161" s="33"/>
      <c r="HNU161" s="33"/>
      <c r="HNV161" s="33"/>
      <c r="HNW161" s="33"/>
      <c r="HNX161" s="33"/>
      <c r="HNY161" s="33"/>
      <c r="HNZ161" s="33"/>
      <c r="HOA161" s="33"/>
      <c r="HOB161" s="33"/>
      <c r="HOC161" s="33"/>
      <c r="HOD161" s="33"/>
      <c r="HOE161" s="33"/>
      <c r="HOF161" s="33"/>
      <c r="HOG161" s="33"/>
      <c r="HOH161" s="33"/>
      <c r="HOI161" s="33"/>
      <c r="HOJ161" s="33"/>
      <c r="HOK161" s="33"/>
      <c r="HOL161" s="33"/>
      <c r="HOM161" s="33"/>
      <c r="HON161" s="33"/>
      <c r="HOO161" s="33"/>
      <c r="HOP161" s="33"/>
      <c r="HOQ161" s="33"/>
      <c r="HOR161" s="33"/>
      <c r="HOS161" s="33"/>
      <c r="HOT161" s="33"/>
      <c r="HOU161" s="33"/>
      <c r="HOV161" s="33"/>
      <c r="HOW161" s="33"/>
      <c r="HOX161" s="33"/>
      <c r="HOY161" s="33"/>
      <c r="HOZ161" s="33"/>
      <c r="HPA161" s="33"/>
      <c r="HPB161" s="33"/>
      <c r="HPC161" s="33"/>
      <c r="HPD161" s="33"/>
      <c r="HPE161" s="33"/>
      <c r="HPF161" s="33"/>
      <c r="HPG161" s="33"/>
      <c r="HPH161" s="33"/>
      <c r="HPI161" s="33"/>
      <c r="HPJ161" s="33"/>
      <c r="HPK161" s="33"/>
      <c r="HPL161" s="33"/>
      <c r="HPM161" s="33"/>
      <c r="HPN161" s="33"/>
      <c r="HPO161" s="33"/>
      <c r="HPP161" s="33"/>
      <c r="HPQ161" s="33"/>
      <c r="HPR161" s="33"/>
      <c r="HPS161" s="33"/>
      <c r="HPT161" s="33"/>
      <c r="HPU161" s="33"/>
      <c r="HPV161" s="33"/>
      <c r="HPW161" s="33"/>
      <c r="HPX161" s="33"/>
      <c r="HPY161" s="33"/>
      <c r="HPZ161" s="33"/>
      <c r="HQA161" s="33"/>
      <c r="HQB161" s="33"/>
      <c r="HQC161" s="33"/>
      <c r="HQD161" s="33"/>
      <c r="HQE161" s="33"/>
      <c r="HQF161" s="33"/>
      <c r="HQG161" s="33"/>
      <c r="HQH161" s="33"/>
      <c r="HQI161" s="33"/>
      <c r="HQJ161" s="33"/>
      <c r="HQK161" s="33"/>
      <c r="HQL161" s="33"/>
      <c r="HQM161" s="33"/>
      <c r="HQN161" s="33"/>
      <c r="HQO161" s="33"/>
      <c r="HQP161" s="33"/>
      <c r="HQQ161" s="33"/>
      <c r="HQR161" s="33"/>
      <c r="HQS161" s="33"/>
      <c r="HQT161" s="33"/>
      <c r="HQU161" s="33"/>
      <c r="HQV161" s="33"/>
      <c r="HQW161" s="33"/>
      <c r="HQX161" s="33"/>
      <c r="HQY161" s="33"/>
      <c r="HQZ161" s="33"/>
      <c r="HRA161" s="33"/>
      <c r="HRB161" s="33"/>
      <c r="HRC161" s="33"/>
      <c r="HRD161" s="33"/>
      <c r="HRE161" s="33"/>
      <c r="HRF161" s="33"/>
      <c r="HRG161" s="33"/>
      <c r="HRH161" s="33"/>
      <c r="HRI161" s="33"/>
      <c r="HRJ161" s="33"/>
      <c r="HRK161" s="33"/>
      <c r="HRL161" s="33"/>
      <c r="HRM161" s="33"/>
      <c r="HRN161" s="33"/>
      <c r="HRO161" s="33"/>
      <c r="HRP161" s="33"/>
      <c r="HRQ161" s="33"/>
      <c r="HRR161" s="33"/>
      <c r="HRS161" s="33"/>
      <c r="HRT161" s="33"/>
      <c r="HRU161" s="33"/>
      <c r="HRV161" s="33"/>
      <c r="HRW161" s="33"/>
      <c r="HRX161" s="33"/>
      <c r="HRY161" s="33"/>
      <c r="HRZ161" s="33"/>
      <c r="HSA161" s="33"/>
      <c r="HSB161" s="33"/>
      <c r="HSC161" s="33"/>
      <c r="HSD161" s="33"/>
      <c r="HSE161" s="33"/>
      <c r="HSF161" s="33"/>
      <c r="HSG161" s="33"/>
      <c r="HSH161" s="33"/>
      <c r="HSI161" s="33"/>
      <c r="HSJ161" s="33"/>
      <c r="HSK161" s="33"/>
      <c r="HSL161" s="33"/>
      <c r="HSM161" s="33"/>
      <c r="HSN161" s="33"/>
      <c r="HSO161" s="33"/>
      <c r="HSP161" s="33"/>
      <c r="HSQ161" s="33"/>
      <c r="HSR161" s="33"/>
      <c r="HSS161" s="33"/>
      <c r="HST161" s="33"/>
      <c r="HSU161" s="33"/>
      <c r="HSV161" s="33"/>
      <c r="HSW161" s="33"/>
      <c r="HSX161" s="33"/>
      <c r="HSY161" s="33"/>
      <c r="HSZ161" s="33"/>
      <c r="HTA161" s="33"/>
      <c r="HTB161" s="33"/>
      <c r="HTC161" s="33"/>
      <c r="HTD161" s="33"/>
      <c r="HTE161" s="33"/>
      <c r="HTF161" s="33"/>
      <c r="HTG161" s="33"/>
      <c r="HTH161" s="33"/>
      <c r="HTI161" s="33"/>
      <c r="HTJ161" s="33"/>
      <c r="HTK161" s="33"/>
      <c r="HTL161" s="33"/>
      <c r="HTM161" s="33"/>
      <c r="HTN161" s="33"/>
      <c r="HTO161" s="33"/>
      <c r="HTP161" s="33"/>
      <c r="HTQ161" s="33"/>
      <c r="HTR161" s="33"/>
      <c r="HTS161" s="33"/>
      <c r="HTT161" s="33"/>
      <c r="HTU161" s="33"/>
      <c r="HTV161" s="33"/>
      <c r="HTW161" s="33"/>
      <c r="HTX161" s="33"/>
      <c r="HTY161" s="33"/>
      <c r="HTZ161" s="33"/>
      <c r="HUA161" s="33"/>
      <c r="HUB161" s="33"/>
      <c r="HUC161" s="33"/>
      <c r="HUD161" s="33"/>
      <c r="HUE161" s="33"/>
      <c r="HUF161" s="33"/>
      <c r="HUG161" s="33"/>
      <c r="HUH161" s="33"/>
      <c r="HUI161" s="33"/>
      <c r="HUJ161" s="33"/>
      <c r="HUK161" s="33"/>
      <c r="HUL161" s="33"/>
      <c r="HUM161" s="33"/>
      <c r="HUN161" s="33"/>
      <c r="HUO161" s="33"/>
      <c r="HUP161" s="33"/>
      <c r="HUQ161" s="33"/>
      <c r="HUR161" s="33"/>
      <c r="HUS161" s="33"/>
      <c r="HUT161" s="33"/>
      <c r="HUU161" s="33"/>
      <c r="HUV161" s="33"/>
      <c r="HUW161" s="33"/>
      <c r="HUX161" s="33"/>
      <c r="HUY161" s="33"/>
      <c r="HUZ161" s="33"/>
      <c r="HVA161" s="33"/>
      <c r="HVB161" s="33"/>
      <c r="HVC161" s="33"/>
      <c r="HVD161" s="33"/>
      <c r="HVE161" s="33"/>
      <c r="HVF161" s="33"/>
      <c r="HVG161" s="33"/>
      <c r="HVH161" s="33"/>
      <c r="HVI161" s="33"/>
      <c r="HVJ161" s="33"/>
      <c r="HVK161" s="33"/>
      <c r="HVL161" s="33"/>
      <c r="HVM161" s="33"/>
      <c r="HVN161" s="33"/>
      <c r="HVO161" s="33"/>
      <c r="HVP161" s="33"/>
      <c r="HVQ161" s="33"/>
      <c r="HVR161" s="33"/>
      <c r="HVS161" s="33"/>
      <c r="HVT161" s="33"/>
      <c r="HVU161" s="33"/>
      <c r="HVV161" s="33"/>
      <c r="HVW161" s="33"/>
      <c r="HVX161" s="33"/>
      <c r="HVY161" s="33"/>
      <c r="HVZ161" s="33"/>
      <c r="HWA161" s="33"/>
      <c r="HWB161" s="33"/>
      <c r="HWC161" s="33"/>
      <c r="HWD161" s="33"/>
      <c r="HWE161" s="33"/>
      <c r="HWF161" s="33"/>
      <c r="HWG161" s="33"/>
      <c r="HWH161" s="33"/>
      <c r="HWI161" s="33"/>
      <c r="HWJ161" s="33"/>
      <c r="HWK161" s="33"/>
      <c r="HWL161" s="33"/>
      <c r="HWM161" s="33"/>
      <c r="HWN161" s="33"/>
      <c r="HWO161" s="33"/>
      <c r="HWP161" s="33"/>
      <c r="HWQ161" s="33"/>
      <c r="HWR161" s="33"/>
      <c r="HWS161" s="33"/>
      <c r="HWT161" s="33"/>
      <c r="HWU161" s="33"/>
      <c r="HWV161" s="33"/>
      <c r="HWW161" s="33"/>
      <c r="HWX161" s="33"/>
      <c r="HWY161" s="33"/>
      <c r="HWZ161" s="33"/>
      <c r="HXA161" s="33"/>
      <c r="HXB161" s="33"/>
      <c r="HXC161" s="33"/>
      <c r="HXD161" s="33"/>
      <c r="HXE161" s="33"/>
      <c r="HXF161" s="33"/>
      <c r="HXG161" s="33"/>
      <c r="HXH161" s="33"/>
      <c r="HXI161" s="33"/>
      <c r="HXJ161" s="33"/>
      <c r="HXK161" s="33"/>
      <c r="HXL161" s="33"/>
      <c r="HXM161" s="33"/>
      <c r="HXN161" s="33"/>
      <c r="HXO161" s="33"/>
      <c r="HXP161" s="33"/>
      <c r="HXQ161" s="33"/>
      <c r="HXR161" s="33"/>
      <c r="HXS161" s="33"/>
      <c r="HXT161" s="33"/>
      <c r="HXU161" s="33"/>
      <c r="HXV161" s="33"/>
      <c r="HXW161" s="33"/>
      <c r="HXX161" s="33"/>
      <c r="HXY161" s="33"/>
      <c r="HXZ161" s="33"/>
      <c r="HYA161" s="33"/>
      <c r="HYB161" s="33"/>
      <c r="HYC161" s="33"/>
      <c r="HYD161" s="33"/>
      <c r="HYE161" s="33"/>
      <c r="HYF161" s="33"/>
      <c r="HYG161" s="33"/>
      <c r="HYH161" s="33"/>
      <c r="HYI161" s="33"/>
      <c r="HYJ161" s="33"/>
      <c r="HYK161" s="33"/>
      <c r="HYL161" s="33"/>
      <c r="HYM161" s="33"/>
      <c r="HYN161" s="33"/>
      <c r="HYO161" s="33"/>
      <c r="HYP161" s="33"/>
      <c r="HYQ161" s="33"/>
      <c r="HYR161" s="33"/>
      <c r="HYS161" s="33"/>
      <c r="HYT161" s="33"/>
      <c r="HYU161" s="33"/>
      <c r="HYV161" s="33"/>
      <c r="HYW161" s="33"/>
      <c r="HYX161" s="33"/>
      <c r="HYY161" s="33"/>
      <c r="HYZ161" s="33"/>
      <c r="HZA161" s="33"/>
      <c r="HZB161" s="33"/>
      <c r="HZC161" s="33"/>
      <c r="HZD161" s="33"/>
      <c r="HZE161" s="33"/>
      <c r="HZF161" s="33"/>
      <c r="HZG161" s="33"/>
      <c r="HZH161" s="33"/>
      <c r="HZI161" s="33"/>
      <c r="HZJ161" s="33"/>
      <c r="HZK161" s="33"/>
      <c r="HZL161" s="33"/>
      <c r="HZM161" s="33"/>
      <c r="HZN161" s="33"/>
      <c r="HZO161" s="33"/>
      <c r="HZP161" s="33"/>
      <c r="HZQ161" s="33"/>
      <c r="HZR161" s="33"/>
      <c r="HZS161" s="33"/>
      <c r="HZT161" s="33"/>
      <c r="HZU161" s="33"/>
      <c r="HZV161" s="33"/>
      <c r="HZW161" s="33"/>
      <c r="HZX161" s="33"/>
      <c r="HZY161" s="33"/>
      <c r="HZZ161" s="33"/>
      <c r="IAA161" s="33"/>
      <c r="IAB161" s="33"/>
      <c r="IAC161" s="33"/>
      <c r="IAD161" s="33"/>
      <c r="IAE161" s="33"/>
      <c r="IAF161" s="33"/>
      <c r="IAG161" s="33"/>
      <c r="IAH161" s="33"/>
      <c r="IAI161" s="33"/>
      <c r="IAJ161" s="33"/>
      <c r="IAK161" s="33"/>
      <c r="IAL161" s="33"/>
      <c r="IAM161" s="33"/>
      <c r="IAN161" s="33"/>
      <c r="IAO161" s="33"/>
      <c r="IAP161" s="33"/>
      <c r="IAQ161" s="33"/>
      <c r="IAR161" s="33"/>
      <c r="IAS161" s="33"/>
      <c r="IAT161" s="33"/>
      <c r="IAU161" s="33"/>
      <c r="IAV161" s="33"/>
      <c r="IAW161" s="33"/>
      <c r="IAX161" s="33"/>
      <c r="IAY161" s="33"/>
      <c r="IAZ161" s="33"/>
      <c r="IBA161" s="33"/>
      <c r="IBB161" s="33"/>
      <c r="IBC161" s="33"/>
      <c r="IBD161" s="33"/>
      <c r="IBE161" s="33"/>
      <c r="IBF161" s="33"/>
      <c r="IBG161" s="33"/>
      <c r="IBH161" s="33"/>
      <c r="IBI161" s="33"/>
      <c r="IBJ161" s="33"/>
      <c r="IBK161" s="33"/>
      <c r="IBL161" s="33"/>
      <c r="IBM161" s="33"/>
      <c r="IBN161" s="33"/>
      <c r="IBO161" s="33"/>
      <c r="IBP161" s="33"/>
      <c r="IBQ161" s="33"/>
      <c r="IBR161" s="33"/>
      <c r="IBS161" s="33"/>
      <c r="IBT161" s="33"/>
      <c r="IBU161" s="33"/>
      <c r="IBV161" s="33"/>
      <c r="IBW161" s="33"/>
      <c r="IBX161" s="33"/>
      <c r="IBY161" s="33"/>
      <c r="IBZ161" s="33"/>
      <c r="ICA161" s="33"/>
      <c r="ICB161" s="33"/>
      <c r="ICC161" s="33"/>
      <c r="ICD161" s="33"/>
      <c r="ICE161" s="33"/>
      <c r="ICF161" s="33"/>
      <c r="ICG161" s="33"/>
      <c r="ICH161" s="33"/>
      <c r="ICI161" s="33"/>
      <c r="ICJ161" s="33"/>
      <c r="ICK161" s="33"/>
      <c r="ICL161" s="33"/>
      <c r="ICM161" s="33"/>
      <c r="ICN161" s="33"/>
      <c r="ICO161" s="33"/>
      <c r="ICP161" s="33"/>
      <c r="ICQ161" s="33"/>
      <c r="ICR161" s="33"/>
      <c r="ICS161" s="33"/>
      <c r="ICT161" s="33"/>
      <c r="ICU161" s="33"/>
      <c r="ICV161" s="33"/>
      <c r="ICW161" s="33"/>
      <c r="ICX161" s="33"/>
      <c r="ICY161" s="33"/>
      <c r="ICZ161" s="33"/>
      <c r="IDA161" s="33"/>
      <c r="IDB161" s="33"/>
      <c r="IDC161" s="33"/>
      <c r="IDD161" s="33"/>
      <c r="IDE161" s="33"/>
      <c r="IDF161" s="33"/>
      <c r="IDG161" s="33"/>
      <c r="IDH161" s="33"/>
      <c r="IDI161" s="33"/>
      <c r="IDJ161" s="33"/>
      <c r="IDK161" s="33"/>
      <c r="IDL161" s="33"/>
      <c r="IDM161" s="33"/>
      <c r="IDN161" s="33"/>
      <c r="IDO161" s="33"/>
      <c r="IDP161" s="33"/>
      <c r="IDQ161" s="33"/>
      <c r="IDR161" s="33"/>
      <c r="IDS161" s="33"/>
      <c r="IDT161" s="33"/>
      <c r="IDU161" s="33"/>
      <c r="IDV161" s="33"/>
      <c r="IDW161" s="33"/>
      <c r="IDX161" s="33"/>
      <c r="IDY161" s="33"/>
      <c r="IDZ161" s="33"/>
      <c r="IEA161" s="33"/>
      <c r="IEB161" s="33"/>
      <c r="IEC161" s="33"/>
      <c r="IED161" s="33"/>
      <c r="IEE161" s="33"/>
      <c r="IEF161" s="33"/>
      <c r="IEG161" s="33"/>
      <c r="IEH161" s="33"/>
      <c r="IEI161" s="33"/>
      <c r="IEJ161" s="33"/>
      <c r="IEK161" s="33"/>
      <c r="IEL161" s="33"/>
      <c r="IEM161" s="33"/>
      <c r="IEN161" s="33"/>
      <c r="IEO161" s="33"/>
      <c r="IEP161" s="33"/>
      <c r="IEQ161" s="33"/>
      <c r="IER161" s="33"/>
      <c r="IES161" s="33"/>
      <c r="IET161" s="33"/>
      <c r="IEU161" s="33"/>
      <c r="IEV161" s="33"/>
      <c r="IEW161" s="33"/>
      <c r="IEX161" s="33"/>
      <c r="IEY161" s="33"/>
      <c r="IEZ161" s="33"/>
      <c r="IFA161" s="33"/>
      <c r="IFB161" s="33"/>
      <c r="IFC161" s="33"/>
      <c r="IFD161" s="33"/>
      <c r="IFE161" s="33"/>
      <c r="IFF161" s="33"/>
      <c r="IFG161" s="33"/>
      <c r="IFH161" s="33"/>
      <c r="IFI161" s="33"/>
      <c r="IFJ161" s="33"/>
      <c r="IFK161" s="33"/>
      <c r="IFL161" s="33"/>
      <c r="IFM161" s="33"/>
      <c r="IFN161" s="33"/>
      <c r="IFO161" s="33"/>
      <c r="IFP161" s="33"/>
      <c r="IFQ161" s="33"/>
      <c r="IFR161" s="33"/>
      <c r="IFS161" s="33"/>
      <c r="IFT161" s="33"/>
      <c r="IFU161" s="33"/>
      <c r="IFV161" s="33"/>
      <c r="IFW161" s="33"/>
      <c r="IFX161" s="33"/>
      <c r="IFY161" s="33"/>
      <c r="IFZ161" s="33"/>
      <c r="IGA161" s="33"/>
      <c r="IGB161" s="33"/>
      <c r="IGC161" s="33"/>
      <c r="IGD161" s="33"/>
      <c r="IGE161" s="33"/>
      <c r="IGF161" s="33"/>
      <c r="IGG161" s="33"/>
      <c r="IGH161" s="33"/>
      <c r="IGI161" s="33"/>
      <c r="IGJ161" s="33"/>
      <c r="IGK161" s="33"/>
      <c r="IGL161" s="33"/>
      <c r="IGM161" s="33"/>
      <c r="IGN161" s="33"/>
      <c r="IGO161" s="33"/>
      <c r="IGP161" s="33"/>
      <c r="IGQ161" s="33"/>
      <c r="IGR161" s="33"/>
      <c r="IGS161" s="33"/>
      <c r="IGT161" s="33"/>
      <c r="IGU161" s="33"/>
      <c r="IGV161" s="33"/>
      <c r="IGW161" s="33"/>
      <c r="IGX161" s="33"/>
      <c r="IGY161" s="33"/>
      <c r="IGZ161" s="33"/>
      <c r="IHA161" s="33"/>
      <c r="IHB161" s="33"/>
      <c r="IHC161" s="33"/>
      <c r="IHD161" s="33"/>
      <c r="IHE161" s="33"/>
      <c r="IHF161" s="33"/>
      <c r="IHG161" s="33"/>
      <c r="IHH161" s="33"/>
      <c r="IHI161" s="33"/>
      <c r="IHJ161" s="33"/>
      <c r="IHK161" s="33"/>
      <c r="IHL161" s="33"/>
      <c r="IHM161" s="33"/>
      <c r="IHN161" s="33"/>
      <c r="IHO161" s="33"/>
      <c r="IHP161" s="33"/>
      <c r="IHQ161" s="33"/>
      <c r="IHR161" s="33"/>
      <c r="IHS161" s="33"/>
      <c r="IHT161" s="33"/>
      <c r="IHU161" s="33"/>
      <c r="IHV161" s="33"/>
      <c r="IHW161" s="33"/>
      <c r="IHX161" s="33"/>
      <c r="IHY161" s="33"/>
      <c r="IHZ161" s="33"/>
      <c r="IIA161" s="33"/>
      <c r="IIB161" s="33"/>
      <c r="IIC161" s="33"/>
      <c r="IID161" s="33"/>
      <c r="IIE161" s="33"/>
      <c r="IIF161" s="33"/>
      <c r="IIG161" s="33"/>
      <c r="IIH161" s="33"/>
      <c r="III161" s="33"/>
      <c r="IIJ161" s="33"/>
      <c r="IIK161" s="33"/>
      <c r="IIL161" s="33"/>
      <c r="IIM161" s="33"/>
      <c r="IIN161" s="33"/>
      <c r="IIO161" s="33"/>
      <c r="IIP161" s="33"/>
      <c r="IIQ161" s="33"/>
      <c r="IIR161" s="33"/>
      <c r="IIS161" s="33"/>
      <c r="IIT161" s="33"/>
      <c r="IIU161" s="33"/>
      <c r="IIV161" s="33"/>
      <c r="IIW161" s="33"/>
      <c r="IIX161" s="33"/>
      <c r="IIY161" s="33"/>
      <c r="IIZ161" s="33"/>
      <c r="IJA161" s="33"/>
      <c r="IJB161" s="33"/>
      <c r="IJC161" s="33"/>
      <c r="IJD161" s="33"/>
      <c r="IJE161" s="33"/>
      <c r="IJF161" s="33"/>
      <c r="IJG161" s="33"/>
      <c r="IJH161" s="33"/>
      <c r="IJI161" s="33"/>
      <c r="IJJ161" s="33"/>
      <c r="IJK161" s="33"/>
      <c r="IJL161" s="33"/>
      <c r="IJM161" s="33"/>
      <c r="IJN161" s="33"/>
      <c r="IJO161" s="33"/>
      <c r="IJP161" s="33"/>
      <c r="IJQ161" s="33"/>
      <c r="IJR161" s="33"/>
      <c r="IJS161" s="33"/>
      <c r="IJT161" s="33"/>
      <c r="IJU161" s="33"/>
      <c r="IJV161" s="33"/>
      <c r="IJW161" s="33"/>
      <c r="IJX161" s="33"/>
      <c r="IJY161" s="33"/>
      <c r="IJZ161" s="33"/>
      <c r="IKA161" s="33"/>
      <c r="IKB161" s="33"/>
      <c r="IKC161" s="33"/>
      <c r="IKD161" s="33"/>
      <c r="IKE161" s="33"/>
      <c r="IKF161" s="33"/>
      <c r="IKG161" s="33"/>
      <c r="IKH161" s="33"/>
      <c r="IKI161" s="33"/>
      <c r="IKJ161" s="33"/>
      <c r="IKK161" s="33"/>
      <c r="IKL161" s="33"/>
      <c r="IKM161" s="33"/>
      <c r="IKN161" s="33"/>
      <c r="IKO161" s="33"/>
      <c r="IKP161" s="33"/>
      <c r="IKQ161" s="33"/>
      <c r="IKR161" s="33"/>
      <c r="IKS161" s="33"/>
      <c r="IKT161" s="33"/>
      <c r="IKU161" s="33"/>
      <c r="IKV161" s="33"/>
      <c r="IKW161" s="33"/>
      <c r="IKX161" s="33"/>
      <c r="IKY161" s="33"/>
      <c r="IKZ161" s="33"/>
      <c r="ILA161" s="33"/>
      <c r="ILB161" s="33"/>
      <c r="ILC161" s="33"/>
      <c r="ILD161" s="33"/>
      <c r="ILE161" s="33"/>
      <c r="ILF161" s="33"/>
      <c r="ILG161" s="33"/>
      <c r="ILH161" s="33"/>
      <c r="ILI161" s="33"/>
      <c r="ILJ161" s="33"/>
      <c r="ILK161" s="33"/>
      <c r="ILL161" s="33"/>
      <c r="ILM161" s="33"/>
      <c r="ILN161" s="33"/>
      <c r="ILO161" s="33"/>
      <c r="ILP161" s="33"/>
      <c r="ILQ161" s="33"/>
      <c r="ILR161" s="33"/>
      <c r="ILS161" s="33"/>
      <c r="ILT161" s="33"/>
      <c r="ILU161" s="33"/>
      <c r="ILV161" s="33"/>
      <c r="ILW161" s="33"/>
      <c r="ILX161" s="33"/>
      <c r="ILY161" s="33"/>
      <c r="ILZ161" s="33"/>
      <c r="IMA161" s="33"/>
      <c r="IMB161" s="33"/>
      <c r="IMC161" s="33"/>
      <c r="IMD161" s="33"/>
      <c r="IME161" s="33"/>
      <c r="IMF161" s="33"/>
      <c r="IMG161" s="33"/>
      <c r="IMH161" s="33"/>
      <c r="IMI161" s="33"/>
      <c r="IMJ161" s="33"/>
      <c r="IMK161" s="33"/>
      <c r="IML161" s="33"/>
      <c r="IMM161" s="33"/>
      <c r="IMN161" s="33"/>
      <c r="IMO161" s="33"/>
      <c r="IMP161" s="33"/>
      <c r="IMQ161" s="33"/>
      <c r="IMR161" s="33"/>
      <c r="IMS161" s="33"/>
      <c r="IMT161" s="33"/>
      <c r="IMU161" s="33"/>
      <c r="IMV161" s="33"/>
      <c r="IMW161" s="33"/>
      <c r="IMX161" s="33"/>
      <c r="IMY161" s="33"/>
      <c r="IMZ161" s="33"/>
      <c r="INA161" s="33"/>
      <c r="INB161" s="33"/>
      <c r="INC161" s="33"/>
      <c r="IND161" s="33"/>
      <c r="INE161" s="33"/>
      <c r="INF161" s="33"/>
      <c r="ING161" s="33"/>
      <c r="INH161" s="33"/>
      <c r="INI161" s="33"/>
      <c r="INJ161" s="33"/>
      <c r="INK161" s="33"/>
      <c r="INL161" s="33"/>
      <c r="INM161" s="33"/>
      <c r="INN161" s="33"/>
      <c r="INO161" s="33"/>
      <c r="INP161" s="33"/>
      <c r="INQ161" s="33"/>
      <c r="INR161" s="33"/>
      <c r="INS161" s="33"/>
      <c r="INT161" s="33"/>
      <c r="INU161" s="33"/>
      <c r="INV161" s="33"/>
      <c r="INW161" s="33"/>
      <c r="INX161" s="33"/>
      <c r="INY161" s="33"/>
      <c r="INZ161" s="33"/>
      <c r="IOA161" s="33"/>
      <c r="IOB161" s="33"/>
      <c r="IOC161" s="33"/>
      <c r="IOD161" s="33"/>
      <c r="IOE161" s="33"/>
      <c r="IOF161" s="33"/>
      <c r="IOG161" s="33"/>
      <c r="IOH161" s="33"/>
      <c r="IOI161" s="33"/>
      <c r="IOJ161" s="33"/>
      <c r="IOK161" s="33"/>
      <c r="IOL161" s="33"/>
      <c r="IOM161" s="33"/>
      <c r="ION161" s="33"/>
      <c r="IOO161" s="33"/>
      <c r="IOP161" s="33"/>
      <c r="IOQ161" s="33"/>
      <c r="IOR161" s="33"/>
      <c r="IOS161" s="33"/>
      <c r="IOT161" s="33"/>
      <c r="IOU161" s="33"/>
      <c r="IOV161" s="33"/>
      <c r="IOW161" s="33"/>
      <c r="IOX161" s="33"/>
      <c r="IOY161" s="33"/>
      <c r="IOZ161" s="33"/>
      <c r="IPA161" s="33"/>
      <c r="IPB161" s="33"/>
      <c r="IPC161" s="33"/>
      <c r="IPD161" s="33"/>
      <c r="IPE161" s="33"/>
      <c r="IPF161" s="33"/>
      <c r="IPG161" s="33"/>
      <c r="IPH161" s="33"/>
      <c r="IPI161" s="33"/>
      <c r="IPJ161" s="33"/>
      <c r="IPK161" s="33"/>
      <c r="IPL161" s="33"/>
      <c r="IPM161" s="33"/>
      <c r="IPN161" s="33"/>
      <c r="IPO161" s="33"/>
      <c r="IPP161" s="33"/>
      <c r="IPQ161" s="33"/>
      <c r="IPR161" s="33"/>
      <c r="IPS161" s="33"/>
      <c r="IPT161" s="33"/>
      <c r="IPU161" s="33"/>
      <c r="IPV161" s="33"/>
      <c r="IPW161" s="33"/>
      <c r="IPX161" s="33"/>
      <c r="IPY161" s="33"/>
      <c r="IPZ161" s="33"/>
      <c r="IQA161" s="33"/>
      <c r="IQB161" s="33"/>
      <c r="IQC161" s="33"/>
      <c r="IQD161" s="33"/>
      <c r="IQE161" s="33"/>
      <c r="IQF161" s="33"/>
      <c r="IQG161" s="33"/>
      <c r="IQH161" s="33"/>
      <c r="IQI161" s="33"/>
      <c r="IQJ161" s="33"/>
      <c r="IQK161" s="33"/>
      <c r="IQL161" s="33"/>
      <c r="IQM161" s="33"/>
      <c r="IQN161" s="33"/>
      <c r="IQO161" s="33"/>
      <c r="IQP161" s="33"/>
      <c r="IQQ161" s="33"/>
      <c r="IQR161" s="33"/>
      <c r="IQS161" s="33"/>
      <c r="IQT161" s="33"/>
      <c r="IQU161" s="33"/>
      <c r="IQV161" s="33"/>
      <c r="IQW161" s="33"/>
      <c r="IQX161" s="33"/>
      <c r="IQY161" s="33"/>
      <c r="IQZ161" s="33"/>
      <c r="IRA161" s="33"/>
      <c r="IRB161" s="33"/>
      <c r="IRC161" s="33"/>
      <c r="IRD161" s="33"/>
      <c r="IRE161" s="33"/>
      <c r="IRF161" s="33"/>
      <c r="IRG161" s="33"/>
      <c r="IRH161" s="33"/>
      <c r="IRI161" s="33"/>
      <c r="IRJ161" s="33"/>
      <c r="IRK161" s="33"/>
      <c r="IRL161" s="33"/>
      <c r="IRM161" s="33"/>
      <c r="IRN161" s="33"/>
      <c r="IRO161" s="33"/>
      <c r="IRP161" s="33"/>
      <c r="IRQ161" s="33"/>
      <c r="IRR161" s="33"/>
      <c r="IRS161" s="33"/>
      <c r="IRT161" s="33"/>
      <c r="IRU161" s="33"/>
      <c r="IRV161" s="33"/>
      <c r="IRW161" s="33"/>
      <c r="IRX161" s="33"/>
      <c r="IRY161" s="33"/>
      <c r="IRZ161" s="33"/>
      <c r="ISA161" s="33"/>
      <c r="ISB161" s="33"/>
      <c r="ISC161" s="33"/>
      <c r="ISD161" s="33"/>
      <c r="ISE161" s="33"/>
      <c r="ISF161" s="33"/>
      <c r="ISG161" s="33"/>
      <c r="ISH161" s="33"/>
      <c r="ISI161" s="33"/>
      <c r="ISJ161" s="33"/>
      <c r="ISK161" s="33"/>
      <c r="ISL161" s="33"/>
      <c r="ISM161" s="33"/>
      <c r="ISN161" s="33"/>
      <c r="ISO161" s="33"/>
      <c r="ISP161" s="33"/>
      <c r="ISQ161" s="33"/>
      <c r="ISR161" s="33"/>
      <c r="ISS161" s="33"/>
      <c r="IST161" s="33"/>
      <c r="ISU161" s="33"/>
      <c r="ISV161" s="33"/>
      <c r="ISW161" s="33"/>
      <c r="ISX161" s="33"/>
      <c r="ISY161" s="33"/>
      <c r="ISZ161" s="33"/>
      <c r="ITA161" s="33"/>
      <c r="ITB161" s="33"/>
      <c r="ITC161" s="33"/>
      <c r="ITD161" s="33"/>
      <c r="ITE161" s="33"/>
      <c r="ITF161" s="33"/>
      <c r="ITG161" s="33"/>
      <c r="ITH161" s="33"/>
      <c r="ITI161" s="33"/>
      <c r="ITJ161" s="33"/>
      <c r="ITK161" s="33"/>
      <c r="ITL161" s="33"/>
      <c r="ITM161" s="33"/>
      <c r="ITN161" s="33"/>
      <c r="ITO161" s="33"/>
      <c r="ITP161" s="33"/>
      <c r="ITQ161" s="33"/>
      <c r="ITR161" s="33"/>
      <c r="ITS161" s="33"/>
      <c r="ITT161" s="33"/>
      <c r="ITU161" s="33"/>
      <c r="ITV161" s="33"/>
      <c r="ITW161" s="33"/>
      <c r="ITX161" s="33"/>
      <c r="ITY161" s="33"/>
      <c r="ITZ161" s="33"/>
      <c r="IUA161" s="33"/>
      <c r="IUB161" s="33"/>
      <c r="IUC161" s="33"/>
      <c r="IUD161" s="33"/>
      <c r="IUE161" s="33"/>
      <c r="IUF161" s="33"/>
      <c r="IUG161" s="33"/>
      <c r="IUH161" s="33"/>
      <c r="IUI161" s="33"/>
      <c r="IUJ161" s="33"/>
      <c r="IUK161" s="33"/>
      <c r="IUL161" s="33"/>
      <c r="IUM161" s="33"/>
      <c r="IUN161" s="33"/>
      <c r="IUO161" s="33"/>
      <c r="IUP161" s="33"/>
      <c r="IUQ161" s="33"/>
      <c r="IUR161" s="33"/>
      <c r="IUS161" s="33"/>
      <c r="IUT161" s="33"/>
      <c r="IUU161" s="33"/>
      <c r="IUV161" s="33"/>
      <c r="IUW161" s="33"/>
      <c r="IUX161" s="33"/>
      <c r="IUY161" s="33"/>
      <c r="IUZ161" s="33"/>
      <c r="IVA161" s="33"/>
      <c r="IVB161" s="33"/>
      <c r="IVC161" s="33"/>
      <c r="IVD161" s="33"/>
      <c r="IVE161" s="33"/>
      <c r="IVF161" s="33"/>
      <c r="IVG161" s="33"/>
      <c r="IVH161" s="33"/>
      <c r="IVI161" s="33"/>
      <c r="IVJ161" s="33"/>
      <c r="IVK161" s="33"/>
      <c r="IVL161" s="33"/>
      <c r="IVM161" s="33"/>
      <c r="IVN161" s="33"/>
      <c r="IVO161" s="33"/>
      <c r="IVP161" s="33"/>
      <c r="IVQ161" s="33"/>
      <c r="IVR161" s="33"/>
      <c r="IVS161" s="33"/>
      <c r="IVT161" s="33"/>
      <c r="IVU161" s="33"/>
      <c r="IVV161" s="33"/>
      <c r="IVW161" s="33"/>
      <c r="IVX161" s="33"/>
      <c r="IVY161" s="33"/>
      <c r="IVZ161" s="33"/>
      <c r="IWA161" s="33"/>
      <c r="IWB161" s="33"/>
      <c r="IWC161" s="33"/>
      <c r="IWD161" s="33"/>
      <c r="IWE161" s="33"/>
      <c r="IWF161" s="33"/>
      <c r="IWG161" s="33"/>
      <c r="IWH161" s="33"/>
      <c r="IWI161" s="33"/>
      <c r="IWJ161" s="33"/>
      <c r="IWK161" s="33"/>
      <c r="IWL161" s="33"/>
      <c r="IWM161" s="33"/>
      <c r="IWN161" s="33"/>
      <c r="IWO161" s="33"/>
      <c r="IWP161" s="33"/>
      <c r="IWQ161" s="33"/>
      <c r="IWR161" s="33"/>
      <c r="IWS161" s="33"/>
      <c r="IWT161" s="33"/>
      <c r="IWU161" s="33"/>
      <c r="IWV161" s="33"/>
      <c r="IWW161" s="33"/>
      <c r="IWX161" s="33"/>
      <c r="IWY161" s="33"/>
      <c r="IWZ161" s="33"/>
      <c r="IXA161" s="33"/>
      <c r="IXB161" s="33"/>
      <c r="IXC161" s="33"/>
      <c r="IXD161" s="33"/>
      <c r="IXE161" s="33"/>
      <c r="IXF161" s="33"/>
      <c r="IXG161" s="33"/>
      <c r="IXH161" s="33"/>
      <c r="IXI161" s="33"/>
      <c r="IXJ161" s="33"/>
      <c r="IXK161" s="33"/>
      <c r="IXL161" s="33"/>
      <c r="IXM161" s="33"/>
      <c r="IXN161" s="33"/>
      <c r="IXO161" s="33"/>
      <c r="IXP161" s="33"/>
      <c r="IXQ161" s="33"/>
      <c r="IXR161" s="33"/>
      <c r="IXS161" s="33"/>
      <c r="IXT161" s="33"/>
      <c r="IXU161" s="33"/>
      <c r="IXV161" s="33"/>
      <c r="IXW161" s="33"/>
      <c r="IXX161" s="33"/>
      <c r="IXY161" s="33"/>
      <c r="IXZ161" s="33"/>
      <c r="IYA161" s="33"/>
      <c r="IYB161" s="33"/>
      <c r="IYC161" s="33"/>
      <c r="IYD161" s="33"/>
      <c r="IYE161" s="33"/>
      <c r="IYF161" s="33"/>
      <c r="IYG161" s="33"/>
      <c r="IYH161" s="33"/>
      <c r="IYI161" s="33"/>
      <c r="IYJ161" s="33"/>
      <c r="IYK161" s="33"/>
      <c r="IYL161" s="33"/>
      <c r="IYM161" s="33"/>
      <c r="IYN161" s="33"/>
      <c r="IYO161" s="33"/>
      <c r="IYP161" s="33"/>
      <c r="IYQ161" s="33"/>
      <c r="IYR161" s="33"/>
      <c r="IYS161" s="33"/>
      <c r="IYT161" s="33"/>
      <c r="IYU161" s="33"/>
      <c r="IYV161" s="33"/>
      <c r="IYW161" s="33"/>
      <c r="IYX161" s="33"/>
      <c r="IYY161" s="33"/>
      <c r="IYZ161" s="33"/>
      <c r="IZA161" s="33"/>
      <c r="IZB161" s="33"/>
      <c r="IZC161" s="33"/>
      <c r="IZD161" s="33"/>
      <c r="IZE161" s="33"/>
      <c r="IZF161" s="33"/>
      <c r="IZG161" s="33"/>
      <c r="IZH161" s="33"/>
      <c r="IZI161" s="33"/>
      <c r="IZJ161" s="33"/>
      <c r="IZK161" s="33"/>
      <c r="IZL161" s="33"/>
      <c r="IZM161" s="33"/>
      <c r="IZN161" s="33"/>
      <c r="IZO161" s="33"/>
      <c r="IZP161" s="33"/>
      <c r="IZQ161" s="33"/>
      <c r="IZR161" s="33"/>
      <c r="IZS161" s="33"/>
      <c r="IZT161" s="33"/>
      <c r="IZU161" s="33"/>
      <c r="IZV161" s="33"/>
      <c r="IZW161" s="33"/>
      <c r="IZX161" s="33"/>
      <c r="IZY161" s="33"/>
      <c r="IZZ161" s="33"/>
      <c r="JAA161" s="33"/>
      <c r="JAB161" s="33"/>
      <c r="JAC161" s="33"/>
      <c r="JAD161" s="33"/>
      <c r="JAE161" s="33"/>
      <c r="JAF161" s="33"/>
      <c r="JAG161" s="33"/>
      <c r="JAH161" s="33"/>
      <c r="JAI161" s="33"/>
      <c r="JAJ161" s="33"/>
      <c r="JAK161" s="33"/>
      <c r="JAL161" s="33"/>
      <c r="JAM161" s="33"/>
      <c r="JAN161" s="33"/>
      <c r="JAO161" s="33"/>
      <c r="JAP161" s="33"/>
      <c r="JAQ161" s="33"/>
      <c r="JAR161" s="33"/>
      <c r="JAS161" s="33"/>
      <c r="JAT161" s="33"/>
      <c r="JAU161" s="33"/>
      <c r="JAV161" s="33"/>
      <c r="JAW161" s="33"/>
      <c r="JAX161" s="33"/>
      <c r="JAY161" s="33"/>
      <c r="JAZ161" s="33"/>
      <c r="JBA161" s="33"/>
      <c r="JBB161" s="33"/>
      <c r="JBC161" s="33"/>
      <c r="JBD161" s="33"/>
      <c r="JBE161" s="33"/>
      <c r="JBF161" s="33"/>
      <c r="JBG161" s="33"/>
      <c r="JBH161" s="33"/>
      <c r="JBI161" s="33"/>
      <c r="JBJ161" s="33"/>
      <c r="JBK161" s="33"/>
      <c r="JBL161" s="33"/>
      <c r="JBM161" s="33"/>
      <c r="JBN161" s="33"/>
      <c r="JBO161" s="33"/>
      <c r="JBP161" s="33"/>
      <c r="JBQ161" s="33"/>
      <c r="JBR161" s="33"/>
      <c r="JBS161" s="33"/>
      <c r="JBT161" s="33"/>
      <c r="JBU161" s="33"/>
      <c r="JBV161" s="33"/>
      <c r="JBW161" s="33"/>
      <c r="JBX161" s="33"/>
      <c r="JBY161" s="33"/>
      <c r="JBZ161" s="33"/>
      <c r="JCA161" s="33"/>
      <c r="JCB161" s="33"/>
      <c r="JCC161" s="33"/>
      <c r="JCD161" s="33"/>
      <c r="JCE161" s="33"/>
      <c r="JCF161" s="33"/>
      <c r="JCG161" s="33"/>
      <c r="JCH161" s="33"/>
      <c r="JCI161" s="33"/>
      <c r="JCJ161" s="33"/>
      <c r="JCK161" s="33"/>
      <c r="JCL161" s="33"/>
      <c r="JCM161" s="33"/>
      <c r="JCN161" s="33"/>
      <c r="JCO161" s="33"/>
      <c r="JCP161" s="33"/>
      <c r="JCQ161" s="33"/>
      <c r="JCR161" s="33"/>
      <c r="JCS161" s="33"/>
      <c r="JCT161" s="33"/>
      <c r="JCU161" s="33"/>
      <c r="JCV161" s="33"/>
      <c r="JCW161" s="33"/>
      <c r="JCX161" s="33"/>
      <c r="JCY161" s="33"/>
      <c r="JCZ161" s="33"/>
      <c r="JDA161" s="33"/>
      <c r="JDB161" s="33"/>
      <c r="JDC161" s="33"/>
      <c r="JDD161" s="33"/>
      <c r="JDE161" s="33"/>
      <c r="JDF161" s="33"/>
      <c r="JDG161" s="33"/>
      <c r="JDH161" s="33"/>
      <c r="JDI161" s="33"/>
      <c r="JDJ161" s="33"/>
      <c r="JDK161" s="33"/>
      <c r="JDL161" s="33"/>
      <c r="JDM161" s="33"/>
      <c r="JDN161" s="33"/>
      <c r="JDO161" s="33"/>
      <c r="JDP161" s="33"/>
      <c r="JDQ161" s="33"/>
      <c r="JDR161" s="33"/>
      <c r="JDS161" s="33"/>
      <c r="JDT161" s="33"/>
      <c r="JDU161" s="33"/>
      <c r="JDV161" s="33"/>
      <c r="JDW161" s="33"/>
      <c r="JDX161" s="33"/>
      <c r="JDY161" s="33"/>
      <c r="JDZ161" s="33"/>
      <c r="JEA161" s="33"/>
      <c r="JEB161" s="33"/>
      <c r="JEC161" s="33"/>
      <c r="JED161" s="33"/>
      <c r="JEE161" s="33"/>
      <c r="JEF161" s="33"/>
      <c r="JEG161" s="33"/>
      <c r="JEH161" s="33"/>
      <c r="JEI161" s="33"/>
      <c r="JEJ161" s="33"/>
      <c r="JEK161" s="33"/>
      <c r="JEL161" s="33"/>
      <c r="JEM161" s="33"/>
      <c r="JEN161" s="33"/>
      <c r="JEO161" s="33"/>
      <c r="JEP161" s="33"/>
      <c r="JEQ161" s="33"/>
      <c r="JER161" s="33"/>
      <c r="JES161" s="33"/>
      <c r="JET161" s="33"/>
      <c r="JEU161" s="33"/>
      <c r="JEV161" s="33"/>
      <c r="JEW161" s="33"/>
      <c r="JEX161" s="33"/>
      <c r="JEY161" s="33"/>
      <c r="JEZ161" s="33"/>
      <c r="JFA161" s="33"/>
      <c r="JFB161" s="33"/>
      <c r="JFC161" s="33"/>
      <c r="JFD161" s="33"/>
      <c r="JFE161" s="33"/>
      <c r="JFF161" s="33"/>
      <c r="JFG161" s="33"/>
      <c r="JFH161" s="33"/>
      <c r="JFI161" s="33"/>
      <c r="JFJ161" s="33"/>
      <c r="JFK161" s="33"/>
      <c r="JFL161" s="33"/>
      <c r="JFM161" s="33"/>
      <c r="JFN161" s="33"/>
      <c r="JFO161" s="33"/>
      <c r="JFP161" s="33"/>
      <c r="JFQ161" s="33"/>
      <c r="JFR161" s="33"/>
      <c r="JFS161" s="33"/>
      <c r="JFT161" s="33"/>
      <c r="JFU161" s="33"/>
      <c r="JFV161" s="33"/>
      <c r="JFW161" s="33"/>
      <c r="JFX161" s="33"/>
      <c r="JFY161" s="33"/>
      <c r="JFZ161" s="33"/>
      <c r="JGA161" s="33"/>
      <c r="JGB161" s="33"/>
      <c r="JGC161" s="33"/>
      <c r="JGD161" s="33"/>
      <c r="JGE161" s="33"/>
      <c r="JGF161" s="33"/>
      <c r="JGG161" s="33"/>
      <c r="JGH161" s="33"/>
      <c r="JGI161" s="33"/>
      <c r="JGJ161" s="33"/>
      <c r="JGK161" s="33"/>
      <c r="JGL161" s="33"/>
      <c r="JGM161" s="33"/>
      <c r="JGN161" s="33"/>
      <c r="JGO161" s="33"/>
      <c r="JGP161" s="33"/>
      <c r="JGQ161" s="33"/>
      <c r="JGR161" s="33"/>
      <c r="JGS161" s="33"/>
      <c r="JGT161" s="33"/>
      <c r="JGU161" s="33"/>
      <c r="JGV161" s="33"/>
      <c r="JGW161" s="33"/>
      <c r="JGX161" s="33"/>
      <c r="JGY161" s="33"/>
      <c r="JGZ161" s="33"/>
      <c r="JHA161" s="33"/>
      <c r="JHB161" s="33"/>
      <c r="JHC161" s="33"/>
      <c r="JHD161" s="33"/>
      <c r="JHE161" s="33"/>
      <c r="JHF161" s="33"/>
      <c r="JHG161" s="33"/>
      <c r="JHH161" s="33"/>
      <c r="JHI161" s="33"/>
      <c r="JHJ161" s="33"/>
      <c r="JHK161" s="33"/>
      <c r="JHL161" s="33"/>
      <c r="JHM161" s="33"/>
      <c r="JHN161" s="33"/>
      <c r="JHO161" s="33"/>
      <c r="JHP161" s="33"/>
      <c r="JHQ161" s="33"/>
      <c r="JHR161" s="33"/>
      <c r="JHS161" s="33"/>
      <c r="JHT161" s="33"/>
      <c r="JHU161" s="33"/>
      <c r="JHV161" s="33"/>
      <c r="JHW161" s="33"/>
      <c r="JHX161" s="33"/>
      <c r="JHY161" s="33"/>
      <c r="JHZ161" s="33"/>
      <c r="JIA161" s="33"/>
      <c r="JIB161" s="33"/>
      <c r="JIC161" s="33"/>
      <c r="JID161" s="33"/>
      <c r="JIE161" s="33"/>
      <c r="JIF161" s="33"/>
      <c r="JIG161" s="33"/>
      <c r="JIH161" s="33"/>
      <c r="JII161" s="33"/>
      <c r="JIJ161" s="33"/>
      <c r="JIK161" s="33"/>
      <c r="JIL161" s="33"/>
      <c r="JIM161" s="33"/>
      <c r="JIN161" s="33"/>
      <c r="JIO161" s="33"/>
      <c r="JIP161" s="33"/>
      <c r="JIQ161" s="33"/>
      <c r="JIR161" s="33"/>
      <c r="JIS161" s="33"/>
      <c r="JIT161" s="33"/>
      <c r="JIU161" s="33"/>
      <c r="JIV161" s="33"/>
      <c r="JIW161" s="33"/>
      <c r="JIX161" s="33"/>
      <c r="JIY161" s="33"/>
      <c r="JIZ161" s="33"/>
      <c r="JJA161" s="33"/>
      <c r="JJB161" s="33"/>
      <c r="JJC161" s="33"/>
      <c r="JJD161" s="33"/>
      <c r="JJE161" s="33"/>
      <c r="JJF161" s="33"/>
      <c r="JJG161" s="33"/>
      <c r="JJH161" s="33"/>
      <c r="JJI161" s="33"/>
      <c r="JJJ161" s="33"/>
      <c r="JJK161" s="33"/>
      <c r="JJL161" s="33"/>
      <c r="JJM161" s="33"/>
      <c r="JJN161" s="33"/>
      <c r="JJO161" s="33"/>
      <c r="JJP161" s="33"/>
      <c r="JJQ161" s="33"/>
      <c r="JJR161" s="33"/>
      <c r="JJS161" s="33"/>
      <c r="JJT161" s="33"/>
      <c r="JJU161" s="33"/>
      <c r="JJV161" s="33"/>
      <c r="JJW161" s="33"/>
      <c r="JJX161" s="33"/>
      <c r="JJY161" s="33"/>
      <c r="JJZ161" s="33"/>
      <c r="JKA161" s="33"/>
      <c r="JKB161" s="33"/>
      <c r="JKC161" s="33"/>
      <c r="JKD161" s="33"/>
      <c r="JKE161" s="33"/>
      <c r="JKF161" s="33"/>
      <c r="JKG161" s="33"/>
      <c r="JKH161" s="33"/>
      <c r="JKI161" s="33"/>
      <c r="JKJ161" s="33"/>
      <c r="JKK161" s="33"/>
      <c r="JKL161" s="33"/>
      <c r="JKM161" s="33"/>
      <c r="JKN161" s="33"/>
      <c r="JKO161" s="33"/>
      <c r="JKP161" s="33"/>
      <c r="JKQ161" s="33"/>
      <c r="JKR161" s="33"/>
      <c r="JKS161" s="33"/>
      <c r="JKT161" s="33"/>
      <c r="JKU161" s="33"/>
      <c r="JKV161" s="33"/>
      <c r="JKW161" s="33"/>
      <c r="JKX161" s="33"/>
      <c r="JKY161" s="33"/>
      <c r="JKZ161" s="33"/>
      <c r="JLA161" s="33"/>
      <c r="JLB161" s="33"/>
      <c r="JLC161" s="33"/>
      <c r="JLD161" s="33"/>
      <c r="JLE161" s="33"/>
      <c r="JLF161" s="33"/>
      <c r="JLG161" s="33"/>
      <c r="JLH161" s="33"/>
      <c r="JLI161" s="33"/>
      <c r="JLJ161" s="33"/>
      <c r="JLK161" s="33"/>
      <c r="JLL161" s="33"/>
      <c r="JLM161" s="33"/>
      <c r="JLN161" s="33"/>
      <c r="JLO161" s="33"/>
      <c r="JLP161" s="33"/>
      <c r="JLQ161" s="33"/>
      <c r="JLR161" s="33"/>
      <c r="JLS161" s="33"/>
      <c r="JLT161" s="33"/>
      <c r="JLU161" s="33"/>
      <c r="JLV161" s="33"/>
      <c r="JLW161" s="33"/>
      <c r="JLX161" s="33"/>
      <c r="JLY161" s="33"/>
      <c r="JLZ161" s="33"/>
      <c r="JMA161" s="33"/>
      <c r="JMB161" s="33"/>
      <c r="JMC161" s="33"/>
      <c r="JMD161" s="33"/>
      <c r="JME161" s="33"/>
      <c r="JMF161" s="33"/>
      <c r="JMG161" s="33"/>
      <c r="JMH161" s="33"/>
      <c r="JMI161" s="33"/>
      <c r="JMJ161" s="33"/>
      <c r="JMK161" s="33"/>
      <c r="JML161" s="33"/>
      <c r="JMM161" s="33"/>
      <c r="JMN161" s="33"/>
      <c r="JMO161" s="33"/>
      <c r="JMP161" s="33"/>
      <c r="JMQ161" s="33"/>
      <c r="JMR161" s="33"/>
      <c r="JMS161" s="33"/>
      <c r="JMT161" s="33"/>
      <c r="JMU161" s="33"/>
      <c r="JMV161" s="33"/>
      <c r="JMW161" s="33"/>
      <c r="JMX161" s="33"/>
      <c r="JMY161" s="33"/>
      <c r="JMZ161" s="33"/>
      <c r="JNA161" s="33"/>
      <c r="JNB161" s="33"/>
      <c r="JNC161" s="33"/>
      <c r="JND161" s="33"/>
      <c r="JNE161" s="33"/>
      <c r="JNF161" s="33"/>
      <c r="JNG161" s="33"/>
      <c r="JNH161" s="33"/>
      <c r="JNI161" s="33"/>
      <c r="JNJ161" s="33"/>
      <c r="JNK161" s="33"/>
      <c r="JNL161" s="33"/>
      <c r="JNM161" s="33"/>
      <c r="JNN161" s="33"/>
      <c r="JNO161" s="33"/>
      <c r="JNP161" s="33"/>
      <c r="JNQ161" s="33"/>
      <c r="JNR161" s="33"/>
      <c r="JNS161" s="33"/>
      <c r="JNT161" s="33"/>
      <c r="JNU161" s="33"/>
      <c r="JNV161" s="33"/>
      <c r="JNW161" s="33"/>
      <c r="JNX161" s="33"/>
      <c r="JNY161" s="33"/>
      <c r="JNZ161" s="33"/>
      <c r="JOA161" s="33"/>
      <c r="JOB161" s="33"/>
      <c r="JOC161" s="33"/>
      <c r="JOD161" s="33"/>
      <c r="JOE161" s="33"/>
      <c r="JOF161" s="33"/>
      <c r="JOG161" s="33"/>
      <c r="JOH161" s="33"/>
      <c r="JOI161" s="33"/>
      <c r="JOJ161" s="33"/>
      <c r="JOK161" s="33"/>
      <c r="JOL161" s="33"/>
      <c r="JOM161" s="33"/>
      <c r="JON161" s="33"/>
      <c r="JOO161" s="33"/>
      <c r="JOP161" s="33"/>
      <c r="JOQ161" s="33"/>
      <c r="JOR161" s="33"/>
      <c r="JOS161" s="33"/>
      <c r="JOT161" s="33"/>
      <c r="JOU161" s="33"/>
      <c r="JOV161" s="33"/>
      <c r="JOW161" s="33"/>
      <c r="JOX161" s="33"/>
      <c r="JOY161" s="33"/>
      <c r="JOZ161" s="33"/>
      <c r="JPA161" s="33"/>
      <c r="JPB161" s="33"/>
      <c r="JPC161" s="33"/>
      <c r="JPD161" s="33"/>
      <c r="JPE161" s="33"/>
      <c r="JPF161" s="33"/>
      <c r="JPG161" s="33"/>
      <c r="JPH161" s="33"/>
      <c r="JPI161" s="33"/>
      <c r="JPJ161" s="33"/>
      <c r="JPK161" s="33"/>
      <c r="JPL161" s="33"/>
      <c r="JPM161" s="33"/>
      <c r="JPN161" s="33"/>
      <c r="JPO161" s="33"/>
      <c r="JPP161" s="33"/>
      <c r="JPQ161" s="33"/>
      <c r="JPR161" s="33"/>
      <c r="JPS161" s="33"/>
      <c r="JPT161" s="33"/>
      <c r="JPU161" s="33"/>
      <c r="JPV161" s="33"/>
      <c r="JPW161" s="33"/>
      <c r="JPX161" s="33"/>
      <c r="JPY161" s="33"/>
      <c r="JPZ161" s="33"/>
      <c r="JQA161" s="33"/>
      <c r="JQB161" s="33"/>
      <c r="JQC161" s="33"/>
      <c r="JQD161" s="33"/>
      <c r="JQE161" s="33"/>
      <c r="JQF161" s="33"/>
      <c r="JQG161" s="33"/>
      <c r="JQH161" s="33"/>
      <c r="JQI161" s="33"/>
      <c r="JQJ161" s="33"/>
      <c r="JQK161" s="33"/>
      <c r="JQL161" s="33"/>
      <c r="JQM161" s="33"/>
      <c r="JQN161" s="33"/>
      <c r="JQO161" s="33"/>
      <c r="JQP161" s="33"/>
      <c r="JQQ161" s="33"/>
      <c r="JQR161" s="33"/>
      <c r="JQS161" s="33"/>
      <c r="JQT161" s="33"/>
      <c r="JQU161" s="33"/>
      <c r="JQV161" s="33"/>
      <c r="JQW161" s="33"/>
      <c r="JQX161" s="33"/>
      <c r="JQY161" s="33"/>
      <c r="JQZ161" s="33"/>
      <c r="JRA161" s="33"/>
      <c r="JRB161" s="33"/>
      <c r="JRC161" s="33"/>
      <c r="JRD161" s="33"/>
      <c r="JRE161" s="33"/>
      <c r="JRF161" s="33"/>
      <c r="JRG161" s="33"/>
      <c r="JRH161" s="33"/>
      <c r="JRI161" s="33"/>
      <c r="JRJ161" s="33"/>
      <c r="JRK161" s="33"/>
      <c r="JRL161" s="33"/>
      <c r="JRM161" s="33"/>
      <c r="JRN161" s="33"/>
      <c r="JRO161" s="33"/>
      <c r="JRP161" s="33"/>
      <c r="JRQ161" s="33"/>
      <c r="JRR161" s="33"/>
      <c r="JRS161" s="33"/>
      <c r="JRT161" s="33"/>
      <c r="JRU161" s="33"/>
      <c r="JRV161" s="33"/>
      <c r="JRW161" s="33"/>
      <c r="JRX161" s="33"/>
      <c r="JRY161" s="33"/>
      <c r="JRZ161" s="33"/>
      <c r="JSA161" s="33"/>
      <c r="JSB161" s="33"/>
      <c r="JSC161" s="33"/>
      <c r="JSD161" s="33"/>
      <c r="JSE161" s="33"/>
      <c r="JSF161" s="33"/>
      <c r="JSG161" s="33"/>
      <c r="JSH161" s="33"/>
      <c r="JSI161" s="33"/>
      <c r="JSJ161" s="33"/>
      <c r="JSK161" s="33"/>
      <c r="JSL161" s="33"/>
      <c r="JSM161" s="33"/>
      <c r="JSN161" s="33"/>
      <c r="JSO161" s="33"/>
      <c r="JSP161" s="33"/>
      <c r="JSQ161" s="33"/>
      <c r="JSR161" s="33"/>
      <c r="JSS161" s="33"/>
      <c r="JST161" s="33"/>
      <c r="JSU161" s="33"/>
      <c r="JSV161" s="33"/>
      <c r="JSW161" s="33"/>
      <c r="JSX161" s="33"/>
      <c r="JSY161" s="33"/>
      <c r="JSZ161" s="33"/>
      <c r="JTA161" s="33"/>
      <c r="JTB161" s="33"/>
      <c r="JTC161" s="33"/>
      <c r="JTD161" s="33"/>
      <c r="JTE161" s="33"/>
      <c r="JTF161" s="33"/>
      <c r="JTG161" s="33"/>
      <c r="JTH161" s="33"/>
      <c r="JTI161" s="33"/>
      <c r="JTJ161" s="33"/>
      <c r="JTK161" s="33"/>
      <c r="JTL161" s="33"/>
      <c r="JTM161" s="33"/>
      <c r="JTN161" s="33"/>
      <c r="JTO161" s="33"/>
      <c r="JTP161" s="33"/>
      <c r="JTQ161" s="33"/>
      <c r="JTR161" s="33"/>
      <c r="JTS161" s="33"/>
      <c r="JTT161" s="33"/>
      <c r="JTU161" s="33"/>
      <c r="JTV161" s="33"/>
      <c r="JTW161" s="33"/>
      <c r="JTX161" s="33"/>
      <c r="JTY161" s="33"/>
      <c r="JTZ161" s="33"/>
      <c r="JUA161" s="33"/>
      <c r="JUB161" s="33"/>
      <c r="JUC161" s="33"/>
      <c r="JUD161" s="33"/>
      <c r="JUE161" s="33"/>
      <c r="JUF161" s="33"/>
      <c r="JUG161" s="33"/>
      <c r="JUH161" s="33"/>
      <c r="JUI161" s="33"/>
      <c r="JUJ161" s="33"/>
      <c r="JUK161" s="33"/>
      <c r="JUL161" s="33"/>
      <c r="JUM161" s="33"/>
      <c r="JUN161" s="33"/>
      <c r="JUO161" s="33"/>
      <c r="JUP161" s="33"/>
      <c r="JUQ161" s="33"/>
      <c r="JUR161" s="33"/>
      <c r="JUS161" s="33"/>
      <c r="JUT161" s="33"/>
      <c r="JUU161" s="33"/>
      <c r="JUV161" s="33"/>
      <c r="JUW161" s="33"/>
      <c r="JUX161" s="33"/>
      <c r="JUY161" s="33"/>
      <c r="JUZ161" s="33"/>
      <c r="JVA161" s="33"/>
      <c r="JVB161" s="33"/>
      <c r="JVC161" s="33"/>
      <c r="JVD161" s="33"/>
      <c r="JVE161" s="33"/>
      <c r="JVF161" s="33"/>
      <c r="JVG161" s="33"/>
      <c r="JVH161" s="33"/>
      <c r="JVI161" s="33"/>
      <c r="JVJ161" s="33"/>
      <c r="JVK161" s="33"/>
      <c r="JVL161" s="33"/>
      <c r="JVM161" s="33"/>
      <c r="JVN161" s="33"/>
      <c r="JVO161" s="33"/>
      <c r="JVP161" s="33"/>
      <c r="JVQ161" s="33"/>
      <c r="JVR161" s="33"/>
      <c r="JVS161" s="33"/>
      <c r="JVT161" s="33"/>
      <c r="JVU161" s="33"/>
      <c r="JVV161" s="33"/>
      <c r="JVW161" s="33"/>
      <c r="JVX161" s="33"/>
      <c r="JVY161" s="33"/>
      <c r="JVZ161" s="33"/>
      <c r="JWA161" s="33"/>
      <c r="JWB161" s="33"/>
      <c r="JWC161" s="33"/>
      <c r="JWD161" s="33"/>
      <c r="JWE161" s="33"/>
      <c r="JWF161" s="33"/>
      <c r="JWG161" s="33"/>
      <c r="JWH161" s="33"/>
      <c r="JWI161" s="33"/>
      <c r="JWJ161" s="33"/>
      <c r="JWK161" s="33"/>
      <c r="JWL161" s="33"/>
      <c r="JWM161" s="33"/>
      <c r="JWN161" s="33"/>
      <c r="JWO161" s="33"/>
      <c r="JWP161" s="33"/>
      <c r="JWQ161" s="33"/>
      <c r="JWR161" s="33"/>
      <c r="JWS161" s="33"/>
      <c r="JWT161" s="33"/>
      <c r="JWU161" s="33"/>
      <c r="JWV161" s="33"/>
      <c r="JWW161" s="33"/>
      <c r="JWX161" s="33"/>
      <c r="JWY161" s="33"/>
      <c r="JWZ161" s="33"/>
      <c r="JXA161" s="33"/>
      <c r="JXB161" s="33"/>
      <c r="JXC161" s="33"/>
      <c r="JXD161" s="33"/>
      <c r="JXE161" s="33"/>
      <c r="JXF161" s="33"/>
      <c r="JXG161" s="33"/>
      <c r="JXH161" s="33"/>
      <c r="JXI161" s="33"/>
      <c r="JXJ161" s="33"/>
      <c r="JXK161" s="33"/>
      <c r="JXL161" s="33"/>
      <c r="JXM161" s="33"/>
      <c r="JXN161" s="33"/>
      <c r="JXO161" s="33"/>
      <c r="JXP161" s="33"/>
      <c r="JXQ161" s="33"/>
      <c r="JXR161" s="33"/>
      <c r="JXS161" s="33"/>
      <c r="JXT161" s="33"/>
      <c r="JXU161" s="33"/>
      <c r="JXV161" s="33"/>
      <c r="JXW161" s="33"/>
      <c r="JXX161" s="33"/>
      <c r="JXY161" s="33"/>
      <c r="JXZ161" s="33"/>
      <c r="JYA161" s="33"/>
      <c r="JYB161" s="33"/>
      <c r="JYC161" s="33"/>
      <c r="JYD161" s="33"/>
      <c r="JYE161" s="33"/>
      <c r="JYF161" s="33"/>
      <c r="JYG161" s="33"/>
      <c r="JYH161" s="33"/>
      <c r="JYI161" s="33"/>
      <c r="JYJ161" s="33"/>
      <c r="JYK161" s="33"/>
      <c r="JYL161" s="33"/>
      <c r="JYM161" s="33"/>
      <c r="JYN161" s="33"/>
      <c r="JYO161" s="33"/>
      <c r="JYP161" s="33"/>
      <c r="JYQ161" s="33"/>
      <c r="JYR161" s="33"/>
      <c r="JYS161" s="33"/>
      <c r="JYT161" s="33"/>
      <c r="JYU161" s="33"/>
      <c r="JYV161" s="33"/>
      <c r="JYW161" s="33"/>
      <c r="JYX161" s="33"/>
      <c r="JYY161" s="33"/>
      <c r="JYZ161" s="33"/>
      <c r="JZA161" s="33"/>
      <c r="JZB161" s="33"/>
      <c r="JZC161" s="33"/>
      <c r="JZD161" s="33"/>
      <c r="JZE161" s="33"/>
      <c r="JZF161" s="33"/>
      <c r="JZG161" s="33"/>
      <c r="JZH161" s="33"/>
      <c r="JZI161" s="33"/>
      <c r="JZJ161" s="33"/>
      <c r="JZK161" s="33"/>
      <c r="JZL161" s="33"/>
      <c r="JZM161" s="33"/>
      <c r="JZN161" s="33"/>
      <c r="JZO161" s="33"/>
      <c r="JZP161" s="33"/>
      <c r="JZQ161" s="33"/>
      <c r="JZR161" s="33"/>
      <c r="JZS161" s="33"/>
      <c r="JZT161" s="33"/>
      <c r="JZU161" s="33"/>
      <c r="JZV161" s="33"/>
      <c r="JZW161" s="33"/>
      <c r="JZX161" s="33"/>
      <c r="JZY161" s="33"/>
      <c r="JZZ161" s="33"/>
      <c r="KAA161" s="33"/>
      <c r="KAB161" s="33"/>
      <c r="KAC161" s="33"/>
      <c r="KAD161" s="33"/>
      <c r="KAE161" s="33"/>
      <c r="KAF161" s="33"/>
      <c r="KAG161" s="33"/>
      <c r="KAH161" s="33"/>
      <c r="KAI161" s="33"/>
      <c r="KAJ161" s="33"/>
      <c r="KAK161" s="33"/>
      <c r="KAL161" s="33"/>
      <c r="KAM161" s="33"/>
      <c r="KAN161" s="33"/>
      <c r="KAO161" s="33"/>
      <c r="KAP161" s="33"/>
      <c r="KAQ161" s="33"/>
      <c r="KAR161" s="33"/>
      <c r="KAS161" s="33"/>
      <c r="KAT161" s="33"/>
      <c r="KAU161" s="33"/>
      <c r="KAV161" s="33"/>
      <c r="KAW161" s="33"/>
      <c r="KAX161" s="33"/>
      <c r="KAY161" s="33"/>
      <c r="KAZ161" s="33"/>
      <c r="KBA161" s="33"/>
      <c r="KBB161" s="33"/>
      <c r="KBC161" s="33"/>
      <c r="KBD161" s="33"/>
      <c r="KBE161" s="33"/>
      <c r="KBF161" s="33"/>
      <c r="KBG161" s="33"/>
      <c r="KBH161" s="33"/>
      <c r="KBI161" s="33"/>
      <c r="KBJ161" s="33"/>
      <c r="KBK161" s="33"/>
      <c r="KBL161" s="33"/>
      <c r="KBM161" s="33"/>
      <c r="KBN161" s="33"/>
      <c r="KBO161" s="33"/>
      <c r="KBP161" s="33"/>
      <c r="KBQ161" s="33"/>
      <c r="KBR161" s="33"/>
      <c r="KBS161" s="33"/>
      <c r="KBT161" s="33"/>
      <c r="KBU161" s="33"/>
      <c r="KBV161" s="33"/>
      <c r="KBW161" s="33"/>
      <c r="KBX161" s="33"/>
      <c r="KBY161" s="33"/>
      <c r="KBZ161" s="33"/>
      <c r="KCA161" s="33"/>
      <c r="KCB161" s="33"/>
      <c r="KCC161" s="33"/>
      <c r="KCD161" s="33"/>
      <c r="KCE161" s="33"/>
      <c r="KCF161" s="33"/>
      <c r="KCG161" s="33"/>
      <c r="KCH161" s="33"/>
      <c r="KCI161" s="33"/>
      <c r="KCJ161" s="33"/>
      <c r="KCK161" s="33"/>
      <c r="KCL161" s="33"/>
      <c r="KCM161" s="33"/>
      <c r="KCN161" s="33"/>
      <c r="KCO161" s="33"/>
      <c r="KCP161" s="33"/>
      <c r="KCQ161" s="33"/>
      <c r="KCR161" s="33"/>
      <c r="KCS161" s="33"/>
      <c r="KCT161" s="33"/>
      <c r="KCU161" s="33"/>
      <c r="KCV161" s="33"/>
      <c r="KCW161" s="33"/>
      <c r="KCX161" s="33"/>
      <c r="KCY161" s="33"/>
      <c r="KCZ161" s="33"/>
      <c r="KDA161" s="33"/>
      <c r="KDB161" s="33"/>
      <c r="KDC161" s="33"/>
      <c r="KDD161" s="33"/>
      <c r="KDE161" s="33"/>
      <c r="KDF161" s="33"/>
      <c r="KDG161" s="33"/>
      <c r="KDH161" s="33"/>
      <c r="KDI161" s="33"/>
      <c r="KDJ161" s="33"/>
      <c r="KDK161" s="33"/>
      <c r="KDL161" s="33"/>
      <c r="KDM161" s="33"/>
      <c r="KDN161" s="33"/>
      <c r="KDO161" s="33"/>
      <c r="KDP161" s="33"/>
      <c r="KDQ161" s="33"/>
      <c r="KDR161" s="33"/>
      <c r="KDS161" s="33"/>
      <c r="KDT161" s="33"/>
      <c r="KDU161" s="33"/>
      <c r="KDV161" s="33"/>
      <c r="KDW161" s="33"/>
      <c r="KDX161" s="33"/>
      <c r="KDY161" s="33"/>
      <c r="KDZ161" s="33"/>
      <c r="KEA161" s="33"/>
      <c r="KEB161" s="33"/>
      <c r="KEC161" s="33"/>
      <c r="KED161" s="33"/>
      <c r="KEE161" s="33"/>
      <c r="KEF161" s="33"/>
      <c r="KEG161" s="33"/>
      <c r="KEH161" s="33"/>
      <c r="KEI161" s="33"/>
      <c r="KEJ161" s="33"/>
      <c r="KEK161" s="33"/>
      <c r="KEL161" s="33"/>
      <c r="KEM161" s="33"/>
      <c r="KEN161" s="33"/>
      <c r="KEO161" s="33"/>
      <c r="KEP161" s="33"/>
      <c r="KEQ161" s="33"/>
      <c r="KER161" s="33"/>
      <c r="KES161" s="33"/>
      <c r="KET161" s="33"/>
      <c r="KEU161" s="33"/>
      <c r="KEV161" s="33"/>
      <c r="KEW161" s="33"/>
      <c r="KEX161" s="33"/>
      <c r="KEY161" s="33"/>
      <c r="KEZ161" s="33"/>
      <c r="KFA161" s="33"/>
      <c r="KFB161" s="33"/>
      <c r="KFC161" s="33"/>
      <c r="KFD161" s="33"/>
      <c r="KFE161" s="33"/>
      <c r="KFF161" s="33"/>
      <c r="KFG161" s="33"/>
      <c r="KFH161" s="33"/>
      <c r="KFI161" s="33"/>
      <c r="KFJ161" s="33"/>
      <c r="KFK161" s="33"/>
      <c r="KFL161" s="33"/>
      <c r="KFM161" s="33"/>
      <c r="KFN161" s="33"/>
      <c r="KFO161" s="33"/>
      <c r="KFP161" s="33"/>
      <c r="KFQ161" s="33"/>
      <c r="KFR161" s="33"/>
      <c r="KFS161" s="33"/>
      <c r="KFT161" s="33"/>
      <c r="KFU161" s="33"/>
      <c r="KFV161" s="33"/>
      <c r="KFW161" s="33"/>
      <c r="KFX161" s="33"/>
      <c r="KFY161" s="33"/>
      <c r="KFZ161" s="33"/>
      <c r="KGA161" s="33"/>
      <c r="KGB161" s="33"/>
      <c r="KGC161" s="33"/>
      <c r="KGD161" s="33"/>
      <c r="KGE161" s="33"/>
      <c r="KGF161" s="33"/>
      <c r="KGG161" s="33"/>
      <c r="KGH161" s="33"/>
      <c r="KGI161" s="33"/>
      <c r="KGJ161" s="33"/>
      <c r="KGK161" s="33"/>
      <c r="KGL161" s="33"/>
      <c r="KGM161" s="33"/>
      <c r="KGN161" s="33"/>
      <c r="KGO161" s="33"/>
      <c r="KGP161" s="33"/>
      <c r="KGQ161" s="33"/>
      <c r="KGR161" s="33"/>
      <c r="KGS161" s="33"/>
      <c r="KGT161" s="33"/>
      <c r="KGU161" s="33"/>
      <c r="KGV161" s="33"/>
      <c r="KGW161" s="33"/>
      <c r="KGX161" s="33"/>
      <c r="KGY161" s="33"/>
      <c r="KGZ161" s="33"/>
      <c r="KHA161" s="33"/>
      <c r="KHB161" s="33"/>
      <c r="KHC161" s="33"/>
      <c r="KHD161" s="33"/>
      <c r="KHE161" s="33"/>
      <c r="KHF161" s="33"/>
      <c r="KHG161" s="33"/>
      <c r="KHH161" s="33"/>
      <c r="KHI161" s="33"/>
      <c r="KHJ161" s="33"/>
      <c r="KHK161" s="33"/>
      <c r="KHL161" s="33"/>
      <c r="KHM161" s="33"/>
      <c r="KHN161" s="33"/>
      <c r="KHO161" s="33"/>
      <c r="KHP161" s="33"/>
      <c r="KHQ161" s="33"/>
      <c r="KHR161" s="33"/>
      <c r="KHS161" s="33"/>
      <c r="KHT161" s="33"/>
      <c r="KHU161" s="33"/>
      <c r="KHV161" s="33"/>
      <c r="KHW161" s="33"/>
      <c r="KHX161" s="33"/>
      <c r="KHY161" s="33"/>
      <c r="KHZ161" s="33"/>
      <c r="KIA161" s="33"/>
      <c r="KIB161" s="33"/>
      <c r="KIC161" s="33"/>
      <c r="KID161" s="33"/>
      <c r="KIE161" s="33"/>
      <c r="KIF161" s="33"/>
      <c r="KIG161" s="33"/>
      <c r="KIH161" s="33"/>
      <c r="KII161" s="33"/>
      <c r="KIJ161" s="33"/>
      <c r="KIK161" s="33"/>
      <c r="KIL161" s="33"/>
      <c r="KIM161" s="33"/>
      <c r="KIN161" s="33"/>
      <c r="KIO161" s="33"/>
      <c r="KIP161" s="33"/>
      <c r="KIQ161" s="33"/>
      <c r="KIR161" s="33"/>
      <c r="KIS161" s="33"/>
      <c r="KIT161" s="33"/>
      <c r="KIU161" s="33"/>
      <c r="KIV161" s="33"/>
      <c r="KIW161" s="33"/>
      <c r="KIX161" s="33"/>
      <c r="KIY161" s="33"/>
      <c r="KIZ161" s="33"/>
      <c r="KJA161" s="33"/>
      <c r="KJB161" s="33"/>
      <c r="KJC161" s="33"/>
      <c r="KJD161" s="33"/>
      <c r="KJE161" s="33"/>
      <c r="KJF161" s="33"/>
      <c r="KJG161" s="33"/>
      <c r="KJH161" s="33"/>
      <c r="KJI161" s="33"/>
      <c r="KJJ161" s="33"/>
      <c r="KJK161" s="33"/>
      <c r="KJL161" s="33"/>
      <c r="KJM161" s="33"/>
      <c r="KJN161" s="33"/>
      <c r="KJO161" s="33"/>
      <c r="KJP161" s="33"/>
      <c r="KJQ161" s="33"/>
      <c r="KJR161" s="33"/>
      <c r="KJS161" s="33"/>
      <c r="KJT161" s="33"/>
      <c r="KJU161" s="33"/>
      <c r="KJV161" s="33"/>
      <c r="KJW161" s="33"/>
      <c r="KJX161" s="33"/>
      <c r="KJY161" s="33"/>
      <c r="KJZ161" s="33"/>
      <c r="KKA161" s="33"/>
      <c r="KKB161" s="33"/>
      <c r="KKC161" s="33"/>
      <c r="KKD161" s="33"/>
      <c r="KKE161" s="33"/>
      <c r="KKF161" s="33"/>
      <c r="KKG161" s="33"/>
      <c r="KKH161" s="33"/>
      <c r="KKI161" s="33"/>
      <c r="KKJ161" s="33"/>
      <c r="KKK161" s="33"/>
      <c r="KKL161" s="33"/>
      <c r="KKM161" s="33"/>
      <c r="KKN161" s="33"/>
      <c r="KKO161" s="33"/>
      <c r="KKP161" s="33"/>
      <c r="KKQ161" s="33"/>
      <c r="KKR161" s="33"/>
      <c r="KKS161" s="33"/>
      <c r="KKT161" s="33"/>
      <c r="KKU161" s="33"/>
      <c r="KKV161" s="33"/>
      <c r="KKW161" s="33"/>
      <c r="KKX161" s="33"/>
      <c r="KKY161" s="33"/>
      <c r="KKZ161" s="33"/>
      <c r="KLA161" s="33"/>
      <c r="KLB161" s="33"/>
      <c r="KLC161" s="33"/>
      <c r="KLD161" s="33"/>
      <c r="KLE161" s="33"/>
      <c r="KLF161" s="33"/>
      <c r="KLG161" s="33"/>
      <c r="KLH161" s="33"/>
      <c r="KLI161" s="33"/>
      <c r="KLJ161" s="33"/>
      <c r="KLK161" s="33"/>
      <c r="KLL161" s="33"/>
      <c r="KLM161" s="33"/>
      <c r="KLN161" s="33"/>
      <c r="KLO161" s="33"/>
      <c r="KLP161" s="33"/>
      <c r="KLQ161" s="33"/>
      <c r="KLR161" s="33"/>
      <c r="KLS161" s="33"/>
      <c r="KLT161" s="33"/>
      <c r="KLU161" s="33"/>
      <c r="KLV161" s="33"/>
      <c r="KLW161" s="33"/>
      <c r="KLX161" s="33"/>
      <c r="KLY161" s="33"/>
      <c r="KLZ161" s="33"/>
      <c r="KMA161" s="33"/>
      <c r="KMB161" s="33"/>
      <c r="KMC161" s="33"/>
      <c r="KMD161" s="33"/>
      <c r="KME161" s="33"/>
      <c r="KMF161" s="33"/>
      <c r="KMG161" s="33"/>
      <c r="KMH161" s="33"/>
      <c r="KMI161" s="33"/>
      <c r="KMJ161" s="33"/>
      <c r="KMK161" s="33"/>
      <c r="KML161" s="33"/>
      <c r="KMM161" s="33"/>
      <c r="KMN161" s="33"/>
      <c r="KMO161" s="33"/>
      <c r="KMP161" s="33"/>
      <c r="KMQ161" s="33"/>
      <c r="KMR161" s="33"/>
      <c r="KMS161" s="33"/>
      <c r="KMT161" s="33"/>
      <c r="KMU161" s="33"/>
      <c r="KMV161" s="33"/>
      <c r="KMW161" s="33"/>
      <c r="KMX161" s="33"/>
      <c r="KMY161" s="33"/>
      <c r="KMZ161" s="33"/>
      <c r="KNA161" s="33"/>
      <c r="KNB161" s="33"/>
      <c r="KNC161" s="33"/>
      <c r="KND161" s="33"/>
      <c r="KNE161" s="33"/>
      <c r="KNF161" s="33"/>
      <c r="KNG161" s="33"/>
      <c r="KNH161" s="33"/>
      <c r="KNI161" s="33"/>
      <c r="KNJ161" s="33"/>
      <c r="KNK161" s="33"/>
      <c r="KNL161" s="33"/>
      <c r="KNM161" s="33"/>
      <c r="KNN161" s="33"/>
      <c r="KNO161" s="33"/>
      <c r="KNP161" s="33"/>
      <c r="KNQ161" s="33"/>
      <c r="KNR161" s="33"/>
      <c r="KNS161" s="33"/>
      <c r="KNT161" s="33"/>
      <c r="KNU161" s="33"/>
      <c r="KNV161" s="33"/>
      <c r="KNW161" s="33"/>
      <c r="KNX161" s="33"/>
      <c r="KNY161" s="33"/>
      <c r="KNZ161" s="33"/>
      <c r="KOA161" s="33"/>
      <c r="KOB161" s="33"/>
      <c r="KOC161" s="33"/>
      <c r="KOD161" s="33"/>
      <c r="KOE161" s="33"/>
      <c r="KOF161" s="33"/>
      <c r="KOG161" s="33"/>
      <c r="KOH161" s="33"/>
      <c r="KOI161" s="33"/>
      <c r="KOJ161" s="33"/>
      <c r="KOK161" s="33"/>
      <c r="KOL161" s="33"/>
      <c r="KOM161" s="33"/>
      <c r="KON161" s="33"/>
      <c r="KOO161" s="33"/>
      <c r="KOP161" s="33"/>
      <c r="KOQ161" s="33"/>
      <c r="KOR161" s="33"/>
      <c r="KOS161" s="33"/>
      <c r="KOT161" s="33"/>
      <c r="KOU161" s="33"/>
      <c r="KOV161" s="33"/>
      <c r="KOW161" s="33"/>
      <c r="KOX161" s="33"/>
      <c r="KOY161" s="33"/>
      <c r="KOZ161" s="33"/>
      <c r="KPA161" s="33"/>
      <c r="KPB161" s="33"/>
      <c r="KPC161" s="33"/>
      <c r="KPD161" s="33"/>
      <c r="KPE161" s="33"/>
      <c r="KPF161" s="33"/>
      <c r="KPG161" s="33"/>
      <c r="KPH161" s="33"/>
      <c r="KPI161" s="33"/>
      <c r="KPJ161" s="33"/>
      <c r="KPK161" s="33"/>
      <c r="KPL161" s="33"/>
      <c r="KPM161" s="33"/>
      <c r="KPN161" s="33"/>
      <c r="KPO161" s="33"/>
      <c r="KPP161" s="33"/>
      <c r="KPQ161" s="33"/>
      <c r="KPR161" s="33"/>
      <c r="KPS161" s="33"/>
      <c r="KPT161" s="33"/>
      <c r="KPU161" s="33"/>
      <c r="KPV161" s="33"/>
      <c r="KPW161" s="33"/>
      <c r="KPX161" s="33"/>
      <c r="KPY161" s="33"/>
      <c r="KPZ161" s="33"/>
      <c r="KQA161" s="33"/>
      <c r="KQB161" s="33"/>
      <c r="KQC161" s="33"/>
      <c r="KQD161" s="33"/>
      <c r="KQE161" s="33"/>
      <c r="KQF161" s="33"/>
      <c r="KQG161" s="33"/>
      <c r="KQH161" s="33"/>
      <c r="KQI161" s="33"/>
      <c r="KQJ161" s="33"/>
      <c r="KQK161" s="33"/>
      <c r="KQL161" s="33"/>
      <c r="KQM161" s="33"/>
      <c r="KQN161" s="33"/>
      <c r="KQO161" s="33"/>
      <c r="KQP161" s="33"/>
      <c r="KQQ161" s="33"/>
      <c r="KQR161" s="33"/>
      <c r="KQS161" s="33"/>
      <c r="KQT161" s="33"/>
      <c r="KQU161" s="33"/>
      <c r="KQV161" s="33"/>
      <c r="KQW161" s="33"/>
      <c r="KQX161" s="33"/>
      <c r="KQY161" s="33"/>
      <c r="KQZ161" s="33"/>
      <c r="KRA161" s="33"/>
      <c r="KRB161" s="33"/>
      <c r="KRC161" s="33"/>
      <c r="KRD161" s="33"/>
      <c r="KRE161" s="33"/>
      <c r="KRF161" s="33"/>
      <c r="KRG161" s="33"/>
      <c r="KRH161" s="33"/>
      <c r="KRI161" s="33"/>
      <c r="KRJ161" s="33"/>
      <c r="KRK161" s="33"/>
      <c r="KRL161" s="33"/>
      <c r="KRM161" s="33"/>
      <c r="KRN161" s="33"/>
      <c r="KRO161" s="33"/>
      <c r="KRP161" s="33"/>
      <c r="KRQ161" s="33"/>
      <c r="KRR161" s="33"/>
      <c r="KRS161" s="33"/>
      <c r="KRT161" s="33"/>
      <c r="KRU161" s="33"/>
      <c r="KRV161" s="33"/>
      <c r="KRW161" s="33"/>
      <c r="KRX161" s="33"/>
      <c r="KRY161" s="33"/>
      <c r="KRZ161" s="33"/>
      <c r="KSA161" s="33"/>
      <c r="KSB161" s="33"/>
      <c r="KSC161" s="33"/>
      <c r="KSD161" s="33"/>
      <c r="KSE161" s="33"/>
      <c r="KSF161" s="33"/>
      <c r="KSG161" s="33"/>
      <c r="KSH161" s="33"/>
      <c r="KSI161" s="33"/>
      <c r="KSJ161" s="33"/>
      <c r="KSK161" s="33"/>
      <c r="KSL161" s="33"/>
      <c r="KSM161" s="33"/>
      <c r="KSN161" s="33"/>
      <c r="KSO161" s="33"/>
      <c r="KSP161" s="33"/>
      <c r="KSQ161" s="33"/>
      <c r="KSR161" s="33"/>
      <c r="KSS161" s="33"/>
      <c r="KST161" s="33"/>
      <c r="KSU161" s="33"/>
      <c r="KSV161" s="33"/>
      <c r="KSW161" s="33"/>
      <c r="KSX161" s="33"/>
      <c r="KSY161" s="33"/>
      <c r="KSZ161" s="33"/>
      <c r="KTA161" s="33"/>
      <c r="KTB161" s="33"/>
      <c r="KTC161" s="33"/>
      <c r="KTD161" s="33"/>
      <c r="KTE161" s="33"/>
      <c r="KTF161" s="33"/>
      <c r="KTG161" s="33"/>
      <c r="KTH161" s="33"/>
      <c r="KTI161" s="33"/>
      <c r="KTJ161" s="33"/>
      <c r="KTK161" s="33"/>
      <c r="KTL161" s="33"/>
      <c r="KTM161" s="33"/>
      <c r="KTN161" s="33"/>
      <c r="KTO161" s="33"/>
      <c r="KTP161" s="33"/>
      <c r="KTQ161" s="33"/>
      <c r="KTR161" s="33"/>
      <c r="KTS161" s="33"/>
      <c r="KTT161" s="33"/>
      <c r="KTU161" s="33"/>
      <c r="KTV161" s="33"/>
      <c r="KTW161" s="33"/>
      <c r="KTX161" s="33"/>
      <c r="KTY161" s="33"/>
      <c r="KTZ161" s="33"/>
      <c r="KUA161" s="33"/>
      <c r="KUB161" s="33"/>
      <c r="KUC161" s="33"/>
      <c r="KUD161" s="33"/>
      <c r="KUE161" s="33"/>
      <c r="KUF161" s="33"/>
      <c r="KUG161" s="33"/>
      <c r="KUH161" s="33"/>
      <c r="KUI161" s="33"/>
      <c r="KUJ161" s="33"/>
      <c r="KUK161" s="33"/>
      <c r="KUL161" s="33"/>
      <c r="KUM161" s="33"/>
      <c r="KUN161" s="33"/>
      <c r="KUO161" s="33"/>
      <c r="KUP161" s="33"/>
      <c r="KUQ161" s="33"/>
      <c r="KUR161" s="33"/>
      <c r="KUS161" s="33"/>
      <c r="KUT161" s="33"/>
      <c r="KUU161" s="33"/>
      <c r="KUV161" s="33"/>
      <c r="KUW161" s="33"/>
      <c r="KUX161" s="33"/>
      <c r="KUY161" s="33"/>
      <c r="KUZ161" s="33"/>
      <c r="KVA161" s="33"/>
      <c r="KVB161" s="33"/>
      <c r="KVC161" s="33"/>
      <c r="KVD161" s="33"/>
      <c r="KVE161" s="33"/>
      <c r="KVF161" s="33"/>
      <c r="KVG161" s="33"/>
      <c r="KVH161" s="33"/>
      <c r="KVI161" s="33"/>
      <c r="KVJ161" s="33"/>
      <c r="KVK161" s="33"/>
      <c r="KVL161" s="33"/>
      <c r="KVM161" s="33"/>
      <c r="KVN161" s="33"/>
      <c r="KVO161" s="33"/>
      <c r="KVP161" s="33"/>
      <c r="KVQ161" s="33"/>
      <c r="KVR161" s="33"/>
      <c r="KVS161" s="33"/>
      <c r="KVT161" s="33"/>
      <c r="KVU161" s="33"/>
      <c r="KVV161" s="33"/>
      <c r="KVW161" s="33"/>
      <c r="KVX161" s="33"/>
      <c r="KVY161" s="33"/>
      <c r="KVZ161" s="33"/>
      <c r="KWA161" s="33"/>
      <c r="KWB161" s="33"/>
      <c r="KWC161" s="33"/>
      <c r="KWD161" s="33"/>
      <c r="KWE161" s="33"/>
      <c r="KWF161" s="33"/>
      <c r="KWG161" s="33"/>
      <c r="KWH161" s="33"/>
      <c r="KWI161" s="33"/>
      <c r="KWJ161" s="33"/>
      <c r="KWK161" s="33"/>
      <c r="KWL161" s="33"/>
      <c r="KWM161" s="33"/>
      <c r="KWN161" s="33"/>
      <c r="KWO161" s="33"/>
      <c r="KWP161" s="33"/>
      <c r="KWQ161" s="33"/>
      <c r="KWR161" s="33"/>
      <c r="KWS161" s="33"/>
      <c r="KWT161" s="33"/>
      <c r="KWU161" s="33"/>
      <c r="KWV161" s="33"/>
      <c r="KWW161" s="33"/>
      <c r="KWX161" s="33"/>
      <c r="KWY161" s="33"/>
      <c r="KWZ161" s="33"/>
      <c r="KXA161" s="33"/>
      <c r="KXB161" s="33"/>
      <c r="KXC161" s="33"/>
      <c r="KXD161" s="33"/>
      <c r="KXE161" s="33"/>
      <c r="KXF161" s="33"/>
      <c r="KXG161" s="33"/>
      <c r="KXH161" s="33"/>
      <c r="KXI161" s="33"/>
      <c r="KXJ161" s="33"/>
      <c r="KXK161" s="33"/>
      <c r="KXL161" s="33"/>
      <c r="KXM161" s="33"/>
      <c r="KXN161" s="33"/>
      <c r="KXO161" s="33"/>
      <c r="KXP161" s="33"/>
      <c r="KXQ161" s="33"/>
      <c r="KXR161" s="33"/>
      <c r="KXS161" s="33"/>
      <c r="KXT161" s="33"/>
      <c r="KXU161" s="33"/>
      <c r="KXV161" s="33"/>
      <c r="KXW161" s="33"/>
      <c r="KXX161" s="33"/>
      <c r="KXY161" s="33"/>
      <c r="KXZ161" s="33"/>
      <c r="KYA161" s="33"/>
      <c r="KYB161" s="33"/>
      <c r="KYC161" s="33"/>
      <c r="KYD161" s="33"/>
      <c r="KYE161" s="33"/>
      <c r="KYF161" s="33"/>
      <c r="KYG161" s="33"/>
      <c r="KYH161" s="33"/>
      <c r="KYI161" s="33"/>
      <c r="KYJ161" s="33"/>
      <c r="KYK161" s="33"/>
      <c r="KYL161" s="33"/>
      <c r="KYM161" s="33"/>
      <c r="KYN161" s="33"/>
      <c r="KYO161" s="33"/>
      <c r="KYP161" s="33"/>
      <c r="KYQ161" s="33"/>
      <c r="KYR161" s="33"/>
      <c r="KYS161" s="33"/>
      <c r="KYT161" s="33"/>
      <c r="KYU161" s="33"/>
      <c r="KYV161" s="33"/>
      <c r="KYW161" s="33"/>
      <c r="KYX161" s="33"/>
      <c r="KYY161" s="33"/>
      <c r="KYZ161" s="33"/>
      <c r="KZA161" s="33"/>
      <c r="KZB161" s="33"/>
      <c r="KZC161" s="33"/>
      <c r="KZD161" s="33"/>
      <c r="KZE161" s="33"/>
      <c r="KZF161" s="33"/>
      <c r="KZG161" s="33"/>
      <c r="KZH161" s="33"/>
      <c r="KZI161" s="33"/>
      <c r="KZJ161" s="33"/>
      <c r="KZK161" s="33"/>
      <c r="KZL161" s="33"/>
      <c r="KZM161" s="33"/>
      <c r="KZN161" s="33"/>
      <c r="KZO161" s="33"/>
      <c r="KZP161" s="33"/>
      <c r="KZQ161" s="33"/>
      <c r="KZR161" s="33"/>
      <c r="KZS161" s="33"/>
      <c r="KZT161" s="33"/>
      <c r="KZU161" s="33"/>
      <c r="KZV161" s="33"/>
      <c r="KZW161" s="33"/>
      <c r="KZX161" s="33"/>
      <c r="KZY161" s="33"/>
      <c r="KZZ161" s="33"/>
      <c r="LAA161" s="33"/>
      <c r="LAB161" s="33"/>
      <c r="LAC161" s="33"/>
      <c r="LAD161" s="33"/>
      <c r="LAE161" s="33"/>
      <c r="LAF161" s="33"/>
      <c r="LAG161" s="33"/>
      <c r="LAH161" s="33"/>
      <c r="LAI161" s="33"/>
      <c r="LAJ161" s="33"/>
      <c r="LAK161" s="33"/>
      <c r="LAL161" s="33"/>
      <c r="LAM161" s="33"/>
      <c r="LAN161" s="33"/>
      <c r="LAO161" s="33"/>
      <c r="LAP161" s="33"/>
      <c r="LAQ161" s="33"/>
      <c r="LAR161" s="33"/>
      <c r="LAS161" s="33"/>
      <c r="LAT161" s="33"/>
      <c r="LAU161" s="33"/>
      <c r="LAV161" s="33"/>
      <c r="LAW161" s="33"/>
      <c r="LAX161" s="33"/>
      <c r="LAY161" s="33"/>
      <c r="LAZ161" s="33"/>
      <c r="LBA161" s="33"/>
      <c r="LBB161" s="33"/>
      <c r="LBC161" s="33"/>
      <c r="LBD161" s="33"/>
      <c r="LBE161" s="33"/>
      <c r="LBF161" s="33"/>
      <c r="LBG161" s="33"/>
      <c r="LBH161" s="33"/>
      <c r="LBI161" s="33"/>
      <c r="LBJ161" s="33"/>
      <c r="LBK161" s="33"/>
      <c r="LBL161" s="33"/>
      <c r="LBM161" s="33"/>
      <c r="LBN161" s="33"/>
      <c r="LBO161" s="33"/>
      <c r="LBP161" s="33"/>
      <c r="LBQ161" s="33"/>
      <c r="LBR161" s="33"/>
      <c r="LBS161" s="33"/>
      <c r="LBT161" s="33"/>
      <c r="LBU161" s="33"/>
      <c r="LBV161" s="33"/>
      <c r="LBW161" s="33"/>
      <c r="LBX161" s="33"/>
      <c r="LBY161" s="33"/>
      <c r="LBZ161" s="33"/>
      <c r="LCA161" s="33"/>
      <c r="LCB161" s="33"/>
      <c r="LCC161" s="33"/>
      <c r="LCD161" s="33"/>
      <c r="LCE161" s="33"/>
      <c r="LCF161" s="33"/>
      <c r="LCG161" s="33"/>
      <c r="LCH161" s="33"/>
      <c r="LCI161" s="33"/>
      <c r="LCJ161" s="33"/>
      <c r="LCK161" s="33"/>
      <c r="LCL161" s="33"/>
      <c r="LCM161" s="33"/>
      <c r="LCN161" s="33"/>
      <c r="LCO161" s="33"/>
      <c r="LCP161" s="33"/>
      <c r="LCQ161" s="33"/>
      <c r="LCR161" s="33"/>
      <c r="LCS161" s="33"/>
      <c r="LCT161" s="33"/>
      <c r="LCU161" s="33"/>
      <c r="LCV161" s="33"/>
      <c r="LCW161" s="33"/>
      <c r="LCX161" s="33"/>
      <c r="LCY161" s="33"/>
      <c r="LCZ161" s="33"/>
      <c r="LDA161" s="33"/>
      <c r="LDB161" s="33"/>
      <c r="LDC161" s="33"/>
      <c r="LDD161" s="33"/>
      <c r="LDE161" s="33"/>
      <c r="LDF161" s="33"/>
      <c r="LDG161" s="33"/>
      <c r="LDH161" s="33"/>
      <c r="LDI161" s="33"/>
      <c r="LDJ161" s="33"/>
      <c r="LDK161" s="33"/>
      <c r="LDL161" s="33"/>
      <c r="LDM161" s="33"/>
      <c r="LDN161" s="33"/>
      <c r="LDO161" s="33"/>
      <c r="LDP161" s="33"/>
      <c r="LDQ161" s="33"/>
      <c r="LDR161" s="33"/>
      <c r="LDS161" s="33"/>
      <c r="LDT161" s="33"/>
      <c r="LDU161" s="33"/>
      <c r="LDV161" s="33"/>
      <c r="LDW161" s="33"/>
      <c r="LDX161" s="33"/>
      <c r="LDY161" s="33"/>
      <c r="LDZ161" s="33"/>
      <c r="LEA161" s="33"/>
      <c r="LEB161" s="33"/>
      <c r="LEC161" s="33"/>
      <c r="LED161" s="33"/>
      <c r="LEE161" s="33"/>
      <c r="LEF161" s="33"/>
      <c r="LEG161" s="33"/>
      <c r="LEH161" s="33"/>
      <c r="LEI161" s="33"/>
      <c r="LEJ161" s="33"/>
      <c r="LEK161" s="33"/>
      <c r="LEL161" s="33"/>
      <c r="LEM161" s="33"/>
      <c r="LEN161" s="33"/>
      <c r="LEO161" s="33"/>
      <c r="LEP161" s="33"/>
      <c r="LEQ161" s="33"/>
      <c r="LER161" s="33"/>
      <c r="LES161" s="33"/>
      <c r="LET161" s="33"/>
      <c r="LEU161" s="33"/>
      <c r="LEV161" s="33"/>
      <c r="LEW161" s="33"/>
      <c r="LEX161" s="33"/>
      <c r="LEY161" s="33"/>
      <c r="LEZ161" s="33"/>
      <c r="LFA161" s="33"/>
      <c r="LFB161" s="33"/>
      <c r="LFC161" s="33"/>
      <c r="LFD161" s="33"/>
      <c r="LFE161" s="33"/>
      <c r="LFF161" s="33"/>
      <c r="LFG161" s="33"/>
      <c r="LFH161" s="33"/>
      <c r="LFI161" s="33"/>
      <c r="LFJ161" s="33"/>
      <c r="LFK161" s="33"/>
      <c r="LFL161" s="33"/>
      <c r="LFM161" s="33"/>
      <c r="LFN161" s="33"/>
      <c r="LFO161" s="33"/>
      <c r="LFP161" s="33"/>
      <c r="LFQ161" s="33"/>
      <c r="LFR161" s="33"/>
      <c r="LFS161" s="33"/>
      <c r="LFT161" s="33"/>
      <c r="LFU161" s="33"/>
      <c r="LFV161" s="33"/>
      <c r="LFW161" s="33"/>
      <c r="LFX161" s="33"/>
      <c r="LFY161" s="33"/>
      <c r="LFZ161" s="33"/>
      <c r="LGA161" s="33"/>
      <c r="LGB161" s="33"/>
      <c r="LGC161" s="33"/>
      <c r="LGD161" s="33"/>
      <c r="LGE161" s="33"/>
      <c r="LGF161" s="33"/>
      <c r="LGG161" s="33"/>
      <c r="LGH161" s="33"/>
      <c r="LGI161" s="33"/>
      <c r="LGJ161" s="33"/>
      <c r="LGK161" s="33"/>
      <c r="LGL161" s="33"/>
      <c r="LGM161" s="33"/>
      <c r="LGN161" s="33"/>
      <c r="LGO161" s="33"/>
      <c r="LGP161" s="33"/>
      <c r="LGQ161" s="33"/>
      <c r="LGR161" s="33"/>
      <c r="LGS161" s="33"/>
      <c r="LGT161" s="33"/>
      <c r="LGU161" s="33"/>
      <c r="LGV161" s="33"/>
      <c r="LGW161" s="33"/>
      <c r="LGX161" s="33"/>
      <c r="LGY161" s="33"/>
      <c r="LGZ161" s="33"/>
      <c r="LHA161" s="33"/>
      <c r="LHB161" s="33"/>
      <c r="LHC161" s="33"/>
      <c r="LHD161" s="33"/>
      <c r="LHE161" s="33"/>
      <c r="LHF161" s="33"/>
      <c r="LHG161" s="33"/>
      <c r="LHH161" s="33"/>
      <c r="LHI161" s="33"/>
      <c r="LHJ161" s="33"/>
      <c r="LHK161" s="33"/>
      <c r="LHL161" s="33"/>
      <c r="LHM161" s="33"/>
      <c r="LHN161" s="33"/>
      <c r="LHO161" s="33"/>
      <c r="LHP161" s="33"/>
      <c r="LHQ161" s="33"/>
      <c r="LHR161" s="33"/>
      <c r="LHS161" s="33"/>
      <c r="LHT161" s="33"/>
      <c r="LHU161" s="33"/>
      <c r="LHV161" s="33"/>
      <c r="LHW161" s="33"/>
      <c r="LHX161" s="33"/>
      <c r="LHY161" s="33"/>
      <c r="LHZ161" s="33"/>
      <c r="LIA161" s="33"/>
      <c r="LIB161" s="33"/>
      <c r="LIC161" s="33"/>
      <c r="LID161" s="33"/>
      <c r="LIE161" s="33"/>
      <c r="LIF161" s="33"/>
      <c r="LIG161" s="33"/>
      <c r="LIH161" s="33"/>
      <c r="LII161" s="33"/>
      <c r="LIJ161" s="33"/>
      <c r="LIK161" s="33"/>
      <c r="LIL161" s="33"/>
      <c r="LIM161" s="33"/>
      <c r="LIN161" s="33"/>
      <c r="LIO161" s="33"/>
      <c r="LIP161" s="33"/>
      <c r="LIQ161" s="33"/>
      <c r="LIR161" s="33"/>
      <c r="LIS161" s="33"/>
      <c r="LIT161" s="33"/>
      <c r="LIU161" s="33"/>
      <c r="LIV161" s="33"/>
      <c r="LIW161" s="33"/>
      <c r="LIX161" s="33"/>
      <c r="LIY161" s="33"/>
      <c r="LIZ161" s="33"/>
      <c r="LJA161" s="33"/>
      <c r="LJB161" s="33"/>
      <c r="LJC161" s="33"/>
      <c r="LJD161" s="33"/>
      <c r="LJE161" s="33"/>
      <c r="LJF161" s="33"/>
      <c r="LJG161" s="33"/>
      <c r="LJH161" s="33"/>
      <c r="LJI161" s="33"/>
      <c r="LJJ161" s="33"/>
      <c r="LJK161" s="33"/>
      <c r="LJL161" s="33"/>
      <c r="LJM161" s="33"/>
      <c r="LJN161" s="33"/>
      <c r="LJO161" s="33"/>
      <c r="LJP161" s="33"/>
      <c r="LJQ161" s="33"/>
      <c r="LJR161" s="33"/>
      <c r="LJS161" s="33"/>
      <c r="LJT161" s="33"/>
      <c r="LJU161" s="33"/>
      <c r="LJV161" s="33"/>
      <c r="LJW161" s="33"/>
      <c r="LJX161" s="33"/>
      <c r="LJY161" s="33"/>
      <c r="LJZ161" s="33"/>
      <c r="LKA161" s="33"/>
      <c r="LKB161" s="33"/>
      <c r="LKC161" s="33"/>
      <c r="LKD161" s="33"/>
      <c r="LKE161" s="33"/>
      <c r="LKF161" s="33"/>
      <c r="LKG161" s="33"/>
      <c r="LKH161" s="33"/>
      <c r="LKI161" s="33"/>
      <c r="LKJ161" s="33"/>
      <c r="LKK161" s="33"/>
      <c r="LKL161" s="33"/>
      <c r="LKM161" s="33"/>
      <c r="LKN161" s="33"/>
      <c r="LKO161" s="33"/>
      <c r="LKP161" s="33"/>
      <c r="LKQ161" s="33"/>
      <c r="LKR161" s="33"/>
      <c r="LKS161" s="33"/>
      <c r="LKT161" s="33"/>
      <c r="LKU161" s="33"/>
      <c r="LKV161" s="33"/>
      <c r="LKW161" s="33"/>
      <c r="LKX161" s="33"/>
      <c r="LKY161" s="33"/>
      <c r="LKZ161" s="33"/>
      <c r="LLA161" s="33"/>
      <c r="LLB161" s="33"/>
      <c r="LLC161" s="33"/>
      <c r="LLD161" s="33"/>
      <c r="LLE161" s="33"/>
      <c r="LLF161" s="33"/>
      <c r="LLG161" s="33"/>
      <c r="LLH161" s="33"/>
      <c r="LLI161" s="33"/>
      <c r="LLJ161" s="33"/>
      <c r="LLK161" s="33"/>
      <c r="LLL161" s="33"/>
      <c r="LLM161" s="33"/>
      <c r="LLN161" s="33"/>
      <c r="LLO161" s="33"/>
      <c r="LLP161" s="33"/>
      <c r="LLQ161" s="33"/>
      <c r="LLR161" s="33"/>
      <c r="LLS161" s="33"/>
      <c r="LLT161" s="33"/>
      <c r="LLU161" s="33"/>
      <c r="LLV161" s="33"/>
      <c r="LLW161" s="33"/>
      <c r="LLX161" s="33"/>
      <c r="LLY161" s="33"/>
      <c r="LLZ161" s="33"/>
      <c r="LMA161" s="33"/>
      <c r="LMB161" s="33"/>
      <c r="LMC161" s="33"/>
      <c r="LMD161" s="33"/>
      <c r="LME161" s="33"/>
      <c r="LMF161" s="33"/>
      <c r="LMG161" s="33"/>
      <c r="LMH161" s="33"/>
      <c r="LMI161" s="33"/>
      <c r="LMJ161" s="33"/>
      <c r="LMK161" s="33"/>
      <c r="LML161" s="33"/>
      <c r="LMM161" s="33"/>
      <c r="LMN161" s="33"/>
      <c r="LMO161" s="33"/>
      <c r="LMP161" s="33"/>
      <c r="LMQ161" s="33"/>
      <c r="LMR161" s="33"/>
      <c r="LMS161" s="33"/>
      <c r="LMT161" s="33"/>
      <c r="LMU161" s="33"/>
      <c r="LMV161" s="33"/>
      <c r="LMW161" s="33"/>
      <c r="LMX161" s="33"/>
      <c r="LMY161" s="33"/>
      <c r="LMZ161" s="33"/>
      <c r="LNA161" s="33"/>
      <c r="LNB161" s="33"/>
      <c r="LNC161" s="33"/>
      <c r="LND161" s="33"/>
      <c r="LNE161" s="33"/>
      <c r="LNF161" s="33"/>
      <c r="LNG161" s="33"/>
      <c r="LNH161" s="33"/>
      <c r="LNI161" s="33"/>
      <c r="LNJ161" s="33"/>
      <c r="LNK161" s="33"/>
      <c r="LNL161" s="33"/>
      <c r="LNM161" s="33"/>
      <c r="LNN161" s="33"/>
      <c r="LNO161" s="33"/>
      <c r="LNP161" s="33"/>
      <c r="LNQ161" s="33"/>
      <c r="LNR161" s="33"/>
      <c r="LNS161" s="33"/>
      <c r="LNT161" s="33"/>
      <c r="LNU161" s="33"/>
      <c r="LNV161" s="33"/>
      <c r="LNW161" s="33"/>
      <c r="LNX161" s="33"/>
      <c r="LNY161" s="33"/>
      <c r="LNZ161" s="33"/>
      <c r="LOA161" s="33"/>
      <c r="LOB161" s="33"/>
      <c r="LOC161" s="33"/>
      <c r="LOD161" s="33"/>
      <c r="LOE161" s="33"/>
      <c r="LOF161" s="33"/>
      <c r="LOG161" s="33"/>
      <c r="LOH161" s="33"/>
      <c r="LOI161" s="33"/>
      <c r="LOJ161" s="33"/>
      <c r="LOK161" s="33"/>
      <c r="LOL161" s="33"/>
      <c r="LOM161" s="33"/>
      <c r="LON161" s="33"/>
      <c r="LOO161" s="33"/>
      <c r="LOP161" s="33"/>
      <c r="LOQ161" s="33"/>
      <c r="LOR161" s="33"/>
      <c r="LOS161" s="33"/>
      <c r="LOT161" s="33"/>
      <c r="LOU161" s="33"/>
      <c r="LOV161" s="33"/>
      <c r="LOW161" s="33"/>
      <c r="LOX161" s="33"/>
      <c r="LOY161" s="33"/>
      <c r="LOZ161" s="33"/>
      <c r="LPA161" s="33"/>
      <c r="LPB161" s="33"/>
      <c r="LPC161" s="33"/>
      <c r="LPD161" s="33"/>
      <c r="LPE161" s="33"/>
      <c r="LPF161" s="33"/>
      <c r="LPG161" s="33"/>
      <c r="LPH161" s="33"/>
      <c r="LPI161" s="33"/>
      <c r="LPJ161" s="33"/>
      <c r="LPK161" s="33"/>
      <c r="LPL161" s="33"/>
      <c r="LPM161" s="33"/>
      <c r="LPN161" s="33"/>
      <c r="LPO161" s="33"/>
      <c r="LPP161" s="33"/>
      <c r="LPQ161" s="33"/>
      <c r="LPR161" s="33"/>
      <c r="LPS161" s="33"/>
      <c r="LPT161" s="33"/>
      <c r="LPU161" s="33"/>
      <c r="LPV161" s="33"/>
      <c r="LPW161" s="33"/>
      <c r="LPX161" s="33"/>
      <c r="LPY161" s="33"/>
      <c r="LPZ161" s="33"/>
      <c r="LQA161" s="33"/>
      <c r="LQB161" s="33"/>
      <c r="LQC161" s="33"/>
      <c r="LQD161" s="33"/>
      <c r="LQE161" s="33"/>
      <c r="LQF161" s="33"/>
      <c r="LQG161" s="33"/>
      <c r="LQH161" s="33"/>
      <c r="LQI161" s="33"/>
      <c r="LQJ161" s="33"/>
      <c r="LQK161" s="33"/>
      <c r="LQL161" s="33"/>
      <c r="LQM161" s="33"/>
      <c r="LQN161" s="33"/>
      <c r="LQO161" s="33"/>
      <c r="LQP161" s="33"/>
      <c r="LQQ161" s="33"/>
      <c r="LQR161" s="33"/>
      <c r="LQS161" s="33"/>
      <c r="LQT161" s="33"/>
      <c r="LQU161" s="33"/>
      <c r="LQV161" s="33"/>
      <c r="LQW161" s="33"/>
      <c r="LQX161" s="33"/>
      <c r="LQY161" s="33"/>
      <c r="LQZ161" s="33"/>
      <c r="LRA161" s="33"/>
      <c r="LRB161" s="33"/>
      <c r="LRC161" s="33"/>
      <c r="LRD161" s="33"/>
      <c r="LRE161" s="33"/>
      <c r="LRF161" s="33"/>
      <c r="LRG161" s="33"/>
      <c r="LRH161" s="33"/>
      <c r="LRI161" s="33"/>
      <c r="LRJ161" s="33"/>
      <c r="LRK161" s="33"/>
      <c r="LRL161" s="33"/>
      <c r="LRM161" s="33"/>
      <c r="LRN161" s="33"/>
      <c r="LRO161" s="33"/>
      <c r="LRP161" s="33"/>
      <c r="LRQ161" s="33"/>
      <c r="LRR161" s="33"/>
      <c r="LRS161" s="33"/>
      <c r="LRT161" s="33"/>
      <c r="LRU161" s="33"/>
      <c r="LRV161" s="33"/>
      <c r="LRW161" s="33"/>
      <c r="LRX161" s="33"/>
      <c r="LRY161" s="33"/>
      <c r="LRZ161" s="33"/>
      <c r="LSA161" s="33"/>
      <c r="LSB161" s="33"/>
      <c r="LSC161" s="33"/>
      <c r="LSD161" s="33"/>
      <c r="LSE161" s="33"/>
      <c r="LSF161" s="33"/>
      <c r="LSG161" s="33"/>
      <c r="LSH161" s="33"/>
      <c r="LSI161" s="33"/>
      <c r="LSJ161" s="33"/>
      <c r="LSK161" s="33"/>
      <c r="LSL161" s="33"/>
      <c r="LSM161" s="33"/>
      <c r="LSN161" s="33"/>
      <c r="LSO161" s="33"/>
      <c r="LSP161" s="33"/>
      <c r="LSQ161" s="33"/>
      <c r="LSR161" s="33"/>
      <c r="LSS161" s="33"/>
      <c r="LST161" s="33"/>
      <c r="LSU161" s="33"/>
      <c r="LSV161" s="33"/>
      <c r="LSW161" s="33"/>
      <c r="LSX161" s="33"/>
      <c r="LSY161" s="33"/>
      <c r="LSZ161" s="33"/>
      <c r="LTA161" s="33"/>
      <c r="LTB161" s="33"/>
      <c r="LTC161" s="33"/>
      <c r="LTD161" s="33"/>
      <c r="LTE161" s="33"/>
      <c r="LTF161" s="33"/>
      <c r="LTG161" s="33"/>
      <c r="LTH161" s="33"/>
      <c r="LTI161" s="33"/>
      <c r="LTJ161" s="33"/>
      <c r="LTK161" s="33"/>
      <c r="LTL161" s="33"/>
      <c r="LTM161" s="33"/>
      <c r="LTN161" s="33"/>
      <c r="LTO161" s="33"/>
      <c r="LTP161" s="33"/>
      <c r="LTQ161" s="33"/>
      <c r="LTR161" s="33"/>
      <c r="LTS161" s="33"/>
      <c r="LTT161" s="33"/>
      <c r="LTU161" s="33"/>
      <c r="LTV161" s="33"/>
      <c r="LTW161" s="33"/>
      <c r="LTX161" s="33"/>
      <c r="LTY161" s="33"/>
      <c r="LTZ161" s="33"/>
      <c r="LUA161" s="33"/>
      <c r="LUB161" s="33"/>
      <c r="LUC161" s="33"/>
      <c r="LUD161" s="33"/>
      <c r="LUE161" s="33"/>
      <c r="LUF161" s="33"/>
      <c r="LUG161" s="33"/>
      <c r="LUH161" s="33"/>
      <c r="LUI161" s="33"/>
      <c r="LUJ161" s="33"/>
      <c r="LUK161" s="33"/>
      <c r="LUL161" s="33"/>
      <c r="LUM161" s="33"/>
      <c r="LUN161" s="33"/>
      <c r="LUO161" s="33"/>
      <c r="LUP161" s="33"/>
      <c r="LUQ161" s="33"/>
      <c r="LUR161" s="33"/>
      <c r="LUS161" s="33"/>
      <c r="LUT161" s="33"/>
      <c r="LUU161" s="33"/>
      <c r="LUV161" s="33"/>
      <c r="LUW161" s="33"/>
      <c r="LUX161" s="33"/>
      <c r="LUY161" s="33"/>
      <c r="LUZ161" s="33"/>
      <c r="LVA161" s="33"/>
      <c r="LVB161" s="33"/>
      <c r="LVC161" s="33"/>
      <c r="LVD161" s="33"/>
      <c r="LVE161" s="33"/>
      <c r="LVF161" s="33"/>
      <c r="LVG161" s="33"/>
      <c r="LVH161" s="33"/>
      <c r="LVI161" s="33"/>
      <c r="LVJ161" s="33"/>
      <c r="LVK161" s="33"/>
      <c r="LVL161" s="33"/>
      <c r="LVM161" s="33"/>
      <c r="LVN161" s="33"/>
      <c r="LVO161" s="33"/>
      <c r="LVP161" s="33"/>
      <c r="LVQ161" s="33"/>
      <c r="LVR161" s="33"/>
      <c r="LVS161" s="33"/>
      <c r="LVT161" s="33"/>
      <c r="LVU161" s="33"/>
      <c r="LVV161" s="33"/>
      <c r="LVW161" s="33"/>
      <c r="LVX161" s="33"/>
      <c r="LVY161" s="33"/>
      <c r="LVZ161" s="33"/>
      <c r="LWA161" s="33"/>
      <c r="LWB161" s="33"/>
      <c r="LWC161" s="33"/>
      <c r="LWD161" s="33"/>
      <c r="LWE161" s="33"/>
      <c r="LWF161" s="33"/>
      <c r="LWG161" s="33"/>
      <c r="LWH161" s="33"/>
      <c r="LWI161" s="33"/>
      <c r="LWJ161" s="33"/>
      <c r="LWK161" s="33"/>
      <c r="LWL161" s="33"/>
      <c r="LWM161" s="33"/>
      <c r="LWN161" s="33"/>
      <c r="LWO161" s="33"/>
      <c r="LWP161" s="33"/>
      <c r="LWQ161" s="33"/>
      <c r="LWR161" s="33"/>
      <c r="LWS161" s="33"/>
      <c r="LWT161" s="33"/>
      <c r="LWU161" s="33"/>
      <c r="LWV161" s="33"/>
      <c r="LWW161" s="33"/>
      <c r="LWX161" s="33"/>
      <c r="LWY161" s="33"/>
      <c r="LWZ161" s="33"/>
      <c r="LXA161" s="33"/>
      <c r="LXB161" s="33"/>
      <c r="LXC161" s="33"/>
      <c r="LXD161" s="33"/>
      <c r="LXE161" s="33"/>
      <c r="LXF161" s="33"/>
      <c r="LXG161" s="33"/>
      <c r="LXH161" s="33"/>
      <c r="LXI161" s="33"/>
      <c r="LXJ161" s="33"/>
      <c r="LXK161" s="33"/>
      <c r="LXL161" s="33"/>
      <c r="LXM161" s="33"/>
      <c r="LXN161" s="33"/>
      <c r="LXO161" s="33"/>
      <c r="LXP161" s="33"/>
      <c r="LXQ161" s="33"/>
      <c r="LXR161" s="33"/>
      <c r="LXS161" s="33"/>
      <c r="LXT161" s="33"/>
      <c r="LXU161" s="33"/>
      <c r="LXV161" s="33"/>
      <c r="LXW161" s="33"/>
      <c r="LXX161" s="33"/>
      <c r="LXY161" s="33"/>
      <c r="LXZ161" s="33"/>
      <c r="LYA161" s="33"/>
      <c r="LYB161" s="33"/>
      <c r="LYC161" s="33"/>
      <c r="LYD161" s="33"/>
      <c r="LYE161" s="33"/>
      <c r="LYF161" s="33"/>
      <c r="LYG161" s="33"/>
      <c r="LYH161" s="33"/>
      <c r="LYI161" s="33"/>
      <c r="LYJ161" s="33"/>
      <c r="LYK161" s="33"/>
      <c r="LYL161" s="33"/>
      <c r="LYM161" s="33"/>
      <c r="LYN161" s="33"/>
      <c r="LYO161" s="33"/>
      <c r="LYP161" s="33"/>
      <c r="LYQ161" s="33"/>
      <c r="LYR161" s="33"/>
      <c r="LYS161" s="33"/>
      <c r="LYT161" s="33"/>
      <c r="LYU161" s="33"/>
      <c r="LYV161" s="33"/>
      <c r="LYW161" s="33"/>
      <c r="LYX161" s="33"/>
      <c r="LYY161" s="33"/>
      <c r="LYZ161" s="33"/>
      <c r="LZA161" s="33"/>
      <c r="LZB161" s="33"/>
      <c r="LZC161" s="33"/>
      <c r="LZD161" s="33"/>
      <c r="LZE161" s="33"/>
      <c r="LZF161" s="33"/>
      <c r="LZG161" s="33"/>
      <c r="LZH161" s="33"/>
      <c r="LZI161" s="33"/>
      <c r="LZJ161" s="33"/>
      <c r="LZK161" s="33"/>
      <c r="LZL161" s="33"/>
      <c r="LZM161" s="33"/>
      <c r="LZN161" s="33"/>
      <c r="LZO161" s="33"/>
      <c r="LZP161" s="33"/>
      <c r="LZQ161" s="33"/>
      <c r="LZR161" s="33"/>
      <c r="LZS161" s="33"/>
      <c r="LZT161" s="33"/>
      <c r="LZU161" s="33"/>
      <c r="LZV161" s="33"/>
      <c r="LZW161" s="33"/>
      <c r="LZX161" s="33"/>
      <c r="LZY161" s="33"/>
      <c r="LZZ161" s="33"/>
      <c r="MAA161" s="33"/>
      <c r="MAB161" s="33"/>
      <c r="MAC161" s="33"/>
      <c r="MAD161" s="33"/>
      <c r="MAE161" s="33"/>
      <c r="MAF161" s="33"/>
      <c r="MAG161" s="33"/>
      <c r="MAH161" s="33"/>
      <c r="MAI161" s="33"/>
      <c r="MAJ161" s="33"/>
      <c r="MAK161" s="33"/>
      <c r="MAL161" s="33"/>
      <c r="MAM161" s="33"/>
      <c r="MAN161" s="33"/>
      <c r="MAO161" s="33"/>
      <c r="MAP161" s="33"/>
      <c r="MAQ161" s="33"/>
      <c r="MAR161" s="33"/>
      <c r="MAS161" s="33"/>
      <c r="MAT161" s="33"/>
      <c r="MAU161" s="33"/>
      <c r="MAV161" s="33"/>
      <c r="MAW161" s="33"/>
      <c r="MAX161" s="33"/>
      <c r="MAY161" s="33"/>
      <c r="MAZ161" s="33"/>
      <c r="MBA161" s="33"/>
      <c r="MBB161" s="33"/>
      <c r="MBC161" s="33"/>
      <c r="MBD161" s="33"/>
      <c r="MBE161" s="33"/>
      <c r="MBF161" s="33"/>
      <c r="MBG161" s="33"/>
      <c r="MBH161" s="33"/>
      <c r="MBI161" s="33"/>
      <c r="MBJ161" s="33"/>
      <c r="MBK161" s="33"/>
      <c r="MBL161" s="33"/>
      <c r="MBM161" s="33"/>
      <c r="MBN161" s="33"/>
      <c r="MBO161" s="33"/>
      <c r="MBP161" s="33"/>
      <c r="MBQ161" s="33"/>
      <c r="MBR161" s="33"/>
      <c r="MBS161" s="33"/>
      <c r="MBT161" s="33"/>
      <c r="MBU161" s="33"/>
      <c r="MBV161" s="33"/>
      <c r="MBW161" s="33"/>
      <c r="MBX161" s="33"/>
      <c r="MBY161" s="33"/>
      <c r="MBZ161" s="33"/>
      <c r="MCA161" s="33"/>
      <c r="MCB161" s="33"/>
      <c r="MCC161" s="33"/>
      <c r="MCD161" s="33"/>
      <c r="MCE161" s="33"/>
      <c r="MCF161" s="33"/>
      <c r="MCG161" s="33"/>
      <c r="MCH161" s="33"/>
      <c r="MCI161" s="33"/>
      <c r="MCJ161" s="33"/>
      <c r="MCK161" s="33"/>
      <c r="MCL161" s="33"/>
      <c r="MCM161" s="33"/>
      <c r="MCN161" s="33"/>
      <c r="MCO161" s="33"/>
      <c r="MCP161" s="33"/>
      <c r="MCQ161" s="33"/>
      <c r="MCR161" s="33"/>
      <c r="MCS161" s="33"/>
      <c r="MCT161" s="33"/>
      <c r="MCU161" s="33"/>
      <c r="MCV161" s="33"/>
      <c r="MCW161" s="33"/>
      <c r="MCX161" s="33"/>
      <c r="MCY161" s="33"/>
      <c r="MCZ161" s="33"/>
      <c r="MDA161" s="33"/>
      <c r="MDB161" s="33"/>
      <c r="MDC161" s="33"/>
      <c r="MDD161" s="33"/>
      <c r="MDE161" s="33"/>
      <c r="MDF161" s="33"/>
      <c r="MDG161" s="33"/>
      <c r="MDH161" s="33"/>
      <c r="MDI161" s="33"/>
      <c r="MDJ161" s="33"/>
      <c r="MDK161" s="33"/>
      <c r="MDL161" s="33"/>
      <c r="MDM161" s="33"/>
      <c r="MDN161" s="33"/>
      <c r="MDO161" s="33"/>
      <c r="MDP161" s="33"/>
      <c r="MDQ161" s="33"/>
      <c r="MDR161" s="33"/>
      <c r="MDS161" s="33"/>
      <c r="MDT161" s="33"/>
      <c r="MDU161" s="33"/>
      <c r="MDV161" s="33"/>
      <c r="MDW161" s="33"/>
      <c r="MDX161" s="33"/>
      <c r="MDY161" s="33"/>
      <c r="MDZ161" s="33"/>
      <c r="MEA161" s="33"/>
      <c r="MEB161" s="33"/>
      <c r="MEC161" s="33"/>
      <c r="MED161" s="33"/>
      <c r="MEE161" s="33"/>
      <c r="MEF161" s="33"/>
      <c r="MEG161" s="33"/>
      <c r="MEH161" s="33"/>
      <c r="MEI161" s="33"/>
      <c r="MEJ161" s="33"/>
      <c r="MEK161" s="33"/>
      <c r="MEL161" s="33"/>
      <c r="MEM161" s="33"/>
      <c r="MEN161" s="33"/>
      <c r="MEO161" s="33"/>
      <c r="MEP161" s="33"/>
      <c r="MEQ161" s="33"/>
      <c r="MER161" s="33"/>
      <c r="MES161" s="33"/>
      <c r="MET161" s="33"/>
      <c r="MEU161" s="33"/>
      <c r="MEV161" s="33"/>
      <c r="MEW161" s="33"/>
      <c r="MEX161" s="33"/>
      <c r="MEY161" s="33"/>
      <c r="MEZ161" s="33"/>
      <c r="MFA161" s="33"/>
      <c r="MFB161" s="33"/>
      <c r="MFC161" s="33"/>
      <c r="MFD161" s="33"/>
      <c r="MFE161" s="33"/>
      <c r="MFF161" s="33"/>
      <c r="MFG161" s="33"/>
      <c r="MFH161" s="33"/>
      <c r="MFI161" s="33"/>
      <c r="MFJ161" s="33"/>
      <c r="MFK161" s="33"/>
      <c r="MFL161" s="33"/>
      <c r="MFM161" s="33"/>
      <c r="MFN161" s="33"/>
      <c r="MFO161" s="33"/>
      <c r="MFP161" s="33"/>
      <c r="MFQ161" s="33"/>
      <c r="MFR161" s="33"/>
      <c r="MFS161" s="33"/>
      <c r="MFT161" s="33"/>
      <c r="MFU161" s="33"/>
      <c r="MFV161" s="33"/>
      <c r="MFW161" s="33"/>
      <c r="MFX161" s="33"/>
      <c r="MFY161" s="33"/>
      <c r="MFZ161" s="33"/>
      <c r="MGA161" s="33"/>
      <c r="MGB161" s="33"/>
      <c r="MGC161" s="33"/>
      <c r="MGD161" s="33"/>
      <c r="MGE161" s="33"/>
      <c r="MGF161" s="33"/>
      <c r="MGG161" s="33"/>
      <c r="MGH161" s="33"/>
      <c r="MGI161" s="33"/>
      <c r="MGJ161" s="33"/>
      <c r="MGK161" s="33"/>
      <c r="MGL161" s="33"/>
      <c r="MGM161" s="33"/>
      <c r="MGN161" s="33"/>
      <c r="MGO161" s="33"/>
      <c r="MGP161" s="33"/>
      <c r="MGQ161" s="33"/>
      <c r="MGR161" s="33"/>
      <c r="MGS161" s="33"/>
      <c r="MGT161" s="33"/>
      <c r="MGU161" s="33"/>
      <c r="MGV161" s="33"/>
      <c r="MGW161" s="33"/>
      <c r="MGX161" s="33"/>
      <c r="MGY161" s="33"/>
      <c r="MGZ161" s="33"/>
      <c r="MHA161" s="33"/>
      <c r="MHB161" s="33"/>
      <c r="MHC161" s="33"/>
      <c r="MHD161" s="33"/>
      <c r="MHE161" s="33"/>
      <c r="MHF161" s="33"/>
      <c r="MHG161" s="33"/>
      <c r="MHH161" s="33"/>
      <c r="MHI161" s="33"/>
      <c r="MHJ161" s="33"/>
      <c r="MHK161" s="33"/>
      <c r="MHL161" s="33"/>
      <c r="MHM161" s="33"/>
      <c r="MHN161" s="33"/>
      <c r="MHO161" s="33"/>
      <c r="MHP161" s="33"/>
      <c r="MHQ161" s="33"/>
      <c r="MHR161" s="33"/>
      <c r="MHS161" s="33"/>
      <c r="MHT161" s="33"/>
      <c r="MHU161" s="33"/>
      <c r="MHV161" s="33"/>
      <c r="MHW161" s="33"/>
      <c r="MHX161" s="33"/>
      <c r="MHY161" s="33"/>
      <c r="MHZ161" s="33"/>
      <c r="MIA161" s="33"/>
      <c r="MIB161" s="33"/>
      <c r="MIC161" s="33"/>
      <c r="MID161" s="33"/>
      <c r="MIE161" s="33"/>
      <c r="MIF161" s="33"/>
      <c r="MIG161" s="33"/>
      <c r="MIH161" s="33"/>
      <c r="MII161" s="33"/>
      <c r="MIJ161" s="33"/>
      <c r="MIK161" s="33"/>
      <c r="MIL161" s="33"/>
      <c r="MIM161" s="33"/>
      <c r="MIN161" s="33"/>
      <c r="MIO161" s="33"/>
      <c r="MIP161" s="33"/>
      <c r="MIQ161" s="33"/>
      <c r="MIR161" s="33"/>
      <c r="MIS161" s="33"/>
      <c r="MIT161" s="33"/>
      <c r="MIU161" s="33"/>
      <c r="MIV161" s="33"/>
      <c r="MIW161" s="33"/>
      <c r="MIX161" s="33"/>
      <c r="MIY161" s="33"/>
      <c r="MIZ161" s="33"/>
      <c r="MJA161" s="33"/>
      <c r="MJB161" s="33"/>
      <c r="MJC161" s="33"/>
      <c r="MJD161" s="33"/>
      <c r="MJE161" s="33"/>
      <c r="MJF161" s="33"/>
      <c r="MJG161" s="33"/>
      <c r="MJH161" s="33"/>
      <c r="MJI161" s="33"/>
      <c r="MJJ161" s="33"/>
      <c r="MJK161" s="33"/>
      <c r="MJL161" s="33"/>
      <c r="MJM161" s="33"/>
      <c r="MJN161" s="33"/>
      <c r="MJO161" s="33"/>
      <c r="MJP161" s="33"/>
      <c r="MJQ161" s="33"/>
      <c r="MJR161" s="33"/>
      <c r="MJS161" s="33"/>
      <c r="MJT161" s="33"/>
      <c r="MJU161" s="33"/>
      <c r="MJV161" s="33"/>
      <c r="MJW161" s="33"/>
      <c r="MJX161" s="33"/>
      <c r="MJY161" s="33"/>
      <c r="MJZ161" s="33"/>
      <c r="MKA161" s="33"/>
      <c r="MKB161" s="33"/>
      <c r="MKC161" s="33"/>
      <c r="MKD161" s="33"/>
      <c r="MKE161" s="33"/>
      <c r="MKF161" s="33"/>
      <c r="MKG161" s="33"/>
      <c r="MKH161" s="33"/>
      <c r="MKI161" s="33"/>
      <c r="MKJ161" s="33"/>
      <c r="MKK161" s="33"/>
      <c r="MKL161" s="33"/>
      <c r="MKM161" s="33"/>
      <c r="MKN161" s="33"/>
      <c r="MKO161" s="33"/>
      <c r="MKP161" s="33"/>
      <c r="MKQ161" s="33"/>
      <c r="MKR161" s="33"/>
      <c r="MKS161" s="33"/>
      <c r="MKT161" s="33"/>
      <c r="MKU161" s="33"/>
      <c r="MKV161" s="33"/>
      <c r="MKW161" s="33"/>
      <c r="MKX161" s="33"/>
      <c r="MKY161" s="33"/>
      <c r="MKZ161" s="33"/>
      <c r="MLA161" s="33"/>
      <c r="MLB161" s="33"/>
      <c r="MLC161" s="33"/>
      <c r="MLD161" s="33"/>
      <c r="MLE161" s="33"/>
      <c r="MLF161" s="33"/>
      <c r="MLG161" s="33"/>
      <c r="MLH161" s="33"/>
      <c r="MLI161" s="33"/>
      <c r="MLJ161" s="33"/>
      <c r="MLK161" s="33"/>
      <c r="MLL161" s="33"/>
      <c r="MLM161" s="33"/>
      <c r="MLN161" s="33"/>
      <c r="MLO161" s="33"/>
      <c r="MLP161" s="33"/>
      <c r="MLQ161" s="33"/>
      <c r="MLR161" s="33"/>
      <c r="MLS161" s="33"/>
      <c r="MLT161" s="33"/>
      <c r="MLU161" s="33"/>
      <c r="MLV161" s="33"/>
      <c r="MLW161" s="33"/>
      <c r="MLX161" s="33"/>
      <c r="MLY161" s="33"/>
      <c r="MLZ161" s="33"/>
      <c r="MMA161" s="33"/>
      <c r="MMB161" s="33"/>
      <c r="MMC161" s="33"/>
      <c r="MMD161" s="33"/>
      <c r="MME161" s="33"/>
      <c r="MMF161" s="33"/>
      <c r="MMG161" s="33"/>
      <c r="MMH161" s="33"/>
      <c r="MMI161" s="33"/>
      <c r="MMJ161" s="33"/>
      <c r="MMK161" s="33"/>
      <c r="MML161" s="33"/>
      <c r="MMM161" s="33"/>
      <c r="MMN161" s="33"/>
      <c r="MMO161" s="33"/>
      <c r="MMP161" s="33"/>
      <c r="MMQ161" s="33"/>
      <c r="MMR161" s="33"/>
      <c r="MMS161" s="33"/>
      <c r="MMT161" s="33"/>
      <c r="MMU161" s="33"/>
      <c r="MMV161" s="33"/>
      <c r="MMW161" s="33"/>
      <c r="MMX161" s="33"/>
      <c r="MMY161" s="33"/>
      <c r="MMZ161" s="33"/>
      <c r="MNA161" s="33"/>
      <c r="MNB161" s="33"/>
      <c r="MNC161" s="33"/>
      <c r="MND161" s="33"/>
      <c r="MNE161" s="33"/>
      <c r="MNF161" s="33"/>
      <c r="MNG161" s="33"/>
      <c r="MNH161" s="33"/>
      <c r="MNI161" s="33"/>
      <c r="MNJ161" s="33"/>
      <c r="MNK161" s="33"/>
      <c r="MNL161" s="33"/>
      <c r="MNM161" s="33"/>
      <c r="MNN161" s="33"/>
      <c r="MNO161" s="33"/>
      <c r="MNP161" s="33"/>
      <c r="MNQ161" s="33"/>
      <c r="MNR161" s="33"/>
      <c r="MNS161" s="33"/>
      <c r="MNT161" s="33"/>
      <c r="MNU161" s="33"/>
      <c r="MNV161" s="33"/>
      <c r="MNW161" s="33"/>
      <c r="MNX161" s="33"/>
      <c r="MNY161" s="33"/>
      <c r="MNZ161" s="33"/>
      <c r="MOA161" s="33"/>
      <c r="MOB161" s="33"/>
      <c r="MOC161" s="33"/>
      <c r="MOD161" s="33"/>
      <c r="MOE161" s="33"/>
      <c r="MOF161" s="33"/>
      <c r="MOG161" s="33"/>
      <c r="MOH161" s="33"/>
      <c r="MOI161" s="33"/>
      <c r="MOJ161" s="33"/>
      <c r="MOK161" s="33"/>
      <c r="MOL161" s="33"/>
      <c r="MOM161" s="33"/>
      <c r="MON161" s="33"/>
      <c r="MOO161" s="33"/>
      <c r="MOP161" s="33"/>
      <c r="MOQ161" s="33"/>
      <c r="MOR161" s="33"/>
      <c r="MOS161" s="33"/>
      <c r="MOT161" s="33"/>
      <c r="MOU161" s="33"/>
      <c r="MOV161" s="33"/>
      <c r="MOW161" s="33"/>
      <c r="MOX161" s="33"/>
      <c r="MOY161" s="33"/>
      <c r="MOZ161" s="33"/>
      <c r="MPA161" s="33"/>
      <c r="MPB161" s="33"/>
      <c r="MPC161" s="33"/>
      <c r="MPD161" s="33"/>
      <c r="MPE161" s="33"/>
      <c r="MPF161" s="33"/>
      <c r="MPG161" s="33"/>
      <c r="MPH161" s="33"/>
      <c r="MPI161" s="33"/>
      <c r="MPJ161" s="33"/>
      <c r="MPK161" s="33"/>
      <c r="MPL161" s="33"/>
      <c r="MPM161" s="33"/>
      <c r="MPN161" s="33"/>
      <c r="MPO161" s="33"/>
      <c r="MPP161" s="33"/>
      <c r="MPQ161" s="33"/>
      <c r="MPR161" s="33"/>
      <c r="MPS161" s="33"/>
      <c r="MPT161" s="33"/>
      <c r="MPU161" s="33"/>
      <c r="MPV161" s="33"/>
      <c r="MPW161" s="33"/>
      <c r="MPX161" s="33"/>
      <c r="MPY161" s="33"/>
      <c r="MPZ161" s="33"/>
      <c r="MQA161" s="33"/>
      <c r="MQB161" s="33"/>
      <c r="MQC161" s="33"/>
      <c r="MQD161" s="33"/>
      <c r="MQE161" s="33"/>
      <c r="MQF161" s="33"/>
      <c r="MQG161" s="33"/>
      <c r="MQH161" s="33"/>
      <c r="MQI161" s="33"/>
      <c r="MQJ161" s="33"/>
      <c r="MQK161" s="33"/>
      <c r="MQL161" s="33"/>
      <c r="MQM161" s="33"/>
      <c r="MQN161" s="33"/>
      <c r="MQO161" s="33"/>
      <c r="MQP161" s="33"/>
      <c r="MQQ161" s="33"/>
      <c r="MQR161" s="33"/>
      <c r="MQS161" s="33"/>
      <c r="MQT161" s="33"/>
      <c r="MQU161" s="33"/>
      <c r="MQV161" s="33"/>
      <c r="MQW161" s="33"/>
      <c r="MQX161" s="33"/>
      <c r="MQY161" s="33"/>
      <c r="MQZ161" s="33"/>
      <c r="MRA161" s="33"/>
      <c r="MRB161" s="33"/>
      <c r="MRC161" s="33"/>
      <c r="MRD161" s="33"/>
      <c r="MRE161" s="33"/>
      <c r="MRF161" s="33"/>
      <c r="MRG161" s="33"/>
      <c r="MRH161" s="33"/>
      <c r="MRI161" s="33"/>
      <c r="MRJ161" s="33"/>
      <c r="MRK161" s="33"/>
      <c r="MRL161" s="33"/>
      <c r="MRM161" s="33"/>
      <c r="MRN161" s="33"/>
      <c r="MRO161" s="33"/>
      <c r="MRP161" s="33"/>
      <c r="MRQ161" s="33"/>
      <c r="MRR161" s="33"/>
      <c r="MRS161" s="33"/>
      <c r="MRT161" s="33"/>
      <c r="MRU161" s="33"/>
      <c r="MRV161" s="33"/>
      <c r="MRW161" s="33"/>
      <c r="MRX161" s="33"/>
      <c r="MRY161" s="33"/>
      <c r="MRZ161" s="33"/>
      <c r="MSA161" s="33"/>
      <c r="MSB161" s="33"/>
      <c r="MSC161" s="33"/>
      <c r="MSD161" s="33"/>
      <c r="MSE161" s="33"/>
      <c r="MSF161" s="33"/>
      <c r="MSG161" s="33"/>
      <c r="MSH161" s="33"/>
      <c r="MSI161" s="33"/>
      <c r="MSJ161" s="33"/>
      <c r="MSK161" s="33"/>
      <c r="MSL161" s="33"/>
      <c r="MSM161" s="33"/>
      <c r="MSN161" s="33"/>
      <c r="MSO161" s="33"/>
      <c r="MSP161" s="33"/>
      <c r="MSQ161" s="33"/>
      <c r="MSR161" s="33"/>
      <c r="MSS161" s="33"/>
      <c r="MST161" s="33"/>
      <c r="MSU161" s="33"/>
      <c r="MSV161" s="33"/>
      <c r="MSW161" s="33"/>
      <c r="MSX161" s="33"/>
      <c r="MSY161" s="33"/>
      <c r="MSZ161" s="33"/>
      <c r="MTA161" s="33"/>
      <c r="MTB161" s="33"/>
      <c r="MTC161" s="33"/>
      <c r="MTD161" s="33"/>
      <c r="MTE161" s="33"/>
      <c r="MTF161" s="33"/>
      <c r="MTG161" s="33"/>
      <c r="MTH161" s="33"/>
      <c r="MTI161" s="33"/>
      <c r="MTJ161" s="33"/>
      <c r="MTK161" s="33"/>
      <c r="MTL161" s="33"/>
      <c r="MTM161" s="33"/>
      <c r="MTN161" s="33"/>
      <c r="MTO161" s="33"/>
      <c r="MTP161" s="33"/>
      <c r="MTQ161" s="33"/>
      <c r="MTR161" s="33"/>
      <c r="MTS161" s="33"/>
      <c r="MTT161" s="33"/>
      <c r="MTU161" s="33"/>
      <c r="MTV161" s="33"/>
      <c r="MTW161" s="33"/>
      <c r="MTX161" s="33"/>
      <c r="MTY161" s="33"/>
      <c r="MTZ161" s="33"/>
      <c r="MUA161" s="33"/>
      <c r="MUB161" s="33"/>
      <c r="MUC161" s="33"/>
      <c r="MUD161" s="33"/>
      <c r="MUE161" s="33"/>
      <c r="MUF161" s="33"/>
      <c r="MUG161" s="33"/>
      <c r="MUH161" s="33"/>
      <c r="MUI161" s="33"/>
      <c r="MUJ161" s="33"/>
      <c r="MUK161" s="33"/>
      <c r="MUL161" s="33"/>
      <c r="MUM161" s="33"/>
      <c r="MUN161" s="33"/>
      <c r="MUO161" s="33"/>
      <c r="MUP161" s="33"/>
      <c r="MUQ161" s="33"/>
      <c r="MUR161" s="33"/>
      <c r="MUS161" s="33"/>
      <c r="MUT161" s="33"/>
      <c r="MUU161" s="33"/>
      <c r="MUV161" s="33"/>
      <c r="MUW161" s="33"/>
      <c r="MUX161" s="33"/>
      <c r="MUY161" s="33"/>
      <c r="MUZ161" s="33"/>
      <c r="MVA161" s="33"/>
      <c r="MVB161" s="33"/>
      <c r="MVC161" s="33"/>
      <c r="MVD161" s="33"/>
      <c r="MVE161" s="33"/>
      <c r="MVF161" s="33"/>
      <c r="MVG161" s="33"/>
      <c r="MVH161" s="33"/>
      <c r="MVI161" s="33"/>
      <c r="MVJ161" s="33"/>
      <c r="MVK161" s="33"/>
      <c r="MVL161" s="33"/>
      <c r="MVM161" s="33"/>
      <c r="MVN161" s="33"/>
      <c r="MVO161" s="33"/>
      <c r="MVP161" s="33"/>
      <c r="MVQ161" s="33"/>
      <c r="MVR161" s="33"/>
      <c r="MVS161" s="33"/>
      <c r="MVT161" s="33"/>
      <c r="MVU161" s="33"/>
      <c r="MVV161" s="33"/>
      <c r="MVW161" s="33"/>
      <c r="MVX161" s="33"/>
      <c r="MVY161" s="33"/>
      <c r="MVZ161" s="33"/>
      <c r="MWA161" s="33"/>
      <c r="MWB161" s="33"/>
      <c r="MWC161" s="33"/>
      <c r="MWD161" s="33"/>
      <c r="MWE161" s="33"/>
      <c r="MWF161" s="33"/>
      <c r="MWG161" s="33"/>
      <c r="MWH161" s="33"/>
      <c r="MWI161" s="33"/>
      <c r="MWJ161" s="33"/>
      <c r="MWK161" s="33"/>
      <c r="MWL161" s="33"/>
      <c r="MWM161" s="33"/>
      <c r="MWN161" s="33"/>
      <c r="MWO161" s="33"/>
      <c r="MWP161" s="33"/>
      <c r="MWQ161" s="33"/>
      <c r="MWR161" s="33"/>
      <c r="MWS161" s="33"/>
      <c r="MWT161" s="33"/>
      <c r="MWU161" s="33"/>
      <c r="MWV161" s="33"/>
      <c r="MWW161" s="33"/>
      <c r="MWX161" s="33"/>
      <c r="MWY161" s="33"/>
      <c r="MWZ161" s="33"/>
      <c r="MXA161" s="33"/>
      <c r="MXB161" s="33"/>
      <c r="MXC161" s="33"/>
      <c r="MXD161" s="33"/>
      <c r="MXE161" s="33"/>
      <c r="MXF161" s="33"/>
      <c r="MXG161" s="33"/>
      <c r="MXH161" s="33"/>
      <c r="MXI161" s="33"/>
      <c r="MXJ161" s="33"/>
      <c r="MXK161" s="33"/>
      <c r="MXL161" s="33"/>
      <c r="MXM161" s="33"/>
      <c r="MXN161" s="33"/>
      <c r="MXO161" s="33"/>
      <c r="MXP161" s="33"/>
      <c r="MXQ161" s="33"/>
      <c r="MXR161" s="33"/>
      <c r="MXS161" s="33"/>
      <c r="MXT161" s="33"/>
      <c r="MXU161" s="33"/>
      <c r="MXV161" s="33"/>
      <c r="MXW161" s="33"/>
      <c r="MXX161" s="33"/>
      <c r="MXY161" s="33"/>
      <c r="MXZ161" s="33"/>
      <c r="MYA161" s="33"/>
      <c r="MYB161" s="33"/>
      <c r="MYC161" s="33"/>
      <c r="MYD161" s="33"/>
      <c r="MYE161" s="33"/>
      <c r="MYF161" s="33"/>
      <c r="MYG161" s="33"/>
      <c r="MYH161" s="33"/>
      <c r="MYI161" s="33"/>
      <c r="MYJ161" s="33"/>
      <c r="MYK161" s="33"/>
      <c r="MYL161" s="33"/>
      <c r="MYM161" s="33"/>
      <c r="MYN161" s="33"/>
      <c r="MYO161" s="33"/>
      <c r="MYP161" s="33"/>
      <c r="MYQ161" s="33"/>
      <c r="MYR161" s="33"/>
      <c r="MYS161" s="33"/>
      <c r="MYT161" s="33"/>
      <c r="MYU161" s="33"/>
      <c r="MYV161" s="33"/>
      <c r="MYW161" s="33"/>
      <c r="MYX161" s="33"/>
      <c r="MYY161" s="33"/>
      <c r="MYZ161" s="33"/>
      <c r="MZA161" s="33"/>
      <c r="MZB161" s="33"/>
      <c r="MZC161" s="33"/>
      <c r="MZD161" s="33"/>
      <c r="MZE161" s="33"/>
      <c r="MZF161" s="33"/>
      <c r="MZG161" s="33"/>
      <c r="MZH161" s="33"/>
      <c r="MZI161" s="33"/>
      <c r="MZJ161" s="33"/>
      <c r="MZK161" s="33"/>
      <c r="MZL161" s="33"/>
      <c r="MZM161" s="33"/>
      <c r="MZN161" s="33"/>
      <c r="MZO161" s="33"/>
      <c r="MZP161" s="33"/>
      <c r="MZQ161" s="33"/>
      <c r="MZR161" s="33"/>
      <c r="MZS161" s="33"/>
      <c r="MZT161" s="33"/>
      <c r="MZU161" s="33"/>
      <c r="MZV161" s="33"/>
      <c r="MZW161" s="33"/>
      <c r="MZX161" s="33"/>
      <c r="MZY161" s="33"/>
      <c r="MZZ161" s="33"/>
      <c r="NAA161" s="33"/>
      <c r="NAB161" s="33"/>
      <c r="NAC161" s="33"/>
      <c r="NAD161" s="33"/>
      <c r="NAE161" s="33"/>
      <c r="NAF161" s="33"/>
      <c r="NAG161" s="33"/>
      <c r="NAH161" s="33"/>
      <c r="NAI161" s="33"/>
      <c r="NAJ161" s="33"/>
      <c r="NAK161" s="33"/>
      <c r="NAL161" s="33"/>
      <c r="NAM161" s="33"/>
      <c r="NAN161" s="33"/>
      <c r="NAO161" s="33"/>
      <c r="NAP161" s="33"/>
      <c r="NAQ161" s="33"/>
      <c r="NAR161" s="33"/>
      <c r="NAS161" s="33"/>
      <c r="NAT161" s="33"/>
      <c r="NAU161" s="33"/>
      <c r="NAV161" s="33"/>
      <c r="NAW161" s="33"/>
      <c r="NAX161" s="33"/>
      <c r="NAY161" s="33"/>
      <c r="NAZ161" s="33"/>
      <c r="NBA161" s="33"/>
      <c r="NBB161" s="33"/>
      <c r="NBC161" s="33"/>
      <c r="NBD161" s="33"/>
      <c r="NBE161" s="33"/>
      <c r="NBF161" s="33"/>
      <c r="NBG161" s="33"/>
      <c r="NBH161" s="33"/>
      <c r="NBI161" s="33"/>
      <c r="NBJ161" s="33"/>
      <c r="NBK161" s="33"/>
      <c r="NBL161" s="33"/>
      <c r="NBM161" s="33"/>
      <c r="NBN161" s="33"/>
      <c r="NBO161" s="33"/>
      <c r="NBP161" s="33"/>
      <c r="NBQ161" s="33"/>
      <c r="NBR161" s="33"/>
      <c r="NBS161" s="33"/>
      <c r="NBT161" s="33"/>
      <c r="NBU161" s="33"/>
      <c r="NBV161" s="33"/>
      <c r="NBW161" s="33"/>
      <c r="NBX161" s="33"/>
      <c r="NBY161" s="33"/>
      <c r="NBZ161" s="33"/>
      <c r="NCA161" s="33"/>
      <c r="NCB161" s="33"/>
      <c r="NCC161" s="33"/>
      <c r="NCD161" s="33"/>
      <c r="NCE161" s="33"/>
      <c r="NCF161" s="33"/>
      <c r="NCG161" s="33"/>
      <c r="NCH161" s="33"/>
      <c r="NCI161" s="33"/>
      <c r="NCJ161" s="33"/>
      <c r="NCK161" s="33"/>
      <c r="NCL161" s="33"/>
      <c r="NCM161" s="33"/>
      <c r="NCN161" s="33"/>
      <c r="NCO161" s="33"/>
      <c r="NCP161" s="33"/>
      <c r="NCQ161" s="33"/>
      <c r="NCR161" s="33"/>
      <c r="NCS161" s="33"/>
      <c r="NCT161" s="33"/>
      <c r="NCU161" s="33"/>
      <c r="NCV161" s="33"/>
      <c r="NCW161" s="33"/>
      <c r="NCX161" s="33"/>
      <c r="NCY161" s="33"/>
      <c r="NCZ161" s="33"/>
      <c r="NDA161" s="33"/>
      <c r="NDB161" s="33"/>
      <c r="NDC161" s="33"/>
      <c r="NDD161" s="33"/>
      <c r="NDE161" s="33"/>
      <c r="NDF161" s="33"/>
      <c r="NDG161" s="33"/>
      <c r="NDH161" s="33"/>
      <c r="NDI161" s="33"/>
      <c r="NDJ161" s="33"/>
      <c r="NDK161" s="33"/>
      <c r="NDL161" s="33"/>
      <c r="NDM161" s="33"/>
      <c r="NDN161" s="33"/>
      <c r="NDO161" s="33"/>
      <c r="NDP161" s="33"/>
      <c r="NDQ161" s="33"/>
      <c r="NDR161" s="33"/>
      <c r="NDS161" s="33"/>
      <c r="NDT161" s="33"/>
      <c r="NDU161" s="33"/>
      <c r="NDV161" s="33"/>
      <c r="NDW161" s="33"/>
      <c r="NDX161" s="33"/>
      <c r="NDY161" s="33"/>
      <c r="NDZ161" s="33"/>
      <c r="NEA161" s="33"/>
      <c r="NEB161" s="33"/>
      <c r="NEC161" s="33"/>
      <c r="NED161" s="33"/>
      <c r="NEE161" s="33"/>
      <c r="NEF161" s="33"/>
      <c r="NEG161" s="33"/>
      <c r="NEH161" s="33"/>
      <c r="NEI161" s="33"/>
      <c r="NEJ161" s="33"/>
      <c r="NEK161" s="33"/>
      <c r="NEL161" s="33"/>
      <c r="NEM161" s="33"/>
      <c r="NEN161" s="33"/>
      <c r="NEO161" s="33"/>
      <c r="NEP161" s="33"/>
      <c r="NEQ161" s="33"/>
      <c r="NER161" s="33"/>
      <c r="NES161" s="33"/>
      <c r="NET161" s="33"/>
      <c r="NEU161" s="33"/>
      <c r="NEV161" s="33"/>
      <c r="NEW161" s="33"/>
      <c r="NEX161" s="33"/>
      <c r="NEY161" s="33"/>
      <c r="NEZ161" s="33"/>
      <c r="NFA161" s="33"/>
      <c r="NFB161" s="33"/>
      <c r="NFC161" s="33"/>
      <c r="NFD161" s="33"/>
      <c r="NFE161" s="33"/>
      <c r="NFF161" s="33"/>
      <c r="NFG161" s="33"/>
      <c r="NFH161" s="33"/>
      <c r="NFI161" s="33"/>
      <c r="NFJ161" s="33"/>
      <c r="NFK161" s="33"/>
      <c r="NFL161" s="33"/>
      <c r="NFM161" s="33"/>
      <c r="NFN161" s="33"/>
      <c r="NFO161" s="33"/>
      <c r="NFP161" s="33"/>
      <c r="NFQ161" s="33"/>
      <c r="NFR161" s="33"/>
      <c r="NFS161" s="33"/>
      <c r="NFT161" s="33"/>
      <c r="NFU161" s="33"/>
      <c r="NFV161" s="33"/>
      <c r="NFW161" s="33"/>
      <c r="NFX161" s="33"/>
      <c r="NFY161" s="33"/>
      <c r="NFZ161" s="33"/>
      <c r="NGA161" s="33"/>
      <c r="NGB161" s="33"/>
      <c r="NGC161" s="33"/>
      <c r="NGD161" s="33"/>
      <c r="NGE161" s="33"/>
      <c r="NGF161" s="33"/>
      <c r="NGG161" s="33"/>
      <c r="NGH161" s="33"/>
      <c r="NGI161" s="33"/>
      <c r="NGJ161" s="33"/>
      <c r="NGK161" s="33"/>
      <c r="NGL161" s="33"/>
      <c r="NGM161" s="33"/>
      <c r="NGN161" s="33"/>
      <c r="NGO161" s="33"/>
      <c r="NGP161" s="33"/>
      <c r="NGQ161" s="33"/>
      <c r="NGR161" s="33"/>
      <c r="NGS161" s="33"/>
      <c r="NGT161" s="33"/>
      <c r="NGU161" s="33"/>
      <c r="NGV161" s="33"/>
      <c r="NGW161" s="33"/>
      <c r="NGX161" s="33"/>
      <c r="NGY161" s="33"/>
      <c r="NGZ161" s="33"/>
      <c r="NHA161" s="33"/>
      <c r="NHB161" s="33"/>
      <c r="NHC161" s="33"/>
      <c r="NHD161" s="33"/>
      <c r="NHE161" s="33"/>
      <c r="NHF161" s="33"/>
      <c r="NHG161" s="33"/>
      <c r="NHH161" s="33"/>
      <c r="NHI161" s="33"/>
      <c r="NHJ161" s="33"/>
      <c r="NHK161" s="33"/>
      <c r="NHL161" s="33"/>
      <c r="NHM161" s="33"/>
      <c r="NHN161" s="33"/>
      <c r="NHO161" s="33"/>
      <c r="NHP161" s="33"/>
      <c r="NHQ161" s="33"/>
      <c r="NHR161" s="33"/>
      <c r="NHS161" s="33"/>
      <c r="NHT161" s="33"/>
      <c r="NHU161" s="33"/>
      <c r="NHV161" s="33"/>
      <c r="NHW161" s="33"/>
      <c r="NHX161" s="33"/>
      <c r="NHY161" s="33"/>
      <c r="NHZ161" s="33"/>
      <c r="NIA161" s="33"/>
      <c r="NIB161" s="33"/>
      <c r="NIC161" s="33"/>
      <c r="NID161" s="33"/>
      <c r="NIE161" s="33"/>
      <c r="NIF161" s="33"/>
      <c r="NIG161" s="33"/>
      <c r="NIH161" s="33"/>
      <c r="NII161" s="33"/>
      <c r="NIJ161" s="33"/>
      <c r="NIK161" s="33"/>
      <c r="NIL161" s="33"/>
      <c r="NIM161" s="33"/>
      <c r="NIN161" s="33"/>
      <c r="NIO161" s="33"/>
      <c r="NIP161" s="33"/>
      <c r="NIQ161" s="33"/>
      <c r="NIR161" s="33"/>
      <c r="NIS161" s="33"/>
      <c r="NIT161" s="33"/>
      <c r="NIU161" s="33"/>
      <c r="NIV161" s="33"/>
      <c r="NIW161" s="33"/>
      <c r="NIX161" s="33"/>
      <c r="NIY161" s="33"/>
      <c r="NIZ161" s="33"/>
      <c r="NJA161" s="33"/>
      <c r="NJB161" s="33"/>
      <c r="NJC161" s="33"/>
      <c r="NJD161" s="33"/>
      <c r="NJE161" s="33"/>
      <c r="NJF161" s="33"/>
      <c r="NJG161" s="33"/>
      <c r="NJH161" s="33"/>
      <c r="NJI161" s="33"/>
      <c r="NJJ161" s="33"/>
      <c r="NJK161" s="33"/>
      <c r="NJL161" s="33"/>
      <c r="NJM161" s="33"/>
      <c r="NJN161" s="33"/>
      <c r="NJO161" s="33"/>
      <c r="NJP161" s="33"/>
      <c r="NJQ161" s="33"/>
      <c r="NJR161" s="33"/>
      <c r="NJS161" s="33"/>
      <c r="NJT161" s="33"/>
      <c r="NJU161" s="33"/>
      <c r="NJV161" s="33"/>
      <c r="NJW161" s="33"/>
      <c r="NJX161" s="33"/>
      <c r="NJY161" s="33"/>
      <c r="NJZ161" s="33"/>
      <c r="NKA161" s="33"/>
      <c r="NKB161" s="33"/>
      <c r="NKC161" s="33"/>
      <c r="NKD161" s="33"/>
      <c r="NKE161" s="33"/>
      <c r="NKF161" s="33"/>
      <c r="NKG161" s="33"/>
      <c r="NKH161" s="33"/>
      <c r="NKI161" s="33"/>
      <c r="NKJ161" s="33"/>
      <c r="NKK161" s="33"/>
      <c r="NKL161" s="33"/>
      <c r="NKM161" s="33"/>
      <c r="NKN161" s="33"/>
      <c r="NKO161" s="33"/>
      <c r="NKP161" s="33"/>
      <c r="NKQ161" s="33"/>
      <c r="NKR161" s="33"/>
      <c r="NKS161" s="33"/>
      <c r="NKT161" s="33"/>
      <c r="NKU161" s="33"/>
      <c r="NKV161" s="33"/>
      <c r="NKW161" s="33"/>
      <c r="NKX161" s="33"/>
      <c r="NKY161" s="33"/>
      <c r="NKZ161" s="33"/>
      <c r="NLA161" s="33"/>
      <c r="NLB161" s="33"/>
      <c r="NLC161" s="33"/>
      <c r="NLD161" s="33"/>
      <c r="NLE161" s="33"/>
      <c r="NLF161" s="33"/>
      <c r="NLG161" s="33"/>
      <c r="NLH161" s="33"/>
      <c r="NLI161" s="33"/>
      <c r="NLJ161" s="33"/>
      <c r="NLK161" s="33"/>
      <c r="NLL161" s="33"/>
      <c r="NLM161" s="33"/>
      <c r="NLN161" s="33"/>
      <c r="NLO161" s="33"/>
      <c r="NLP161" s="33"/>
      <c r="NLQ161" s="33"/>
      <c r="NLR161" s="33"/>
      <c r="NLS161" s="33"/>
      <c r="NLT161" s="33"/>
      <c r="NLU161" s="33"/>
      <c r="NLV161" s="33"/>
      <c r="NLW161" s="33"/>
      <c r="NLX161" s="33"/>
      <c r="NLY161" s="33"/>
      <c r="NLZ161" s="33"/>
      <c r="NMA161" s="33"/>
      <c r="NMB161" s="33"/>
      <c r="NMC161" s="33"/>
      <c r="NMD161" s="33"/>
      <c r="NME161" s="33"/>
      <c r="NMF161" s="33"/>
      <c r="NMG161" s="33"/>
      <c r="NMH161" s="33"/>
      <c r="NMI161" s="33"/>
      <c r="NMJ161" s="33"/>
      <c r="NMK161" s="33"/>
      <c r="NML161" s="33"/>
      <c r="NMM161" s="33"/>
      <c r="NMN161" s="33"/>
      <c r="NMO161" s="33"/>
      <c r="NMP161" s="33"/>
      <c r="NMQ161" s="33"/>
      <c r="NMR161" s="33"/>
      <c r="NMS161" s="33"/>
      <c r="NMT161" s="33"/>
      <c r="NMU161" s="33"/>
      <c r="NMV161" s="33"/>
      <c r="NMW161" s="33"/>
      <c r="NMX161" s="33"/>
      <c r="NMY161" s="33"/>
      <c r="NMZ161" s="33"/>
      <c r="NNA161" s="33"/>
      <c r="NNB161" s="33"/>
      <c r="NNC161" s="33"/>
      <c r="NND161" s="33"/>
      <c r="NNE161" s="33"/>
      <c r="NNF161" s="33"/>
      <c r="NNG161" s="33"/>
      <c r="NNH161" s="33"/>
      <c r="NNI161" s="33"/>
      <c r="NNJ161" s="33"/>
      <c r="NNK161" s="33"/>
      <c r="NNL161" s="33"/>
      <c r="NNM161" s="33"/>
      <c r="NNN161" s="33"/>
      <c r="NNO161" s="33"/>
      <c r="NNP161" s="33"/>
      <c r="NNQ161" s="33"/>
      <c r="NNR161" s="33"/>
      <c r="NNS161" s="33"/>
      <c r="NNT161" s="33"/>
      <c r="NNU161" s="33"/>
      <c r="NNV161" s="33"/>
      <c r="NNW161" s="33"/>
      <c r="NNX161" s="33"/>
      <c r="NNY161" s="33"/>
      <c r="NNZ161" s="33"/>
      <c r="NOA161" s="33"/>
      <c r="NOB161" s="33"/>
      <c r="NOC161" s="33"/>
      <c r="NOD161" s="33"/>
      <c r="NOE161" s="33"/>
      <c r="NOF161" s="33"/>
      <c r="NOG161" s="33"/>
      <c r="NOH161" s="33"/>
      <c r="NOI161" s="33"/>
      <c r="NOJ161" s="33"/>
      <c r="NOK161" s="33"/>
      <c r="NOL161" s="33"/>
      <c r="NOM161" s="33"/>
      <c r="NON161" s="33"/>
      <c r="NOO161" s="33"/>
      <c r="NOP161" s="33"/>
      <c r="NOQ161" s="33"/>
      <c r="NOR161" s="33"/>
      <c r="NOS161" s="33"/>
      <c r="NOT161" s="33"/>
      <c r="NOU161" s="33"/>
      <c r="NOV161" s="33"/>
      <c r="NOW161" s="33"/>
      <c r="NOX161" s="33"/>
      <c r="NOY161" s="33"/>
      <c r="NOZ161" s="33"/>
      <c r="NPA161" s="33"/>
      <c r="NPB161" s="33"/>
      <c r="NPC161" s="33"/>
      <c r="NPD161" s="33"/>
      <c r="NPE161" s="33"/>
      <c r="NPF161" s="33"/>
      <c r="NPG161" s="33"/>
      <c r="NPH161" s="33"/>
      <c r="NPI161" s="33"/>
      <c r="NPJ161" s="33"/>
      <c r="NPK161" s="33"/>
      <c r="NPL161" s="33"/>
      <c r="NPM161" s="33"/>
      <c r="NPN161" s="33"/>
      <c r="NPO161" s="33"/>
      <c r="NPP161" s="33"/>
      <c r="NPQ161" s="33"/>
      <c r="NPR161" s="33"/>
      <c r="NPS161" s="33"/>
      <c r="NPT161" s="33"/>
      <c r="NPU161" s="33"/>
      <c r="NPV161" s="33"/>
      <c r="NPW161" s="33"/>
      <c r="NPX161" s="33"/>
      <c r="NPY161" s="33"/>
      <c r="NPZ161" s="33"/>
      <c r="NQA161" s="33"/>
      <c r="NQB161" s="33"/>
      <c r="NQC161" s="33"/>
      <c r="NQD161" s="33"/>
      <c r="NQE161" s="33"/>
      <c r="NQF161" s="33"/>
      <c r="NQG161" s="33"/>
      <c r="NQH161" s="33"/>
      <c r="NQI161" s="33"/>
      <c r="NQJ161" s="33"/>
      <c r="NQK161" s="33"/>
      <c r="NQL161" s="33"/>
      <c r="NQM161" s="33"/>
      <c r="NQN161" s="33"/>
      <c r="NQO161" s="33"/>
      <c r="NQP161" s="33"/>
      <c r="NQQ161" s="33"/>
      <c r="NQR161" s="33"/>
      <c r="NQS161" s="33"/>
      <c r="NQT161" s="33"/>
      <c r="NQU161" s="33"/>
      <c r="NQV161" s="33"/>
      <c r="NQW161" s="33"/>
      <c r="NQX161" s="33"/>
      <c r="NQY161" s="33"/>
      <c r="NQZ161" s="33"/>
      <c r="NRA161" s="33"/>
      <c r="NRB161" s="33"/>
      <c r="NRC161" s="33"/>
      <c r="NRD161" s="33"/>
      <c r="NRE161" s="33"/>
      <c r="NRF161" s="33"/>
      <c r="NRG161" s="33"/>
      <c r="NRH161" s="33"/>
      <c r="NRI161" s="33"/>
      <c r="NRJ161" s="33"/>
      <c r="NRK161" s="33"/>
      <c r="NRL161" s="33"/>
      <c r="NRM161" s="33"/>
      <c r="NRN161" s="33"/>
      <c r="NRO161" s="33"/>
      <c r="NRP161" s="33"/>
      <c r="NRQ161" s="33"/>
      <c r="NRR161" s="33"/>
      <c r="NRS161" s="33"/>
      <c r="NRT161" s="33"/>
      <c r="NRU161" s="33"/>
      <c r="NRV161" s="33"/>
      <c r="NRW161" s="33"/>
      <c r="NRX161" s="33"/>
      <c r="NRY161" s="33"/>
      <c r="NRZ161" s="33"/>
      <c r="NSA161" s="33"/>
      <c r="NSB161" s="33"/>
      <c r="NSC161" s="33"/>
      <c r="NSD161" s="33"/>
      <c r="NSE161" s="33"/>
      <c r="NSF161" s="33"/>
      <c r="NSG161" s="33"/>
      <c r="NSH161" s="33"/>
      <c r="NSI161" s="33"/>
      <c r="NSJ161" s="33"/>
      <c r="NSK161" s="33"/>
      <c r="NSL161" s="33"/>
      <c r="NSM161" s="33"/>
      <c r="NSN161" s="33"/>
      <c r="NSO161" s="33"/>
      <c r="NSP161" s="33"/>
      <c r="NSQ161" s="33"/>
      <c r="NSR161" s="33"/>
      <c r="NSS161" s="33"/>
      <c r="NST161" s="33"/>
      <c r="NSU161" s="33"/>
      <c r="NSV161" s="33"/>
      <c r="NSW161" s="33"/>
      <c r="NSX161" s="33"/>
      <c r="NSY161" s="33"/>
      <c r="NSZ161" s="33"/>
      <c r="NTA161" s="33"/>
      <c r="NTB161" s="33"/>
      <c r="NTC161" s="33"/>
      <c r="NTD161" s="33"/>
      <c r="NTE161" s="33"/>
      <c r="NTF161" s="33"/>
      <c r="NTG161" s="33"/>
      <c r="NTH161" s="33"/>
      <c r="NTI161" s="33"/>
      <c r="NTJ161" s="33"/>
      <c r="NTK161" s="33"/>
      <c r="NTL161" s="33"/>
      <c r="NTM161" s="33"/>
      <c r="NTN161" s="33"/>
      <c r="NTO161" s="33"/>
      <c r="NTP161" s="33"/>
      <c r="NTQ161" s="33"/>
      <c r="NTR161" s="33"/>
      <c r="NTS161" s="33"/>
      <c r="NTT161" s="33"/>
      <c r="NTU161" s="33"/>
      <c r="NTV161" s="33"/>
      <c r="NTW161" s="33"/>
      <c r="NTX161" s="33"/>
      <c r="NTY161" s="33"/>
      <c r="NTZ161" s="33"/>
      <c r="NUA161" s="33"/>
      <c r="NUB161" s="33"/>
      <c r="NUC161" s="33"/>
      <c r="NUD161" s="33"/>
      <c r="NUE161" s="33"/>
      <c r="NUF161" s="33"/>
      <c r="NUG161" s="33"/>
      <c r="NUH161" s="33"/>
      <c r="NUI161" s="33"/>
      <c r="NUJ161" s="33"/>
      <c r="NUK161" s="33"/>
      <c r="NUL161" s="33"/>
      <c r="NUM161" s="33"/>
      <c r="NUN161" s="33"/>
      <c r="NUO161" s="33"/>
      <c r="NUP161" s="33"/>
      <c r="NUQ161" s="33"/>
      <c r="NUR161" s="33"/>
      <c r="NUS161" s="33"/>
      <c r="NUT161" s="33"/>
      <c r="NUU161" s="33"/>
      <c r="NUV161" s="33"/>
      <c r="NUW161" s="33"/>
      <c r="NUX161" s="33"/>
      <c r="NUY161" s="33"/>
      <c r="NUZ161" s="33"/>
      <c r="NVA161" s="33"/>
      <c r="NVB161" s="33"/>
      <c r="NVC161" s="33"/>
      <c r="NVD161" s="33"/>
      <c r="NVE161" s="33"/>
      <c r="NVF161" s="33"/>
      <c r="NVG161" s="33"/>
      <c r="NVH161" s="33"/>
      <c r="NVI161" s="33"/>
      <c r="NVJ161" s="33"/>
      <c r="NVK161" s="33"/>
      <c r="NVL161" s="33"/>
      <c r="NVM161" s="33"/>
      <c r="NVN161" s="33"/>
      <c r="NVO161" s="33"/>
      <c r="NVP161" s="33"/>
      <c r="NVQ161" s="33"/>
      <c r="NVR161" s="33"/>
      <c r="NVS161" s="33"/>
      <c r="NVT161" s="33"/>
      <c r="NVU161" s="33"/>
      <c r="NVV161" s="33"/>
      <c r="NVW161" s="33"/>
      <c r="NVX161" s="33"/>
      <c r="NVY161" s="33"/>
      <c r="NVZ161" s="33"/>
      <c r="NWA161" s="33"/>
      <c r="NWB161" s="33"/>
      <c r="NWC161" s="33"/>
      <c r="NWD161" s="33"/>
      <c r="NWE161" s="33"/>
      <c r="NWF161" s="33"/>
      <c r="NWG161" s="33"/>
      <c r="NWH161" s="33"/>
      <c r="NWI161" s="33"/>
      <c r="NWJ161" s="33"/>
      <c r="NWK161" s="33"/>
      <c r="NWL161" s="33"/>
      <c r="NWM161" s="33"/>
      <c r="NWN161" s="33"/>
      <c r="NWO161" s="33"/>
      <c r="NWP161" s="33"/>
      <c r="NWQ161" s="33"/>
      <c r="NWR161" s="33"/>
      <c r="NWS161" s="33"/>
      <c r="NWT161" s="33"/>
      <c r="NWU161" s="33"/>
      <c r="NWV161" s="33"/>
      <c r="NWW161" s="33"/>
      <c r="NWX161" s="33"/>
      <c r="NWY161" s="33"/>
      <c r="NWZ161" s="33"/>
      <c r="NXA161" s="33"/>
      <c r="NXB161" s="33"/>
      <c r="NXC161" s="33"/>
      <c r="NXD161" s="33"/>
      <c r="NXE161" s="33"/>
      <c r="NXF161" s="33"/>
      <c r="NXG161" s="33"/>
      <c r="NXH161" s="33"/>
      <c r="NXI161" s="33"/>
      <c r="NXJ161" s="33"/>
      <c r="NXK161" s="33"/>
      <c r="NXL161" s="33"/>
      <c r="NXM161" s="33"/>
      <c r="NXN161" s="33"/>
      <c r="NXO161" s="33"/>
      <c r="NXP161" s="33"/>
      <c r="NXQ161" s="33"/>
      <c r="NXR161" s="33"/>
      <c r="NXS161" s="33"/>
      <c r="NXT161" s="33"/>
      <c r="NXU161" s="33"/>
      <c r="NXV161" s="33"/>
      <c r="NXW161" s="33"/>
      <c r="NXX161" s="33"/>
      <c r="NXY161" s="33"/>
      <c r="NXZ161" s="33"/>
      <c r="NYA161" s="33"/>
      <c r="NYB161" s="33"/>
      <c r="NYC161" s="33"/>
      <c r="NYD161" s="33"/>
      <c r="NYE161" s="33"/>
      <c r="NYF161" s="33"/>
      <c r="NYG161" s="33"/>
      <c r="NYH161" s="33"/>
      <c r="NYI161" s="33"/>
      <c r="NYJ161" s="33"/>
      <c r="NYK161" s="33"/>
      <c r="NYL161" s="33"/>
      <c r="NYM161" s="33"/>
      <c r="NYN161" s="33"/>
      <c r="NYO161" s="33"/>
      <c r="NYP161" s="33"/>
      <c r="NYQ161" s="33"/>
      <c r="NYR161" s="33"/>
      <c r="NYS161" s="33"/>
      <c r="NYT161" s="33"/>
      <c r="NYU161" s="33"/>
      <c r="NYV161" s="33"/>
      <c r="NYW161" s="33"/>
      <c r="NYX161" s="33"/>
      <c r="NYY161" s="33"/>
      <c r="NYZ161" s="33"/>
      <c r="NZA161" s="33"/>
      <c r="NZB161" s="33"/>
      <c r="NZC161" s="33"/>
      <c r="NZD161" s="33"/>
      <c r="NZE161" s="33"/>
      <c r="NZF161" s="33"/>
      <c r="NZG161" s="33"/>
      <c r="NZH161" s="33"/>
      <c r="NZI161" s="33"/>
      <c r="NZJ161" s="33"/>
      <c r="NZK161" s="33"/>
      <c r="NZL161" s="33"/>
      <c r="NZM161" s="33"/>
      <c r="NZN161" s="33"/>
      <c r="NZO161" s="33"/>
      <c r="NZP161" s="33"/>
      <c r="NZQ161" s="33"/>
      <c r="NZR161" s="33"/>
      <c r="NZS161" s="33"/>
      <c r="NZT161" s="33"/>
      <c r="NZU161" s="33"/>
      <c r="NZV161" s="33"/>
      <c r="NZW161" s="33"/>
      <c r="NZX161" s="33"/>
      <c r="NZY161" s="33"/>
      <c r="NZZ161" s="33"/>
      <c r="OAA161" s="33"/>
      <c r="OAB161" s="33"/>
      <c r="OAC161" s="33"/>
      <c r="OAD161" s="33"/>
      <c r="OAE161" s="33"/>
      <c r="OAF161" s="33"/>
      <c r="OAG161" s="33"/>
      <c r="OAH161" s="33"/>
      <c r="OAI161" s="33"/>
      <c r="OAJ161" s="33"/>
      <c r="OAK161" s="33"/>
      <c r="OAL161" s="33"/>
      <c r="OAM161" s="33"/>
      <c r="OAN161" s="33"/>
      <c r="OAO161" s="33"/>
      <c r="OAP161" s="33"/>
      <c r="OAQ161" s="33"/>
      <c r="OAR161" s="33"/>
      <c r="OAS161" s="33"/>
      <c r="OAT161" s="33"/>
      <c r="OAU161" s="33"/>
      <c r="OAV161" s="33"/>
      <c r="OAW161" s="33"/>
      <c r="OAX161" s="33"/>
      <c r="OAY161" s="33"/>
      <c r="OAZ161" s="33"/>
      <c r="OBA161" s="33"/>
      <c r="OBB161" s="33"/>
      <c r="OBC161" s="33"/>
      <c r="OBD161" s="33"/>
      <c r="OBE161" s="33"/>
      <c r="OBF161" s="33"/>
      <c r="OBG161" s="33"/>
      <c r="OBH161" s="33"/>
      <c r="OBI161" s="33"/>
      <c r="OBJ161" s="33"/>
      <c r="OBK161" s="33"/>
      <c r="OBL161" s="33"/>
      <c r="OBM161" s="33"/>
      <c r="OBN161" s="33"/>
      <c r="OBO161" s="33"/>
      <c r="OBP161" s="33"/>
      <c r="OBQ161" s="33"/>
      <c r="OBR161" s="33"/>
      <c r="OBS161" s="33"/>
      <c r="OBT161" s="33"/>
      <c r="OBU161" s="33"/>
      <c r="OBV161" s="33"/>
      <c r="OBW161" s="33"/>
      <c r="OBX161" s="33"/>
      <c r="OBY161" s="33"/>
      <c r="OBZ161" s="33"/>
      <c r="OCA161" s="33"/>
      <c r="OCB161" s="33"/>
      <c r="OCC161" s="33"/>
      <c r="OCD161" s="33"/>
      <c r="OCE161" s="33"/>
      <c r="OCF161" s="33"/>
      <c r="OCG161" s="33"/>
      <c r="OCH161" s="33"/>
      <c r="OCI161" s="33"/>
      <c r="OCJ161" s="33"/>
      <c r="OCK161" s="33"/>
      <c r="OCL161" s="33"/>
      <c r="OCM161" s="33"/>
      <c r="OCN161" s="33"/>
      <c r="OCO161" s="33"/>
      <c r="OCP161" s="33"/>
      <c r="OCQ161" s="33"/>
      <c r="OCR161" s="33"/>
      <c r="OCS161" s="33"/>
      <c r="OCT161" s="33"/>
      <c r="OCU161" s="33"/>
      <c r="OCV161" s="33"/>
      <c r="OCW161" s="33"/>
      <c r="OCX161" s="33"/>
      <c r="OCY161" s="33"/>
      <c r="OCZ161" s="33"/>
      <c r="ODA161" s="33"/>
      <c r="ODB161" s="33"/>
      <c r="ODC161" s="33"/>
      <c r="ODD161" s="33"/>
      <c r="ODE161" s="33"/>
      <c r="ODF161" s="33"/>
      <c r="ODG161" s="33"/>
      <c r="ODH161" s="33"/>
      <c r="ODI161" s="33"/>
      <c r="ODJ161" s="33"/>
      <c r="ODK161" s="33"/>
      <c r="ODL161" s="33"/>
      <c r="ODM161" s="33"/>
      <c r="ODN161" s="33"/>
      <c r="ODO161" s="33"/>
      <c r="ODP161" s="33"/>
      <c r="ODQ161" s="33"/>
      <c r="ODR161" s="33"/>
      <c r="ODS161" s="33"/>
      <c r="ODT161" s="33"/>
      <c r="ODU161" s="33"/>
      <c r="ODV161" s="33"/>
      <c r="ODW161" s="33"/>
      <c r="ODX161" s="33"/>
      <c r="ODY161" s="33"/>
      <c r="ODZ161" s="33"/>
      <c r="OEA161" s="33"/>
      <c r="OEB161" s="33"/>
      <c r="OEC161" s="33"/>
      <c r="OED161" s="33"/>
      <c r="OEE161" s="33"/>
      <c r="OEF161" s="33"/>
      <c r="OEG161" s="33"/>
      <c r="OEH161" s="33"/>
      <c r="OEI161" s="33"/>
      <c r="OEJ161" s="33"/>
      <c r="OEK161" s="33"/>
      <c r="OEL161" s="33"/>
      <c r="OEM161" s="33"/>
      <c r="OEN161" s="33"/>
      <c r="OEO161" s="33"/>
      <c r="OEP161" s="33"/>
      <c r="OEQ161" s="33"/>
      <c r="OER161" s="33"/>
      <c r="OES161" s="33"/>
      <c r="OET161" s="33"/>
      <c r="OEU161" s="33"/>
      <c r="OEV161" s="33"/>
      <c r="OEW161" s="33"/>
      <c r="OEX161" s="33"/>
      <c r="OEY161" s="33"/>
      <c r="OEZ161" s="33"/>
      <c r="OFA161" s="33"/>
      <c r="OFB161" s="33"/>
      <c r="OFC161" s="33"/>
      <c r="OFD161" s="33"/>
      <c r="OFE161" s="33"/>
      <c r="OFF161" s="33"/>
      <c r="OFG161" s="33"/>
      <c r="OFH161" s="33"/>
      <c r="OFI161" s="33"/>
      <c r="OFJ161" s="33"/>
      <c r="OFK161" s="33"/>
      <c r="OFL161" s="33"/>
      <c r="OFM161" s="33"/>
      <c r="OFN161" s="33"/>
      <c r="OFO161" s="33"/>
      <c r="OFP161" s="33"/>
      <c r="OFQ161" s="33"/>
      <c r="OFR161" s="33"/>
      <c r="OFS161" s="33"/>
      <c r="OFT161" s="33"/>
      <c r="OFU161" s="33"/>
      <c r="OFV161" s="33"/>
      <c r="OFW161" s="33"/>
      <c r="OFX161" s="33"/>
      <c r="OFY161" s="33"/>
      <c r="OFZ161" s="33"/>
      <c r="OGA161" s="33"/>
      <c r="OGB161" s="33"/>
      <c r="OGC161" s="33"/>
      <c r="OGD161" s="33"/>
      <c r="OGE161" s="33"/>
      <c r="OGF161" s="33"/>
      <c r="OGG161" s="33"/>
      <c r="OGH161" s="33"/>
      <c r="OGI161" s="33"/>
      <c r="OGJ161" s="33"/>
      <c r="OGK161" s="33"/>
      <c r="OGL161" s="33"/>
      <c r="OGM161" s="33"/>
      <c r="OGN161" s="33"/>
      <c r="OGO161" s="33"/>
      <c r="OGP161" s="33"/>
      <c r="OGQ161" s="33"/>
      <c r="OGR161" s="33"/>
      <c r="OGS161" s="33"/>
      <c r="OGT161" s="33"/>
      <c r="OGU161" s="33"/>
      <c r="OGV161" s="33"/>
      <c r="OGW161" s="33"/>
      <c r="OGX161" s="33"/>
      <c r="OGY161" s="33"/>
      <c r="OGZ161" s="33"/>
      <c r="OHA161" s="33"/>
      <c r="OHB161" s="33"/>
      <c r="OHC161" s="33"/>
      <c r="OHD161" s="33"/>
      <c r="OHE161" s="33"/>
      <c r="OHF161" s="33"/>
      <c r="OHG161" s="33"/>
      <c r="OHH161" s="33"/>
      <c r="OHI161" s="33"/>
      <c r="OHJ161" s="33"/>
      <c r="OHK161" s="33"/>
      <c r="OHL161" s="33"/>
      <c r="OHM161" s="33"/>
      <c r="OHN161" s="33"/>
      <c r="OHO161" s="33"/>
      <c r="OHP161" s="33"/>
      <c r="OHQ161" s="33"/>
      <c r="OHR161" s="33"/>
      <c r="OHS161" s="33"/>
      <c r="OHT161" s="33"/>
      <c r="OHU161" s="33"/>
      <c r="OHV161" s="33"/>
      <c r="OHW161" s="33"/>
      <c r="OHX161" s="33"/>
      <c r="OHY161" s="33"/>
      <c r="OHZ161" s="33"/>
      <c r="OIA161" s="33"/>
      <c r="OIB161" s="33"/>
      <c r="OIC161" s="33"/>
      <c r="OID161" s="33"/>
      <c r="OIE161" s="33"/>
      <c r="OIF161" s="33"/>
      <c r="OIG161" s="33"/>
      <c r="OIH161" s="33"/>
      <c r="OII161" s="33"/>
      <c r="OIJ161" s="33"/>
      <c r="OIK161" s="33"/>
      <c r="OIL161" s="33"/>
      <c r="OIM161" s="33"/>
      <c r="OIN161" s="33"/>
      <c r="OIO161" s="33"/>
      <c r="OIP161" s="33"/>
      <c r="OIQ161" s="33"/>
      <c r="OIR161" s="33"/>
      <c r="OIS161" s="33"/>
      <c r="OIT161" s="33"/>
      <c r="OIU161" s="33"/>
      <c r="OIV161" s="33"/>
      <c r="OIW161" s="33"/>
      <c r="OIX161" s="33"/>
      <c r="OIY161" s="33"/>
      <c r="OIZ161" s="33"/>
      <c r="OJA161" s="33"/>
      <c r="OJB161" s="33"/>
      <c r="OJC161" s="33"/>
      <c r="OJD161" s="33"/>
      <c r="OJE161" s="33"/>
      <c r="OJF161" s="33"/>
      <c r="OJG161" s="33"/>
      <c r="OJH161" s="33"/>
      <c r="OJI161" s="33"/>
      <c r="OJJ161" s="33"/>
      <c r="OJK161" s="33"/>
      <c r="OJL161" s="33"/>
      <c r="OJM161" s="33"/>
      <c r="OJN161" s="33"/>
      <c r="OJO161" s="33"/>
      <c r="OJP161" s="33"/>
      <c r="OJQ161" s="33"/>
      <c r="OJR161" s="33"/>
      <c r="OJS161" s="33"/>
      <c r="OJT161" s="33"/>
      <c r="OJU161" s="33"/>
      <c r="OJV161" s="33"/>
      <c r="OJW161" s="33"/>
      <c r="OJX161" s="33"/>
      <c r="OJY161" s="33"/>
      <c r="OJZ161" s="33"/>
      <c r="OKA161" s="33"/>
      <c r="OKB161" s="33"/>
      <c r="OKC161" s="33"/>
      <c r="OKD161" s="33"/>
      <c r="OKE161" s="33"/>
      <c r="OKF161" s="33"/>
      <c r="OKG161" s="33"/>
      <c r="OKH161" s="33"/>
      <c r="OKI161" s="33"/>
      <c r="OKJ161" s="33"/>
      <c r="OKK161" s="33"/>
      <c r="OKL161" s="33"/>
      <c r="OKM161" s="33"/>
      <c r="OKN161" s="33"/>
      <c r="OKO161" s="33"/>
      <c r="OKP161" s="33"/>
      <c r="OKQ161" s="33"/>
      <c r="OKR161" s="33"/>
      <c r="OKS161" s="33"/>
      <c r="OKT161" s="33"/>
      <c r="OKU161" s="33"/>
      <c r="OKV161" s="33"/>
      <c r="OKW161" s="33"/>
      <c r="OKX161" s="33"/>
      <c r="OKY161" s="33"/>
      <c r="OKZ161" s="33"/>
      <c r="OLA161" s="33"/>
      <c r="OLB161" s="33"/>
      <c r="OLC161" s="33"/>
      <c r="OLD161" s="33"/>
      <c r="OLE161" s="33"/>
      <c r="OLF161" s="33"/>
      <c r="OLG161" s="33"/>
      <c r="OLH161" s="33"/>
      <c r="OLI161" s="33"/>
      <c r="OLJ161" s="33"/>
      <c r="OLK161" s="33"/>
      <c r="OLL161" s="33"/>
      <c r="OLM161" s="33"/>
      <c r="OLN161" s="33"/>
      <c r="OLO161" s="33"/>
      <c r="OLP161" s="33"/>
      <c r="OLQ161" s="33"/>
      <c r="OLR161" s="33"/>
      <c r="OLS161" s="33"/>
      <c r="OLT161" s="33"/>
      <c r="OLU161" s="33"/>
      <c r="OLV161" s="33"/>
      <c r="OLW161" s="33"/>
      <c r="OLX161" s="33"/>
      <c r="OLY161" s="33"/>
      <c r="OLZ161" s="33"/>
      <c r="OMA161" s="33"/>
      <c r="OMB161" s="33"/>
      <c r="OMC161" s="33"/>
      <c r="OMD161" s="33"/>
      <c r="OME161" s="33"/>
      <c r="OMF161" s="33"/>
      <c r="OMG161" s="33"/>
      <c r="OMH161" s="33"/>
      <c r="OMI161" s="33"/>
      <c r="OMJ161" s="33"/>
      <c r="OMK161" s="33"/>
      <c r="OML161" s="33"/>
      <c r="OMM161" s="33"/>
      <c r="OMN161" s="33"/>
      <c r="OMO161" s="33"/>
      <c r="OMP161" s="33"/>
      <c r="OMQ161" s="33"/>
      <c r="OMR161" s="33"/>
      <c r="OMS161" s="33"/>
      <c r="OMT161" s="33"/>
      <c r="OMU161" s="33"/>
      <c r="OMV161" s="33"/>
      <c r="OMW161" s="33"/>
      <c r="OMX161" s="33"/>
      <c r="OMY161" s="33"/>
      <c r="OMZ161" s="33"/>
      <c r="ONA161" s="33"/>
      <c r="ONB161" s="33"/>
      <c r="ONC161" s="33"/>
      <c r="OND161" s="33"/>
      <c r="ONE161" s="33"/>
      <c r="ONF161" s="33"/>
      <c r="ONG161" s="33"/>
      <c r="ONH161" s="33"/>
      <c r="ONI161" s="33"/>
      <c r="ONJ161" s="33"/>
      <c r="ONK161" s="33"/>
      <c r="ONL161" s="33"/>
      <c r="ONM161" s="33"/>
      <c r="ONN161" s="33"/>
      <c r="ONO161" s="33"/>
      <c r="ONP161" s="33"/>
      <c r="ONQ161" s="33"/>
      <c r="ONR161" s="33"/>
      <c r="ONS161" s="33"/>
      <c r="ONT161" s="33"/>
      <c r="ONU161" s="33"/>
      <c r="ONV161" s="33"/>
      <c r="ONW161" s="33"/>
      <c r="ONX161" s="33"/>
      <c r="ONY161" s="33"/>
      <c r="ONZ161" s="33"/>
      <c r="OOA161" s="33"/>
      <c r="OOB161" s="33"/>
      <c r="OOC161" s="33"/>
      <c r="OOD161" s="33"/>
      <c r="OOE161" s="33"/>
      <c r="OOF161" s="33"/>
      <c r="OOG161" s="33"/>
      <c r="OOH161" s="33"/>
      <c r="OOI161" s="33"/>
      <c r="OOJ161" s="33"/>
      <c r="OOK161" s="33"/>
      <c r="OOL161" s="33"/>
      <c r="OOM161" s="33"/>
      <c r="OON161" s="33"/>
      <c r="OOO161" s="33"/>
      <c r="OOP161" s="33"/>
      <c r="OOQ161" s="33"/>
      <c r="OOR161" s="33"/>
      <c r="OOS161" s="33"/>
      <c r="OOT161" s="33"/>
      <c r="OOU161" s="33"/>
      <c r="OOV161" s="33"/>
      <c r="OOW161" s="33"/>
      <c r="OOX161" s="33"/>
      <c r="OOY161" s="33"/>
      <c r="OOZ161" s="33"/>
      <c r="OPA161" s="33"/>
      <c r="OPB161" s="33"/>
      <c r="OPC161" s="33"/>
      <c r="OPD161" s="33"/>
      <c r="OPE161" s="33"/>
      <c r="OPF161" s="33"/>
      <c r="OPG161" s="33"/>
      <c r="OPH161" s="33"/>
      <c r="OPI161" s="33"/>
      <c r="OPJ161" s="33"/>
      <c r="OPK161" s="33"/>
      <c r="OPL161" s="33"/>
      <c r="OPM161" s="33"/>
      <c r="OPN161" s="33"/>
      <c r="OPO161" s="33"/>
      <c r="OPP161" s="33"/>
      <c r="OPQ161" s="33"/>
      <c r="OPR161" s="33"/>
      <c r="OPS161" s="33"/>
      <c r="OPT161" s="33"/>
      <c r="OPU161" s="33"/>
      <c r="OPV161" s="33"/>
      <c r="OPW161" s="33"/>
      <c r="OPX161" s="33"/>
      <c r="OPY161" s="33"/>
      <c r="OPZ161" s="33"/>
      <c r="OQA161" s="33"/>
      <c r="OQB161" s="33"/>
      <c r="OQC161" s="33"/>
      <c r="OQD161" s="33"/>
      <c r="OQE161" s="33"/>
      <c r="OQF161" s="33"/>
      <c r="OQG161" s="33"/>
      <c r="OQH161" s="33"/>
      <c r="OQI161" s="33"/>
      <c r="OQJ161" s="33"/>
      <c r="OQK161" s="33"/>
      <c r="OQL161" s="33"/>
      <c r="OQM161" s="33"/>
      <c r="OQN161" s="33"/>
      <c r="OQO161" s="33"/>
      <c r="OQP161" s="33"/>
      <c r="OQQ161" s="33"/>
      <c r="OQR161" s="33"/>
      <c r="OQS161" s="33"/>
      <c r="OQT161" s="33"/>
      <c r="OQU161" s="33"/>
      <c r="OQV161" s="33"/>
      <c r="OQW161" s="33"/>
      <c r="OQX161" s="33"/>
      <c r="OQY161" s="33"/>
      <c r="OQZ161" s="33"/>
      <c r="ORA161" s="33"/>
      <c r="ORB161" s="33"/>
      <c r="ORC161" s="33"/>
      <c r="ORD161" s="33"/>
      <c r="ORE161" s="33"/>
      <c r="ORF161" s="33"/>
      <c r="ORG161" s="33"/>
      <c r="ORH161" s="33"/>
      <c r="ORI161" s="33"/>
      <c r="ORJ161" s="33"/>
      <c r="ORK161" s="33"/>
      <c r="ORL161" s="33"/>
      <c r="ORM161" s="33"/>
      <c r="ORN161" s="33"/>
      <c r="ORO161" s="33"/>
      <c r="ORP161" s="33"/>
      <c r="ORQ161" s="33"/>
      <c r="ORR161" s="33"/>
      <c r="ORS161" s="33"/>
      <c r="ORT161" s="33"/>
      <c r="ORU161" s="33"/>
      <c r="ORV161" s="33"/>
      <c r="ORW161" s="33"/>
      <c r="ORX161" s="33"/>
      <c r="ORY161" s="33"/>
      <c r="ORZ161" s="33"/>
      <c r="OSA161" s="33"/>
      <c r="OSB161" s="33"/>
      <c r="OSC161" s="33"/>
      <c r="OSD161" s="33"/>
      <c r="OSE161" s="33"/>
      <c r="OSF161" s="33"/>
      <c r="OSG161" s="33"/>
      <c r="OSH161" s="33"/>
      <c r="OSI161" s="33"/>
      <c r="OSJ161" s="33"/>
      <c r="OSK161" s="33"/>
      <c r="OSL161" s="33"/>
      <c r="OSM161" s="33"/>
      <c r="OSN161" s="33"/>
      <c r="OSO161" s="33"/>
      <c r="OSP161" s="33"/>
      <c r="OSQ161" s="33"/>
      <c r="OSR161" s="33"/>
      <c r="OSS161" s="33"/>
      <c r="OST161" s="33"/>
      <c r="OSU161" s="33"/>
      <c r="OSV161" s="33"/>
      <c r="OSW161" s="33"/>
      <c r="OSX161" s="33"/>
      <c r="OSY161" s="33"/>
      <c r="OSZ161" s="33"/>
      <c r="OTA161" s="33"/>
      <c r="OTB161" s="33"/>
      <c r="OTC161" s="33"/>
      <c r="OTD161" s="33"/>
      <c r="OTE161" s="33"/>
      <c r="OTF161" s="33"/>
      <c r="OTG161" s="33"/>
      <c r="OTH161" s="33"/>
      <c r="OTI161" s="33"/>
      <c r="OTJ161" s="33"/>
      <c r="OTK161" s="33"/>
      <c r="OTL161" s="33"/>
      <c r="OTM161" s="33"/>
      <c r="OTN161" s="33"/>
      <c r="OTO161" s="33"/>
      <c r="OTP161" s="33"/>
      <c r="OTQ161" s="33"/>
      <c r="OTR161" s="33"/>
      <c r="OTS161" s="33"/>
      <c r="OTT161" s="33"/>
      <c r="OTU161" s="33"/>
      <c r="OTV161" s="33"/>
      <c r="OTW161" s="33"/>
      <c r="OTX161" s="33"/>
      <c r="OTY161" s="33"/>
      <c r="OTZ161" s="33"/>
      <c r="OUA161" s="33"/>
      <c r="OUB161" s="33"/>
      <c r="OUC161" s="33"/>
      <c r="OUD161" s="33"/>
      <c r="OUE161" s="33"/>
      <c r="OUF161" s="33"/>
      <c r="OUG161" s="33"/>
      <c r="OUH161" s="33"/>
      <c r="OUI161" s="33"/>
      <c r="OUJ161" s="33"/>
      <c r="OUK161" s="33"/>
      <c r="OUL161" s="33"/>
      <c r="OUM161" s="33"/>
      <c r="OUN161" s="33"/>
      <c r="OUO161" s="33"/>
      <c r="OUP161" s="33"/>
      <c r="OUQ161" s="33"/>
      <c r="OUR161" s="33"/>
      <c r="OUS161" s="33"/>
      <c r="OUT161" s="33"/>
      <c r="OUU161" s="33"/>
      <c r="OUV161" s="33"/>
      <c r="OUW161" s="33"/>
      <c r="OUX161" s="33"/>
      <c r="OUY161" s="33"/>
      <c r="OUZ161" s="33"/>
      <c r="OVA161" s="33"/>
      <c r="OVB161" s="33"/>
      <c r="OVC161" s="33"/>
      <c r="OVD161" s="33"/>
      <c r="OVE161" s="33"/>
      <c r="OVF161" s="33"/>
      <c r="OVG161" s="33"/>
      <c r="OVH161" s="33"/>
      <c r="OVI161" s="33"/>
      <c r="OVJ161" s="33"/>
      <c r="OVK161" s="33"/>
      <c r="OVL161" s="33"/>
      <c r="OVM161" s="33"/>
      <c r="OVN161" s="33"/>
      <c r="OVO161" s="33"/>
      <c r="OVP161" s="33"/>
      <c r="OVQ161" s="33"/>
      <c r="OVR161" s="33"/>
      <c r="OVS161" s="33"/>
      <c r="OVT161" s="33"/>
      <c r="OVU161" s="33"/>
      <c r="OVV161" s="33"/>
      <c r="OVW161" s="33"/>
      <c r="OVX161" s="33"/>
      <c r="OVY161" s="33"/>
      <c r="OVZ161" s="33"/>
      <c r="OWA161" s="33"/>
      <c r="OWB161" s="33"/>
      <c r="OWC161" s="33"/>
      <c r="OWD161" s="33"/>
      <c r="OWE161" s="33"/>
      <c r="OWF161" s="33"/>
      <c r="OWG161" s="33"/>
      <c r="OWH161" s="33"/>
      <c r="OWI161" s="33"/>
      <c r="OWJ161" s="33"/>
      <c r="OWK161" s="33"/>
      <c r="OWL161" s="33"/>
      <c r="OWM161" s="33"/>
      <c r="OWN161" s="33"/>
      <c r="OWO161" s="33"/>
      <c r="OWP161" s="33"/>
      <c r="OWQ161" s="33"/>
      <c r="OWR161" s="33"/>
      <c r="OWS161" s="33"/>
      <c r="OWT161" s="33"/>
      <c r="OWU161" s="33"/>
      <c r="OWV161" s="33"/>
      <c r="OWW161" s="33"/>
      <c r="OWX161" s="33"/>
      <c r="OWY161" s="33"/>
      <c r="OWZ161" s="33"/>
      <c r="OXA161" s="33"/>
      <c r="OXB161" s="33"/>
      <c r="OXC161" s="33"/>
      <c r="OXD161" s="33"/>
      <c r="OXE161" s="33"/>
      <c r="OXF161" s="33"/>
      <c r="OXG161" s="33"/>
      <c r="OXH161" s="33"/>
      <c r="OXI161" s="33"/>
      <c r="OXJ161" s="33"/>
      <c r="OXK161" s="33"/>
      <c r="OXL161" s="33"/>
      <c r="OXM161" s="33"/>
      <c r="OXN161" s="33"/>
      <c r="OXO161" s="33"/>
      <c r="OXP161" s="33"/>
      <c r="OXQ161" s="33"/>
      <c r="OXR161" s="33"/>
      <c r="OXS161" s="33"/>
      <c r="OXT161" s="33"/>
      <c r="OXU161" s="33"/>
      <c r="OXV161" s="33"/>
      <c r="OXW161" s="33"/>
      <c r="OXX161" s="33"/>
      <c r="OXY161" s="33"/>
      <c r="OXZ161" s="33"/>
      <c r="OYA161" s="33"/>
      <c r="OYB161" s="33"/>
      <c r="OYC161" s="33"/>
      <c r="OYD161" s="33"/>
      <c r="OYE161" s="33"/>
      <c r="OYF161" s="33"/>
      <c r="OYG161" s="33"/>
      <c r="OYH161" s="33"/>
      <c r="OYI161" s="33"/>
      <c r="OYJ161" s="33"/>
      <c r="OYK161" s="33"/>
      <c r="OYL161" s="33"/>
      <c r="OYM161" s="33"/>
      <c r="OYN161" s="33"/>
      <c r="OYO161" s="33"/>
      <c r="OYP161" s="33"/>
      <c r="OYQ161" s="33"/>
      <c r="OYR161" s="33"/>
      <c r="OYS161" s="33"/>
      <c r="OYT161" s="33"/>
      <c r="OYU161" s="33"/>
      <c r="OYV161" s="33"/>
      <c r="OYW161" s="33"/>
      <c r="OYX161" s="33"/>
      <c r="OYY161" s="33"/>
      <c r="OYZ161" s="33"/>
      <c r="OZA161" s="33"/>
      <c r="OZB161" s="33"/>
      <c r="OZC161" s="33"/>
      <c r="OZD161" s="33"/>
      <c r="OZE161" s="33"/>
      <c r="OZF161" s="33"/>
      <c r="OZG161" s="33"/>
      <c r="OZH161" s="33"/>
      <c r="OZI161" s="33"/>
      <c r="OZJ161" s="33"/>
      <c r="OZK161" s="33"/>
      <c r="OZL161" s="33"/>
      <c r="OZM161" s="33"/>
      <c r="OZN161" s="33"/>
      <c r="OZO161" s="33"/>
      <c r="OZP161" s="33"/>
      <c r="OZQ161" s="33"/>
      <c r="OZR161" s="33"/>
      <c r="OZS161" s="33"/>
      <c r="OZT161" s="33"/>
      <c r="OZU161" s="33"/>
      <c r="OZV161" s="33"/>
      <c r="OZW161" s="33"/>
      <c r="OZX161" s="33"/>
      <c r="OZY161" s="33"/>
      <c r="OZZ161" s="33"/>
      <c r="PAA161" s="33"/>
      <c r="PAB161" s="33"/>
      <c r="PAC161" s="33"/>
      <c r="PAD161" s="33"/>
      <c r="PAE161" s="33"/>
      <c r="PAF161" s="33"/>
      <c r="PAG161" s="33"/>
      <c r="PAH161" s="33"/>
      <c r="PAI161" s="33"/>
      <c r="PAJ161" s="33"/>
      <c r="PAK161" s="33"/>
      <c r="PAL161" s="33"/>
      <c r="PAM161" s="33"/>
      <c r="PAN161" s="33"/>
      <c r="PAO161" s="33"/>
      <c r="PAP161" s="33"/>
      <c r="PAQ161" s="33"/>
      <c r="PAR161" s="33"/>
      <c r="PAS161" s="33"/>
      <c r="PAT161" s="33"/>
      <c r="PAU161" s="33"/>
      <c r="PAV161" s="33"/>
      <c r="PAW161" s="33"/>
      <c r="PAX161" s="33"/>
      <c r="PAY161" s="33"/>
      <c r="PAZ161" s="33"/>
      <c r="PBA161" s="33"/>
      <c r="PBB161" s="33"/>
      <c r="PBC161" s="33"/>
      <c r="PBD161" s="33"/>
      <c r="PBE161" s="33"/>
      <c r="PBF161" s="33"/>
      <c r="PBG161" s="33"/>
      <c r="PBH161" s="33"/>
      <c r="PBI161" s="33"/>
      <c r="PBJ161" s="33"/>
      <c r="PBK161" s="33"/>
      <c r="PBL161" s="33"/>
      <c r="PBM161" s="33"/>
      <c r="PBN161" s="33"/>
      <c r="PBO161" s="33"/>
      <c r="PBP161" s="33"/>
      <c r="PBQ161" s="33"/>
      <c r="PBR161" s="33"/>
      <c r="PBS161" s="33"/>
      <c r="PBT161" s="33"/>
      <c r="PBU161" s="33"/>
      <c r="PBV161" s="33"/>
      <c r="PBW161" s="33"/>
      <c r="PBX161" s="33"/>
      <c r="PBY161" s="33"/>
      <c r="PBZ161" s="33"/>
      <c r="PCA161" s="33"/>
      <c r="PCB161" s="33"/>
      <c r="PCC161" s="33"/>
      <c r="PCD161" s="33"/>
      <c r="PCE161" s="33"/>
      <c r="PCF161" s="33"/>
      <c r="PCG161" s="33"/>
      <c r="PCH161" s="33"/>
      <c r="PCI161" s="33"/>
      <c r="PCJ161" s="33"/>
      <c r="PCK161" s="33"/>
      <c r="PCL161" s="33"/>
      <c r="PCM161" s="33"/>
      <c r="PCN161" s="33"/>
      <c r="PCO161" s="33"/>
      <c r="PCP161" s="33"/>
      <c r="PCQ161" s="33"/>
      <c r="PCR161" s="33"/>
      <c r="PCS161" s="33"/>
      <c r="PCT161" s="33"/>
      <c r="PCU161" s="33"/>
      <c r="PCV161" s="33"/>
      <c r="PCW161" s="33"/>
      <c r="PCX161" s="33"/>
      <c r="PCY161" s="33"/>
      <c r="PCZ161" s="33"/>
      <c r="PDA161" s="33"/>
      <c r="PDB161" s="33"/>
      <c r="PDC161" s="33"/>
      <c r="PDD161" s="33"/>
      <c r="PDE161" s="33"/>
      <c r="PDF161" s="33"/>
      <c r="PDG161" s="33"/>
      <c r="PDH161" s="33"/>
      <c r="PDI161" s="33"/>
      <c r="PDJ161" s="33"/>
      <c r="PDK161" s="33"/>
      <c r="PDL161" s="33"/>
      <c r="PDM161" s="33"/>
      <c r="PDN161" s="33"/>
      <c r="PDO161" s="33"/>
      <c r="PDP161" s="33"/>
      <c r="PDQ161" s="33"/>
      <c r="PDR161" s="33"/>
      <c r="PDS161" s="33"/>
      <c r="PDT161" s="33"/>
      <c r="PDU161" s="33"/>
      <c r="PDV161" s="33"/>
      <c r="PDW161" s="33"/>
      <c r="PDX161" s="33"/>
      <c r="PDY161" s="33"/>
      <c r="PDZ161" s="33"/>
      <c r="PEA161" s="33"/>
      <c r="PEB161" s="33"/>
      <c r="PEC161" s="33"/>
      <c r="PED161" s="33"/>
      <c r="PEE161" s="33"/>
      <c r="PEF161" s="33"/>
      <c r="PEG161" s="33"/>
      <c r="PEH161" s="33"/>
      <c r="PEI161" s="33"/>
      <c r="PEJ161" s="33"/>
      <c r="PEK161" s="33"/>
      <c r="PEL161" s="33"/>
      <c r="PEM161" s="33"/>
      <c r="PEN161" s="33"/>
      <c r="PEO161" s="33"/>
      <c r="PEP161" s="33"/>
      <c r="PEQ161" s="33"/>
      <c r="PER161" s="33"/>
      <c r="PES161" s="33"/>
      <c r="PET161" s="33"/>
      <c r="PEU161" s="33"/>
      <c r="PEV161" s="33"/>
      <c r="PEW161" s="33"/>
      <c r="PEX161" s="33"/>
      <c r="PEY161" s="33"/>
      <c r="PEZ161" s="33"/>
      <c r="PFA161" s="33"/>
      <c r="PFB161" s="33"/>
      <c r="PFC161" s="33"/>
      <c r="PFD161" s="33"/>
      <c r="PFE161" s="33"/>
      <c r="PFF161" s="33"/>
      <c r="PFG161" s="33"/>
      <c r="PFH161" s="33"/>
      <c r="PFI161" s="33"/>
      <c r="PFJ161" s="33"/>
      <c r="PFK161" s="33"/>
      <c r="PFL161" s="33"/>
      <c r="PFM161" s="33"/>
      <c r="PFN161" s="33"/>
      <c r="PFO161" s="33"/>
      <c r="PFP161" s="33"/>
      <c r="PFQ161" s="33"/>
      <c r="PFR161" s="33"/>
      <c r="PFS161" s="33"/>
      <c r="PFT161" s="33"/>
      <c r="PFU161" s="33"/>
      <c r="PFV161" s="33"/>
      <c r="PFW161" s="33"/>
      <c r="PFX161" s="33"/>
      <c r="PFY161" s="33"/>
      <c r="PFZ161" s="33"/>
      <c r="PGA161" s="33"/>
      <c r="PGB161" s="33"/>
      <c r="PGC161" s="33"/>
      <c r="PGD161" s="33"/>
      <c r="PGE161" s="33"/>
      <c r="PGF161" s="33"/>
      <c r="PGG161" s="33"/>
      <c r="PGH161" s="33"/>
      <c r="PGI161" s="33"/>
      <c r="PGJ161" s="33"/>
      <c r="PGK161" s="33"/>
      <c r="PGL161" s="33"/>
      <c r="PGM161" s="33"/>
      <c r="PGN161" s="33"/>
      <c r="PGO161" s="33"/>
      <c r="PGP161" s="33"/>
      <c r="PGQ161" s="33"/>
      <c r="PGR161" s="33"/>
      <c r="PGS161" s="33"/>
      <c r="PGT161" s="33"/>
      <c r="PGU161" s="33"/>
      <c r="PGV161" s="33"/>
      <c r="PGW161" s="33"/>
      <c r="PGX161" s="33"/>
      <c r="PGY161" s="33"/>
      <c r="PGZ161" s="33"/>
      <c r="PHA161" s="33"/>
      <c r="PHB161" s="33"/>
      <c r="PHC161" s="33"/>
      <c r="PHD161" s="33"/>
      <c r="PHE161" s="33"/>
      <c r="PHF161" s="33"/>
      <c r="PHG161" s="33"/>
      <c r="PHH161" s="33"/>
      <c r="PHI161" s="33"/>
      <c r="PHJ161" s="33"/>
      <c r="PHK161" s="33"/>
      <c r="PHL161" s="33"/>
      <c r="PHM161" s="33"/>
      <c r="PHN161" s="33"/>
      <c r="PHO161" s="33"/>
      <c r="PHP161" s="33"/>
      <c r="PHQ161" s="33"/>
      <c r="PHR161" s="33"/>
      <c r="PHS161" s="33"/>
      <c r="PHT161" s="33"/>
      <c r="PHU161" s="33"/>
      <c r="PHV161" s="33"/>
      <c r="PHW161" s="33"/>
      <c r="PHX161" s="33"/>
      <c r="PHY161" s="33"/>
      <c r="PHZ161" s="33"/>
      <c r="PIA161" s="33"/>
      <c r="PIB161" s="33"/>
      <c r="PIC161" s="33"/>
      <c r="PID161" s="33"/>
      <c r="PIE161" s="33"/>
      <c r="PIF161" s="33"/>
      <c r="PIG161" s="33"/>
      <c r="PIH161" s="33"/>
      <c r="PII161" s="33"/>
      <c r="PIJ161" s="33"/>
      <c r="PIK161" s="33"/>
      <c r="PIL161" s="33"/>
      <c r="PIM161" s="33"/>
      <c r="PIN161" s="33"/>
      <c r="PIO161" s="33"/>
      <c r="PIP161" s="33"/>
      <c r="PIQ161" s="33"/>
      <c r="PIR161" s="33"/>
      <c r="PIS161" s="33"/>
      <c r="PIT161" s="33"/>
      <c r="PIU161" s="33"/>
      <c r="PIV161" s="33"/>
      <c r="PIW161" s="33"/>
      <c r="PIX161" s="33"/>
      <c r="PIY161" s="33"/>
      <c r="PIZ161" s="33"/>
      <c r="PJA161" s="33"/>
      <c r="PJB161" s="33"/>
      <c r="PJC161" s="33"/>
      <c r="PJD161" s="33"/>
      <c r="PJE161" s="33"/>
      <c r="PJF161" s="33"/>
      <c r="PJG161" s="33"/>
      <c r="PJH161" s="33"/>
      <c r="PJI161" s="33"/>
      <c r="PJJ161" s="33"/>
      <c r="PJK161" s="33"/>
      <c r="PJL161" s="33"/>
      <c r="PJM161" s="33"/>
      <c r="PJN161" s="33"/>
      <c r="PJO161" s="33"/>
      <c r="PJP161" s="33"/>
      <c r="PJQ161" s="33"/>
      <c r="PJR161" s="33"/>
      <c r="PJS161" s="33"/>
      <c r="PJT161" s="33"/>
      <c r="PJU161" s="33"/>
      <c r="PJV161" s="33"/>
      <c r="PJW161" s="33"/>
      <c r="PJX161" s="33"/>
      <c r="PJY161" s="33"/>
      <c r="PJZ161" s="33"/>
      <c r="PKA161" s="33"/>
      <c r="PKB161" s="33"/>
      <c r="PKC161" s="33"/>
      <c r="PKD161" s="33"/>
      <c r="PKE161" s="33"/>
      <c r="PKF161" s="33"/>
      <c r="PKG161" s="33"/>
      <c r="PKH161" s="33"/>
      <c r="PKI161" s="33"/>
      <c r="PKJ161" s="33"/>
      <c r="PKK161" s="33"/>
      <c r="PKL161" s="33"/>
      <c r="PKM161" s="33"/>
      <c r="PKN161" s="33"/>
      <c r="PKO161" s="33"/>
      <c r="PKP161" s="33"/>
      <c r="PKQ161" s="33"/>
      <c r="PKR161" s="33"/>
      <c r="PKS161" s="33"/>
      <c r="PKT161" s="33"/>
      <c r="PKU161" s="33"/>
      <c r="PKV161" s="33"/>
      <c r="PKW161" s="33"/>
      <c r="PKX161" s="33"/>
      <c r="PKY161" s="33"/>
      <c r="PKZ161" s="33"/>
      <c r="PLA161" s="33"/>
      <c r="PLB161" s="33"/>
      <c r="PLC161" s="33"/>
      <c r="PLD161" s="33"/>
      <c r="PLE161" s="33"/>
      <c r="PLF161" s="33"/>
      <c r="PLG161" s="33"/>
      <c r="PLH161" s="33"/>
      <c r="PLI161" s="33"/>
      <c r="PLJ161" s="33"/>
      <c r="PLK161" s="33"/>
      <c r="PLL161" s="33"/>
      <c r="PLM161" s="33"/>
      <c r="PLN161" s="33"/>
      <c r="PLO161" s="33"/>
      <c r="PLP161" s="33"/>
      <c r="PLQ161" s="33"/>
      <c r="PLR161" s="33"/>
      <c r="PLS161" s="33"/>
      <c r="PLT161" s="33"/>
      <c r="PLU161" s="33"/>
      <c r="PLV161" s="33"/>
      <c r="PLW161" s="33"/>
      <c r="PLX161" s="33"/>
      <c r="PLY161" s="33"/>
      <c r="PLZ161" s="33"/>
      <c r="PMA161" s="33"/>
      <c r="PMB161" s="33"/>
      <c r="PMC161" s="33"/>
      <c r="PMD161" s="33"/>
      <c r="PME161" s="33"/>
      <c r="PMF161" s="33"/>
      <c r="PMG161" s="33"/>
      <c r="PMH161" s="33"/>
      <c r="PMI161" s="33"/>
      <c r="PMJ161" s="33"/>
      <c r="PMK161" s="33"/>
      <c r="PML161" s="33"/>
      <c r="PMM161" s="33"/>
      <c r="PMN161" s="33"/>
      <c r="PMO161" s="33"/>
      <c r="PMP161" s="33"/>
      <c r="PMQ161" s="33"/>
      <c r="PMR161" s="33"/>
      <c r="PMS161" s="33"/>
      <c r="PMT161" s="33"/>
      <c r="PMU161" s="33"/>
      <c r="PMV161" s="33"/>
      <c r="PMW161" s="33"/>
      <c r="PMX161" s="33"/>
      <c r="PMY161" s="33"/>
      <c r="PMZ161" s="33"/>
      <c r="PNA161" s="33"/>
      <c r="PNB161" s="33"/>
      <c r="PNC161" s="33"/>
      <c r="PND161" s="33"/>
      <c r="PNE161" s="33"/>
      <c r="PNF161" s="33"/>
      <c r="PNG161" s="33"/>
      <c r="PNH161" s="33"/>
      <c r="PNI161" s="33"/>
      <c r="PNJ161" s="33"/>
      <c r="PNK161" s="33"/>
      <c r="PNL161" s="33"/>
      <c r="PNM161" s="33"/>
      <c r="PNN161" s="33"/>
      <c r="PNO161" s="33"/>
      <c r="PNP161" s="33"/>
      <c r="PNQ161" s="33"/>
      <c r="PNR161" s="33"/>
      <c r="PNS161" s="33"/>
      <c r="PNT161" s="33"/>
      <c r="PNU161" s="33"/>
      <c r="PNV161" s="33"/>
      <c r="PNW161" s="33"/>
      <c r="PNX161" s="33"/>
      <c r="PNY161" s="33"/>
      <c r="PNZ161" s="33"/>
      <c r="POA161" s="33"/>
      <c r="POB161" s="33"/>
      <c r="POC161" s="33"/>
      <c r="POD161" s="33"/>
      <c r="POE161" s="33"/>
      <c r="POF161" s="33"/>
      <c r="POG161" s="33"/>
      <c r="POH161" s="33"/>
      <c r="POI161" s="33"/>
      <c r="POJ161" s="33"/>
      <c r="POK161" s="33"/>
      <c r="POL161" s="33"/>
      <c r="POM161" s="33"/>
      <c r="PON161" s="33"/>
      <c r="POO161" s="33"/>
      <c r="POP161" s="33"/>
      <c r="POQ161" s="33"/>
      <c r="POR161" s="33"/>
      <c r="POS161" s="33"/>
      <c r="POT161" s="33"/>
      <c r="POU161" s="33"/>
      <c r="POV161" s="33"/>
      <c r="POW161" s="33"/>
      <c r="POX161" s="33"/>
      <c r="POY161" s="33"/>
      <c r="POZ161" s="33"/>
      <c r="PPA161" s="33"/>
      <c r="PPB161" s="33"/>
      <c r="PPC161" s="33"/>
      <c r="PPD161" s="33"/>
      <c r="PPE161" s="33"/>
      <c r="PPF161" s="33"/>
      <c r="PPG161" s="33"/>
      <c r="PPH161" s="33"/>
      <c r="PPI161" s="33"/>
      <c r="PPJ161" s="33"/>
      <c r="PPK161" s="33"/>
      <c r="PPL161" s="33"/>
      <c r="PPM161" s="33"/>
      <c r="PPN161" s="33"/>
      <c r="PPO161" s="33"/>
      <c r="PPP161" s="33"/>
      <c r="PPQ161" s="33"/>
      <c r="PPR161" s="33"/>
      <c r="PPS161" s="33"/>
      <c r="PPT161" s="33"/>
      <c r="PPU161" s="33"/>
      <c r="PPV161" s="33"/>
      <c r="PPW161" s="33"/>
      <c r="PPX161" s="33"/>
      <c r="PPY161" s="33"/>
      <c r="PPZ161" s="33"/>
      <c r="PQA161" s="33"/>
      <c r="PQB161" s="33"/>
      <c r="PQC161" s="33"/>
      <c r="PQD161" s="33"/>
      <c r="PQE161" s="33"/>
      <c r="PQF161" s="33"/>
      <c r="PQG161" s="33"/>
      <c r="PQH161" s="33"/>
      <c r="PQI161" s="33"/>
      <c r="PQJ161" s="33"/>
      <c r="PQK161" s="33"/>
      <c r="PQL161" s="33"/>
      <c r="PQM161" s="33"/>
      <c r="PQN161" s="33"/>
      <c r="PQO161" s="33"/>
      <c r="PQP161" s="33"/>
      <c r="PQQ161" s="33"/>
      <c r="PQR161" s="33"/>
      <c r="PQS161" s="33"/>
      <c r="PQT161" s="33"/>
      <c r="PQU161" s="33"/>
      <c r="PQV161" s="33"/>
      <c r="PQW161" s="33"/>
      <c r="PQX161" s="33"/>
      <c r="PQY161" s="33"/>
      <c r="PQZ161" s="33"/>
      <c r="PRA161" s="33"/>
      <c r="PRB161" s="33"/>
      <c r="PRC161" s="33"/>
      <c r="PRD161" s="33"/>
      <c r="PRE161" s="33"/>
      <c r="PRF161" s="33"/>
      <c r="PRG161" s="33"/>
      <c r="PRH161" s="33"/>
      <c r="PRI161" s="33"/>
      <c r="PRJ161" s="33"/>
      <c r="PRK161" s="33"/>
      <c r="PRL161" s="33"/>
      <c r="PRM161" s="33"/>
      <c r="PRN161" s="33"/>
      <c r="PRO161" s="33"/>
      <c r="PRP161" s="33"/>
      <c r="PRQ161" s="33"/>
      <c r="PRR161" s="33"/>
      <c r="PRS161" s="33"/>
      <c r="PRT161" s="33"/>
      <c r="PRU161" s="33"/>
      <c r="PRV161" s="33"/>
      <c r="PRW161" s="33"/>
      <c r="PRX161" s="33"/>
      <c r="PRY161" s="33"/>
      <c r="PRZ161" s="33"/>
      <c r="PSA161" s="33"/>
      <c r="PSB161" s="33"/>
      <c r="PSC161" s="33"/>
      <c r="PSD161" s="33"/>
      <c r="PSE161" s="33"/>
      <c r="PSF161" s="33"/>
      <c r="PSG161" s="33"/>
      <c r="PSH161" s="33"/>
      <c r="PSI161" s="33"/>
      <c r="PSJ161" s="33"/>
      <c r="PSK161" s="33"/>
      <c r="PSL161" s="33"/>
      <c r="PSM161" s="33"/>
      <c r="PSN161" s="33"/>
      <c r="PSO161" s="33"/>
      <c r="PSP161" s="33"/>
      <c r="PSQ161" s="33"/>
      <c r="PSR161" s="33"/>
      <c r="PSS161" s="33"/>
      <c r="PST161" s="33"/>
      <c r="PSU161" s="33"/>
      <c r="PSV161" s="33"/>
      <c r="PSW161" s="33"/>
      <c r="PSX161" s="33"/>
      <c r="PSY161" s="33"/>
      <c r="PSZ161" s="33"/>
      <c r="PTA161" s="33"/>
      <c r="PTB161" s="33"/>
      <c r="PTC161" s="33"/>
      <c r="PTD161" s="33"/>
      <c r="PTE161" s="33"/>
      <c r="PTF161" s="33"/>
      <c r="PTG161" s="33"/>
      <c r="PTH161" s="33"/>
      <c r="PTI161" s="33"/>
      <c r="PTJ161" s="33"/>
      <c r="PTK161" s="33"/>
      <c r="PTL161" s="33"/>
      <c r="PTM161" s="33"/>
      <c r="PTN161" s="33"/>
      <c r="PTO161" s="33"/>
      <c r="PTP161" s="33"/>
      <c r="PTQ161" s="33"/>
      <c r="PTR161" s="33"/>
      <c r="PTS161" s="33"/>
      <c r="PTT161" s="33"/>
      <c r="PTU161" s="33"/>
      <c r="PTV161" s="33"/>
      <c r="PTW161" s="33"/>
      <c r="PTX161" s="33"/>
      <c r="PTY161" s="33"/>
      <c r="PTZ161" s="33"/>
      <c r="PUA161" s="33"/>
      <c r="PUB161" s="33"/>
      <c r="PUC161" s="33"/>
      <c r="PUD161" s="33"/>
      <c r="PUE161" s="33"/>
      <c r="PUF161" s="33"/>
      <c r="PUG161" s="33"/>
      <c r="PUH161" s="33"/>
      <c r="PUI161" s="33"/>
      <c r="PUJ161" s="33"/>
      <c r="PUK161" s="33"/>
      <c r="PUL161" s="33"/>
      <c r="PUM161" s="33"/>
      <c r="PUN161" s="33"/>
      <c r="PUO161" s="33"/>
      <c r="PUP161" s="33"/>
      <c r="PUQ161" s="33"/>
      <c r="PUR161" s="33"/>
      <c r="PUS161" s="33"/>
      <c r="PUT161" s="33"/>
      <c r="PUU161" s="33"/>
      <c r="PUV161" s="33"/>
      <c r="PUW161" s="33"/>
      <c r="PUX161" s="33"/>
      <c r="PUY161" s="33"/>
      <c r="PUZ161" s="33"/>
      <c r="PVA161" s="33"/>
      <c r="PVB161" s="33"/>
      <c r="PVC161" s="33"/>
      <c r="PVD161" s="33"/>
      <c r="PVE161" s="33"/>
      <c r="PVF161" s="33"/>
      <c r="PVG161" s="33"/>
      <c r="PVH161" s="33"/>
      <c r="PVI161" s="33"/>
      <c r="PVJ161" s="33"/>
      <c r="PVK161" s="33"/>
      <c r="PVL161" s="33"/>
      <c r="PVM161" s="33"/>
      <c r="PVN161" s="33"/>
      <c r="PVO161" s="33"/>
      <c r="PVP161" s="33"/>
      <c r="PVQ161" s="33"/>
      <c r="PVR161" s="33"/>
      <c r="PVS161" s="33"/>
      <c r="PVT161" s="33"/>
      <c r="PVU161" s="33"/>
      <c r="PVV161" s="33"/>
      <c r="PVW161" s="33"/>
      <c r="PVX161" s="33"/>
      <c r="PVY161" s="33"/>
      <c r="PVZ161" s="33"/>
      <c r="PWA161" s="33"/>
      <c r="PWB161" s="33"/>
      <c r="PWC161" s="33"/>
      <c r="PWD161" s="33"/>
      <c r="PWE161" s="33"/>
      <c r="PWF161" s="33"/>
      <c r="PWG161" s="33"/>
      <c r="PWH161" s="33"/>
      <c r="PWI161" s="33"/>
      <c r="PWJ161" s="33"/>
      <c r="PWK161" s="33"/>
      <c r="PWL161" s="33"/>
      <c r="PWM161" s="33"/>
      <c r="PWN161" s="33"/>
      <c r="PWO161" s="33"/>
      <c r="PWP161" s="33"/>
      <c r="PWQ161" s="33"/>
      <c r="PWR161" s="33"/>
      <c r="PWS161" s="33"/>
      <c r="PWT161" s="33"/>
      <c r="PWU161" s="33"/>
      <c r="PWV161" s="33"/>
      <c r="PWW161" s="33"/>
      <c r="PWX161" s="33"/>
      <c r="PWY161" s="33"/>
      <c r="PWZ161" s="33"/>
      <c r="PXA161" s="33"/>
      <c r="PXB161" s="33"/>
      <c r="PXC161" s="33"/>
      <c r="PXD161" s="33"/>
      <c r="PXE161" s="33"/>
      <c r="PXF161" s="33"/>
      <c r="PXG161" s="33"/>
      <c r="PXH161" s="33"/>
      <c r="PXI161" s="33"/>
      <c r="PXJ161" s="33"/>
      <c r="PXK161" s="33"/>
      <c r="PXL161" s="33"/>
      <c r="PXM161" s="33"/>
      <c r="PXN161" s="33"/>
      <c r="PXO161" s="33"/>
      <c r="PXP161" s="33"/>
      <c r="PXQ161" s="33"/>
      <c r="PXR161" s="33"/>
      <c r="PXS161" s="33"/>
      <c r="PXT161" s="33"/>
      <c r="PXU161" s="33"/>
      <c r="PXV161" s="33"/>
      <c r="PXW161" s="33"/>
      <c r="PXX161" s="33"/>
      <c r="PXY161" s="33"/>
      <c r="PXZ161" s="33"/>
      <c r="PYA161" s="33"/>
      <c r="PYB161" s="33"/>
      <c r="PYC161" s="33"/>
      <c r="PYD161" s="33"/>
      <c r="PYE161" s="33"/>
      <c r="PYF161" s="33"/>
      <c r="PYG161" s="33"/>
      <c r="PYH161" s="33"/>
      <c r="PYI161" s="33"/>
      <c r="PYJ161" s="33"/>
      <c r="PYK161" s="33"/>
      <c r="PYL161" s="33"/>
      <c r="PYM161" s="33"/>
      <c r="PYN161" s="33"/>
      <c r="PYO161" s="33"/>
      <c r="PYP161" s="33"/>
      <c r="PYQ161" s="33"/>
      <c r="PYR161" s="33"/>
      <c r="PYS161" s="33"/>
      <c r="PYT161" s="33"/>
      <c r="PYU161" s="33"/>
      <c r="PYV161" s="33"/>
      <c r="PYW161" s="33"/>
      <c r="PYX161" s="33"/>
      <c r="PYY161" s="33"/>
      <c r="PYZ161" s="33"/>
      <c r="PZA161" s="33"/>
      <c r="PZB161" s="33"/>
      <c r="PZC161" s="33"/>
      <c r="PZD161" s="33"/>
      <c r="PZE161" s="33"/>
      <c r="PZF161" s="33"/>
      <c r="PZG161" s="33"/>
      <c r="PZH161" s="33"/>
      <c r="PZI161" s="33"/>
      <c r="PZJ161" s="33"/>
      <c r="PZK161" s="33"/>
      <c r="PZL161" s="33"/>
      <c r="PZM161" s="33"/>
      <c r="PZN161" s="33"/>
      <c r="PZO161" s="33"/>
      <c r="PZP161" s="33"/>
      <c r="PZQ161" s="33"/>
      <c r="PZR161" s="33"/>
      <c r="PZS161" s="33"/>
      <c r="PZT161" s="33"/>
      <c r="PZU161" s="33"/>
      <c r="PZV161" s="33"/>
      <c r="PZW161" s="33"/>
      <c r="PZX161" s="33"/>
      <c r="PZY161" s="33"/>
      <c r="PZZ161" s="33"/>
      <c r="QAA161" s="33"/>
      <c r="QAB161" s="33"/>
      <c r="QAC161" s="33"/>
      <c r="QAD161" s="33"/>
      <c r="QAE161" s="33"/>
      <c r="QAF161" s="33"/>
      <c r="QAG161" s="33"/>
      <c r="QAH161" s="33"/>
      <c r="QAI161" s="33"/>
      <c r="QAJ161" s="33"/>
      <c r="QAK161" s="33"/>
      <c r="QAL161" s="33"/>
      <c r="QAM161" s="33"/>
      <c r="QAN161" s="33"/>
      <c r="QAO161" s="33"/>
      <c r="QAP161" s="33"/>
      <c r="QAQ161" s="33"/>
      <c r="QAR161" s="33"/>
      <c r="QAS161" s="33"/>
      <c r="QAT161" s="33"/>
      <c r="QAU161" s="33"/>
      <c r="QAV161" s="33"/>
      <c r="QAW161" s="33"/>
      <c r="QAX161" s="33"/>
      <c r="QAY161" s="33"/>
      <c r="QAZ161" s="33"/>
      <c r="QBA161" s="33"/>
      <c r="QBB161" s="33"/>
      <c r="QBC161" s="33"/>
      <c r="QBD161" s="33"/>
      <c r="QBE161" s="33"/>
      <c r="QBF161" s="33"/>
      <c r="QBG161" s="33"/>
      <c r="QBH161" s="33"/>
      <c r="QBI161" s="33"/>
      <c r="QBJ161" s="33"/>
      <c r="QBK161" s="33"/>
      <c r="QBL161" s="33"/>
      <c r="QBM161" s="33"/>
      <c r="QBN161" s="33"/>
      <c r="QBO161" s="33"/>
      <c r="QBP161" s="33"/>
      <c r="QBQ161" s="33"/>
      <c r="QBR161" s="33"/>
      <c r="QBS161" s="33"/>
      <c r="QBT161" s="33"/>
      <c r="QBU161" s="33"/>
      <c r="QBV161" s="33"/>
      <c r="QBW161" s="33"/>
      <c r="QBX161" s="33"/>
      <c r="QBY161" s="33"/>
      <c r="QBZ161" s="33"/>
      <c r="QCA161" s="33"/>
      <c r="QCB161" s="33"/>
      <c r="QCC161" s="33"/>
      <c r="QCD161" s="33"/>
      <c r="QCE161" s="33"/>
      <c r="QCF161" s="33"/>
      <c r="QCG161" s="33"/>
      <c r="QCH161" s="33"/>
      <c r="QCI161" s="33"/>
      <c r="QCJ161" s="33"/>
      <c r="QCK161" s="33"/>
      <c r="QCL161" s="33"/>
      <c r="QCM161" s="33"/>
      <c r="QCN161" s="33"/>
      <c r="QCO161" s="33"/>
      <c r="QCP161" s="33"/>
      <c r="QCQ161" s="33"/>
      <c r="QCR161" s="33"/>
      <c r="QCS161" s="33"/>
      <c r="QCT161" s="33"/>
      <c r="QCU161" s="33"/>
      <c r="QCV161" s="33"/>
      <c r="QCW161" s="33"/>
      <c r="QCX161" s="33"/>
      <c r="QCY161" s="33"/>
      <c r="QCZ161" s="33"/>
      <c r="QDA161" s="33"/>
      <c r="QDB161" s="33"/>
      <c r="QDC161" s="33"/>
      <c r="QDD161" s="33"/>
      <c r="QDE161" s="33"/>
      <c r="QDF161" s="33"/>
      <c r="QDG161" s="33"/>
      <c r="QDH161" s="33"/>
      <c r="QDI161" s="33"/>
      <c r="QDJ161" s="33"/>
      <c r="QDK161" s="33"/>
      <c r="QDL161" s="33"/>
      <c r="QDM161" s="33"/>
      <c r="QDN161" s="33"/>
      <c r="QDO161" s="33"/>
      <c r="QDP161" s="33"/>
      <c r="QDQ161" s="33"/>
      <c r="QDR161" s="33"/>
      <c r="QDS161" s="33"/>
      <c r="QDT161" s="33"/>
      <c r="QDU161" s="33"/>
      <c r="QDV161" s="33"/>
      <c r="QDW161" s="33"/>
      <c r="QDX161" s="33"/>
      <c r="QDY161" s="33"/>
      <c r="QDZ161" s="33"/>
      <c r="QEA161" s="33"/>
      <c r="QEB161" s="33"/>
      <c r="QEC161" s="33"/>
      <c r="QED161" s="33"/>
      <c r="QEE161" s="33"/>
      <c r="QEF161" s="33"/>
      <c r="QEG161" s="33"/>
      <c r="QEH161" s="33"/>
      <c r="QEI161" s="33"/>
      <c r="QEJ161" s="33"/>
      <c r="QEK161" s="33"/>
      <c r="QEL161" s="33"/>
      <c r="QEM161" s="33"/>
      <c r="QEN161" s="33"/>
      <c r="QEO161" s="33"/>
      <c r="QEP161" s="33"/>
      <c r="QEQ161" s="33"/>
      <c r="QER161" s="33"/>
      <c r="QES161" s="33"/>
      <c r="QET161" s="33"/>
      <c r="QEU161" s="33"/>
      <c r="QEV161" s="33"/>
      <c r="QEW161" s="33"/>
      <c r="QEX161" s="33"/>
      <c r="QEY161" s="33"/>
      <c r="QEZ161" s="33"/>
      <c r="QFA161" s="33"/>
      <c r="QFB161" s="33"/>
      <c r="QFC161" s="33"/>
      <c r="QFD161" s="33"/>
      <c r="QFE161" s="33"/>
      <c r="QFF161" s="33"/>
      <c r="QFG161" s="33"/>
      <c r="QFH161" s="33"/>
      <c r="QFI161" s="33"/>
      <c r="QFJ161" s="33"/>
      <c r="QFK161" s="33"/>
      <c r="QFL161" s="33"/>
      <c r="QFM161" s="33"/>
      <c r="QFN161" s="33"/>
      <c r="QFO161" s="33"/>
      <c r="QFP161" s="33"/>
      <c r="QFQ161" s="33"/>
      <c r="QFR161" s="33"/>
      <c r="QFS161" s="33"/>
      <c r="QFT161" s="33"/>
      <c r="QFU161" s="33"/>
      <c r="QFV161" s="33"/>
      <c r="QFW161" s="33"/>
      <c r="QFX161" s="33"/>
      <c r="QFY161" s="33"/>
      <c r="QFZ161" s="33"/>
      <c r="QGA161" s="33"/>
      <c r="QGB161" s="33"/>
      <c r="QGC161" s="33"/>
      <c r="QGD161" s="33"/>
      <c r="QGE161" s="33"/>
      <c r="QGF161" s="33"/>
      <c r="QGG161" s="33"/>
      <c r="QGH161" s="33"/>
      <c r="QGI161" s="33"/>
      <c r="QGJ161" s="33"/>
      <c r="QGK161" s="33"/>
      <c r="QGL161" s="33"/>
      <c r="QGM161" s="33"/>
      <c r="QGN161" s="33"/>
      <c r="QGO161" s="33"/>
      <c r="QGP161" s="33"/>
      <c r="QGQ161" s="33"/>
      <c r="QGR161" s="33"/>
      <c r="QGS161" s="33"/>
      <c r="QGT161" s="33"/>
      <c r="QGU161" s="33"/>
      <c r="QGV161" s="33"/>
      <c r="QGW161" s="33"/>
      <c r="QGX161" s="33"/>
      <c r="QGY161" s="33"/>
      <c r="QGZ161" s="33"/>
      <c r="QHA161" s="33"/>
      <c r="QHB161" s="33"/>
      <c r="QHC161" s="33"/>
      <c r="QHD161" s="33"/>
      <c r="QHE161" s="33"/>
      <c r="QHF161" s="33"/>
      <c r="QHG161" s="33"/>
      <c r="QHH161" s="33"/>
      <c r="QHI161" s="33"/>
      <c r="QHJ161" s="33"/>
      <c r="QHK161" s="33"/>
      <c r="QHL161" s="33"/>
      <c r="QHM161" s="33"/>
      <c r="QHN161" s="33"/>
      <c r="QHO161" s="33"/>
      <c r="QHP161" s="33"/>
      <c r="QHQ161" s="33"/>
      <c r="QHR161" s="33"/>
      <c r="QHS161" s="33"/>
      <c r="QHT161" s="33"/>
      <c r="QHU161" s="33"/>
      <c r="QHV161" s="33"/>
      <c r="QHW161" s="33"/>
      <c r="QHX161" s="33"/>
      <c r="QHY161" s="33"/>
      <c r="QHZ161" s="33"/>
      <c r="QIA161" s="33"/>
      <c r="QIB161" s="33"/>
      <c r="QIC161" s="33"/>
      <c r="QID161" s="33"/>
      <c r="QIE161" s="33"/>
      <c r="QIF161" s="33"/>
      <c r="QIG161" s="33"/>
      <c r="QIH161" s="33"/>
      <c r="QII161" s="33"/>
      <c r="QIJ161" s="33"/>
      <c r="QIK161" s="33"/>
      <c r="QIL161" s="33"/>
      <c r="QIM161" s="33"/>
      <c r="QIN161" s="33"/>
      <c r="QIO161" s="33"/>
      <c r="QIP161" s="33"/>
      <c r="QIQ161" s="33"/>
      <c r="QIR161" s="33"/>
      <c r="QIS161" s="33"/>
      <c r="QIT161" s="33"/>
      <c r="QIU161" s="33"/>
      <c r="QIV161" s="33"/>
      <c r="QIW161" s="33"/>
      <c r="QIX161" s="33"/>
      <c r="QIY161" s="33"/>
      <c r="QIZ161" s="33"/>
      <c r="QJA161" s="33"/>
      <c r="QJB161" s="33"/>
      <c r="QJC161" s="33"/>
      <c r="QJD161" s="33"/>
      <c r="QJE161" s="33"/>
      <c r="QJF161" s="33"/>
      <c r="QJG161" s="33"/>
      <c r="QJH161" s="33"/>
      <c r="QJI161" s="33"/>
      <c r="QJJ161" s="33"/>
      <c r="QJK161" s="33"/>
      <c r="QJL161" s="33"/>
      <c r="QJM161" s="33"/>
      <c r="QJN161" s="33"/>
      <c r="QJO161" s="33"/>
      <c r="QJP161" s="33"/>
      <c r="QJQ161" s="33"/>
      <c r="QJR161" s="33"/>
      <c r="QJS161" s="33"/>
      <c r="QJT161" s="33"/>
      <c r="QJU161" s="33"/>
      <c r="QJV161" s="33"/>
      <c r="QJW161" s="33"/>
      <c r="QJX161" s="33"/>
      <c r="QJY161" s="33"/>
      <c r="QJZ161" s="33"/>
      <c r="QKA161" s="33"/>
      <c r="QKB161" s="33"/>
      <c r="QKC161" s="33"/>
      <c r="QKD161" s="33"/>
      <c r="QKE161" s="33"/>
      <c r="QKF161" s="33"/>
      <c r="QKG161" s="33"/>
      <c r="QKH161" s="33"/>
      <c r="QKI161" s="33"/>
      <c r="QKJ161" s="33"/>
      <c r="QKK161" s="33"/>
      <c r="QKL161" s="33"/>
      <c r="QKM161" s="33"/>
      <c r="QKN161" s="33"/>
      <c r="QKO161" s="33"/>
      <c r="QKP161" s="33"/>
      <c r="QKQ161" s="33"/>
      <c r="QKR161" s="33"/>
      <c r="QKS161" s="33"/>
      <c r="QKT161" s="33"/>
      <c r="QKU161" s="33"/>
      <c r="QKV161" s="33"/>
      <c r="QKW161" s="33"/>
      <c r="QKX161" s="33"/>
      <c r="QKY161" s="33"/>
      <c r="QKZ161" s="33"/>
      <c r="QLA161" s="33"/>
      <c r="QLB161" s="33"/>
      <c r="QLC161" s="33"/>
      <c r="QLD161" s="33"/>
      <c r="QLE161" s="33"/>
      <c r="QLF161" s="33"/>
      <c r="QLG161" s="33"/>
      <c r="QLH161" s="33"/>
      <c r="QLI161" s="33"/>
      <c r="QLJ161" s="33"/>
      <c r="QLK161" s="33"/>
      <c r="QLL161" s="33"/>
      <c r="QLM161" s="33"/>
      <c r="QLN161" s="33"/>
      <c r="QLO161" s="33"/>
      <c r="QLP161" s="33"/>
      <c r="QLQ161" s="33"/>
      <c r="QLR161" s="33"/>
      <c r="QLS161" s="33"/>
      <c r="QLT161" s="33"/>
      <c r="QLU161" s="33"/>
      <c r="QLV161" s="33"/>
      <c r="QLW161" s="33"/>
      <c r="QLX161" s="33"/>
      <c r="QLY161" s="33"/>
      <c r="QLZ161" s="33"/>
      <c r="QMA161" s="33"/>
      <c r="QMB161" s="33"/>
      <c r="QMC161" s="33"/>
      <c r="QMD161" s="33"/>
      <c r="QME161" s="33"/>
      <c r="QMF161" s="33"/>
      <c r="QMG161" s="33"/>
      <c r="QMH161" s="33"/>
      <c r="QMI161" s="33"/>
      <c r="QMJ161" s="33"/>
      <c r="QMK161" s="33"/>
      <c r="QML161" s="33"/>
      <c r="QMM161" s="33"/>
      <c r="QMN161" s="33"/>
      <c r="QMO161" s="33"/>
      <c r="QMP161" s="33"/>
      <c r="QMQ161" s="33"/>
      <c r="QMR161" s="33"/>
      <c r="QMS161" s="33"/>
      <c r="QMT161" s="33"/>
      <c r="QMU161" s="33"/>
      <c r="QMV161" s="33"/>
      <c r="QMW161" s="33"/>
      <c r="QMX161" s="33"/>
      <c r="QMY161" s="33"/>
      <c r="QMZ161" s="33"/>
      <c r="QNA161" s="33"/>
      <c r="QNB161" s="33"/>
      <c r="QNC161" s="33"/>
      <c r="QND161" s="33"/>
      <c r="QNE161" s="33"/>
      <c r="QNF161" s="33"/>
      <c r="QNG161" s="33"/>
      <c r="QNH161" s="33"/>
      <c r="QNI161" s="33"/>
      <c r="QNJ161" s="33"/>
      <c r="QNK161" s="33"/>
      <c r="QNL161" s="33"/>
      <c r="QNM161" s="33"/>
      <c r="QNN161" s="33"/>
      <c r="QNO161" s="33"/>
      <c r="QNP161" s="33"/>
      <c r="QNQ161" s="33"/>
      <c r="QNR161" s="33"/>
      <c r="QNS161" s="33"/>
      <c r="QNT161" s="33"/>
      <c r="QNU161" s="33"/>
      <c r="QNV161" s="33"/>
      <c r="QNW161" s="33"/>
      <c r="QNX161" s="33"/>
      <c r="QNY161" s="33"/>
      <c r="QNZ161" s="33"/>
      <c r="QOA161" s="33"/>
      <c r="QOB161" s="33"/>
      <c r="QOC161" s="33"/>
      <c r="QOD161" s="33"/>
      <c r="QOE161" s="33"/>
      <c r="QOF161" s="33"/>
      <c r="QOG161" s="33"/>
      <c r="QOH161" s="33"/>
      <c r="QOI161" s="33"/>
      <c r="QOJ161" s="33"/>
      <c r="QOK161" s="33"/>
      <c r="QOL161" s="33"/>
      <c r="QOM161" s="33"/>
      <c r="QON161" s="33"/>
      <c r="QOO161" s="33"/>
      <c r="QOP161" s="33"/>
      <c r="QOQ161" s="33"/>
      <c r="QOR161" s="33"/>
      <c r="QOS161" s="33"/>
      <c r="QOT161" s="33"/>
      <c r="QOU161" s="33"/>
      <c r="QOV161" s="33"/>
      <c r="QOW161" s="33"/>
      <c r="QOX161" s="33"/>
      <c r="QOY161" s="33"/>
      <c r="QOZ161" s="33"/>
      <c r="QPA161" s="33"/>
      <c r="QPB161" s="33"/>
      <c r="QPC161" s="33"/>
      <c r="QPD161" s="33"/>
      <c r="QPE161" s="33"/>
      <c r="QPF161" s="33"/>
      <c r="QPG161" s="33"/>
      <c r="QPH161" s="33"/>
      <c r="QPI161" s="33"/>
      <c r="QPJ161" s="33"/>
      <c r="QPK161" s="33"/>
      <c r="QPL161" s="33"/>
      <c r="QPM161" s="33"/>
      <c r="QPN161" s="33"/>
      <c r="QPO161" s="33"/>
      <c r="QPP161" s="33"/>
      <c r="QPQ161" s="33"/>
      <c r="QPR161" s="33"/>
      <c r="QPS161" s="33"/>
      <c r="QPT161" s="33"/>
      <c r="QPU161" s="33"/>
      <c r="QPV161" s="33"/>
      <c r="QPW161" s="33"/>
      <c r="QPX161" s="33"/>
      <c r="QPY161" s="33"/>
      <c r="QPZ161" s="33"/>
      <c r="QQA161" s="33"/>
      <c r="QQB161" s="33"/>
      <c r="QQC161" s="33"/>
      <c r="QQD161" s="33"/>
      <c r="QQE161" s="33"/>
      <c r="QQF161" s="33"/>
      <c r="QQG161" s="33"/>
      <c r="QQH161" s="33"/>
      <c r="QQI161" s="33"/>
      <c r="QQJ161" s="33"/>
      <c r="QQK161" s="33"/>
      <c r="QQL161" s="33"/>
      <c r="QQM161" s="33"/>
      <c r="QQN161" s="33"/>
      <c r="QQO161" s="33"/>
      <c r="QQP161" s="33"/>
      <c r="QQQ161" s="33"/>
      <c r="QQR161" s="33"/>
      <c r="QQS161" s="33"/>
      <c r="QQT161" s="33"/>
      <c r="QQU161" s="33"/>
      <c r="QQV161" s="33"/>
      <c r="QQW161" s="33"/>
      <c r="QQX161" s="33"/>
      <c r="QQY161" s="33"/>
      <c r="QQZ161" s="33"/>
      <c r="QRA161" s="33"/>
      <c r="QRB161" s="33"/>
      <c r="QRC161" s="33"/>
      <c r="QRD161" s="33"/>
      <c r="QRE161" s="33"/>
      <c r="QRF161" s="33"/>
      <c r="QRG161" s="33"/>
      <c r="QRH161" s="33"/>
      <c r="QRI161" s="33"/>
      <c r="QRJ161" s="33"/>
      <c r="QRK161" s="33"/>
      <c r="QRL161" s="33"/>
      <c r="QRM161" s="33"/>
      <c r="QRN161" s="33"/>
      <c r="QRO161" s="33"/>
      <c r="QRP161" s="33"/>
      <c r="QRQ161" s="33"/>
      <c r="QRR161" s="33"/>
      <c r="QRS161" s="33"/>
      <c r="QRT161" s="33"/>
      <c r="QRU161" s="33"/>
      <c r="QRV161" s="33"/>
      <c r="QRW161" s="33"/>
      <c r="QRX161" s="33"/>
      <c r="QRY161" s="33"/>
      <c r="QRZ161" s="33"/>
      <c r="QSA161" s="33"/>
      <c r="QSB161" s="33"/>
      <c r="QSC161" s="33"/>
      <c r="QSD161" s="33"/>
      <c r="QSE161" s="33"/>
      <c r="QSF161" s="33"/>
      <c r="QSG161" s="33"/>
      <c r="QSH161" s="33"/>
      <c r="QSI161" s="33"/>
      <c r="QSJ161" s="33"/>
      <c r="QSK161" s="33"/>
      <c r="QSL161" s="33"/>
      <c r="QSM161" s="33"/>
      <c r="QSN161" s="33"/>
      <c r="QSO161" s="33"/>
      <c r="QSP161" s="33"/>
      <c r="QSQ161" s="33"/>
      <c r="QSR161" s="33"/>
      <c r="QSS161" s="33"/>
      <c r="QST161" s="33"/>
      <c r="QSU161" s="33"/>
      <c r="QSV161" s="33"/>
      <c r="QSW161" s="33"/>
      <c r="QSX161" s="33"/>
      <c r="QSY161" s="33"/>
      <c r="QSZ161" s="33"/>
      <c r="QTA161" s="33"/>
      <c r="QTB161" s="33"/>
      <c r="QTC161" s="33"/>
      <c r="QTD161" s="33"/>
      <c r="QTE161" s="33"/>
      <c r="QTF161" s="33"/>
      <c r="QTG161" s="33"/>
      <c r="QTH161" s="33"/>
      <c r="QTI161" s="33"/>
      <c r="QTJ161" s="33"/>
      <c r="QTK161" s="33"/>
      <c r="QTL161" s="33"/>
      <c r="QTM161" s="33"/>
      <c r="QTN161" s="33"/>
      <c r="QTO161" s="33"/>
      <c r="QTP161" s="33"/>
      <c r="QTQ161" s="33"/>
      <c r="QTR161" s="33"/>
      <c r="QTS161" s="33"/>
      <c r="QTT161" s="33"/>
      <c r="QTU161" s="33"/>
      <c r="QTV161" s="33"/>
      <c r="QTW161" s="33"/>
      <c r="QTX161" s="33"/>
      <c r="QTY161" s="33"/>
      <c r="QTZ161" s="33"/>
      <c r="QUA161" s="33"/>
      <c r="QUB161" s="33"/>
      <c r="QUC161" s="33"/>
      <c r="QUD161" s="33"/>
      <c r="QUE161" s="33"/>
      <c r="QUF161" s="33"/>
      <c r="QUG161" s="33"/>
      <c r="QUH161" s="33"/>
      <c r="QUI161" s="33"/>
      <c r="QUJ161" s="33"/>
      <c r="QUK161" s="33"/>
      <c r="QUL161" s="33"/>
      <c r="QUM161" s="33"/>
      <c r="QUN161" s="33"/>
      <c r="QUO161" s="33"/>
      <c r="QUP161" s="33"/>
      <c r="QUQ161" s="33"/>
      <c r="QUR161" s="33"/>
      <c r="QUS161" s="33"/>
      <c r="QUT161" s="33"/>
      <c r="QUU161" s="33"/>
      <c r="QUV161" s="33"/>
      <c r="QUW161" s="33"/>
      <c r="QUX161" s="33"/>
      <c r="QUY161" s="33"/>
      <c r="QUZ161" s="33"/>
      <c r="QVA161" s="33"/>
      <c r="QVB161" s="33"/>
      <c r="QVC161" s="33"/>
      <c r="QVD161" s="33"/>
      <c r="QVE161" s="33"/>
      <c r="QVF161" s="33"/>
      <c r="QVG161" s="33"/>
      <c r="QVH161" s="33"/>
      <c r="QVI161" s="33"/>
      <c r="QVJ161" s="33"/>
      <c r="QVK161" s="33"/>
      <c r="QVL161" s="33"/>
      <c r="QVM161" s="33"/>
      <c r="QVN161" s="33"/>
      <c r="QVO161" s="33"/>
      <c r="QVP161" s="33"/>
      <c r="QVQ161" s="33"/>
      <c r="QVR161" s="33"/>
      <c r="QVS161" s="33"/>
      <c r="QVT161" s="33"/>
      <c r="QVU161" s="33"/>
      <c r="QVV161" s="33"/>
      <c r="QVW161" s="33"/>
      <c r="QVX161" s="33"/>
      <c r="QVY161" s="33"/>
      <c r="QVZ161" s="33"/>
      <c r="QWA161" s="33"/>
      <c r="QWB161" s="33"/>
      <c r="QWC161" s="33"/>
      <c r="QWD161" s="33"/>
      <c r="QWE161" s="33"/>
      <c r="QWF161" s="33"/>
      <c r="QWG161" s="33"/>
      <c r="QWH161" s="33"/>
      <c r="QWI161" s="33"/>
      <c r="QWJ161" s="33"/>
      <c r="QWK161" s="33"/>
      <c r="QWL161" s="33"/>
      <c r="QWM161" s="33"/>
      <c r="QWN161" s="33"/>
      <c r="QWO161" s="33"/>
      <c r="QWP161" s="33"/>
      <c r="QWQ161" s="33"/>
      <c r="QWR161" s="33"/>
      <c r="QWS161" s="33"/>
      <c r="QWT161" s="33"/>
      <c r="QWU161" s="33"/>
      <c r="QWV161" s="33"/>
      <c r="QWW161" s="33"/>
      <c r="QWX161" s="33"/>
      <c r="QWY161" s="33"/>
      <c r="QWZ161" s="33"/>
      <c r="QXA161" s="33"/>
      <c r="QXB161" s="33"/>
      <c r="QXC161" s="33"/>
      <c r="QXD161" s="33"/>
      <c r="QXE161" s="33"/>
      <c r="QXF161" s="33"/>
      <c r="QXG161" s="33"/>
      <c r="QXH161" s="33"/>
      <c r="QXI161" s="33"/>
      <c r="QXJ161" s="33"/>
      <c r="QXK161" s="33"/>
      <c r="QXL161" s="33"/>
      <c r="QXM161" s="33"/>
      <c r="QXN161" s="33"/>
      <c r="QXO161" s="33"/>
      <c r="QXP161" s="33"/>
      <c r="QXQ161" s="33"/>
      <c r="QXR161" s="33"/>
      <c r="QXS161" s="33"/>
      <c r="QXT161" s="33"/>
      <c r="QXU161" s="33"/>
      <c r="QXV161" s="33"/>
      <c r="QXW161" s="33"/>
      <c r="QXX161" s="33"/>
      <c r="QXY161" s="33"/>
      <c r="QXZ161" s="33"/>
      <c r="QYA161" s="33"/>
      <c r="QYB161" s="33"/>
      <c r="QYC161" s="33"/>
      <c r="QYD161" s="33"/>
      <c r="QYE161" s="33"/>
      <c r="QYF161" s="33"/>
      <c r="QYG161" s="33"/>
      <c r="QYH161" s="33"/>
      <c r="QYI161" s="33"/>
      <c r="QYJ161" s="33"/>
      <c r="QYK161" s="33"/>
      <c r="QYL161" s="33"/>
      <c r="QYM161" s="33"/>
      <c r="QYN161" s="33"/>
      <c r="QYO161" s="33"/>
      <c r="QYP161" s="33"/>
      <c r="QYQ161" s="33"/>
      <c r="QYR161" s="33"/>
      <c r="QYS161" s="33"/>
      <c r="QYT161" s="33"/>
      <c r="QYU161" s="33"/>
      <c r="QYV161" s="33"/>
      <c r="QYW161" s="33"/>
      <c r="QYX161" s="33"/>
      <c r="QYY161" s="33"/>
      <c r="QYZ161" s="33"/>
      <c r="QZA161" s="33"/>
      <c r="QZB161" s="33"/>
      <c r="QZC161" s="33"/>
      <c r="QZD161" s="33"/>
      <c r="QZE161" s="33"/>
      <c r="QZF161" s="33"/>
      <c r="QZG161" s="33"/>
      <c r="QZH161" s="33"/>
      <c r="QZI161" s="33"/>
      <c r="QZJ161" s="33"/>
      <c r="QZK161" s="33"/>
      <c r="QZL161" s="33"/>
      <c r="QZM161" s="33"/>
      <c r="QZN161" s="33"/>
      <c r="QZO161" s="33"/>
      <c r="QZP161" s="33"/>
      <c r="QZQ161" s="33"/>
      <c r="QZR161" s="33"/>
      <c r="QZS161" s="33"/>
      <c r="QZT161" s="33"/>
      <c r="QZU161" s="33"/>
      <c r="QZV161" s="33"/>
      <c r="QZW161" s="33"/>
      <c r="QZX161" s="33"/>
      <c r="QZY161" s="33"/>
      <c r="QZZ161" s="33"/>
      <c r="RAA161" s="33"/>
      <c r="RAB161" s="33"/>
      <c r="RAC161" s="33"/>
      <c r="RAD161" s="33"/>
      <c r="RAE161" s="33"/>
      <c r="RAF161" s="33"/>
      <c r="RAG161" s="33"/>
      <c r="RAH161" s="33"/>
      <c r="RAI161" s="33"/>
      <c r="RAJ161" s="33"/>
      <c r="RAK161" s="33"/>
      <c r="RAL161" s="33"/>
      <c r="RAM161" s="33"/>
      <c r="RAN161" s="33"/>
      <c r="RAO161" s="33"/>
      <c r="RAP161" s="33"/>
      <c r="RAQ161" s="33"/>
      <c r="RAR161" s="33"/>
      <c r="RAS161" s="33"/>
      <c r="RAT161" s="33"/>
      <c r="RAU161" s="33"/>
      <c r="RAV161" s="33"/>
      <c r="RAW161" s="33"/>
      <c r="RAX161" s="33"/>
      <c r="RAY161" s="33"/>
      <c r="RAZ161" s="33"/>
      <c r="RBA161" s="33"/>
      <c r="RBB161" s="33"/>
      <c r="RBC161" s="33"/>
      <c r="RBD161" s="33"/>
      <c r="RBE161" s="33"/>
      <c r="RBF161" s="33"/>
      <c r="RBG161" s="33"/>
      <c r="RBH161" s="33"/>
      <c r="RBI161" s="33"/>
      <c r="RBJ161" s="33"/>
      <c r="RBK161" s="33"/>
      <c r="RBL161" s="33"/>
      <c r="RBM161" s="33"/>
      <c r="RBN161" s="33"/>
      <c r="RBO161" s="33"/>
      <c r="RBP161" s="33"/>
      <c r="RBQ161" s="33"/>
      <c r="RBR161" s="33"/>
      <c r="RBS161" s="33"/>
      <c r="RBT161" s="33"/>
      <c r="RBU161" s="33"/>
      <c r="RBV161" s="33"/>
      <c r="RBW161" s="33"/>
      <c r="RBX161" s="33"/>
      <c r="RBY161" s="33"/>
      <c r="RBZ161" s="33"/>
      <c r="RCA161" s="33"/>
      <c r="RCB161" s="33"/>
      <c r="RCC161" s="33"/>
      <c r="RCD161" s="33"/>
      <c r="RCE161" s="33"/>
      <c r="RCF161" s="33"/>
      <c r="RCG161" s="33"/>
      <c r="RCH161" s="33"/>
      <c r="RCI161" s="33"/>
      <c r="RCJ161" s="33"/>
      <c r="RCK161" s="33"/>
      <c r="RCL161" s="33"/>
      <c r="RCM161" s="33"/>
      <c r="RCN161" s="33"/>
      <c r="RCO161" s="33"/>
      <c r="RCP161" s="33"/>
      <c r="RCQ161" s="33"/>
      <c r="RCR161" s="33"/>
      <c r="RCS161" s="33"/>
      <c r="RCT161" s="33"/>
      <c r="RCU161" s="33"/>
      <c r="RCV161" s="33"/>
      <c r="RCW161" s="33"/>
      <c r="RCX161" s="33"/>
      <c r="RCY161" s="33"/>
      <c r="RCZ161" s="33"/>
      <c r="RDA161" s="33"/>
      <c r="RDB161" s="33"/>
      <c r="RDC161" s="33"/>
      <c r="RDD161" s="33"/>
      <c r="RDE161" s="33"/>
      <c r="RDF161" s="33"/>
      <c r="RDG161" s="33"/>
      <c r="RDH161" s="33"/>
      <c r="RDI161" s="33"/>
      <c r="RDJ161" s="33"/>
      <c r="RDK161" s="33"/>
      <c r="RDL161" s="33"/>
      <c r="RDM161" s="33"/>
      <c r="RDN161" s="33"/>
      <c r="RDO161" s="33"/>
      <c r="RDP161" s="33"/>
      <c r="RDQ161" s="33"/>
      <c r="RDR161" s="33"/>
      <c r="RDS161" s="33"/>
      <c r="RDT161" s="33"/>
      <c r="RDU161" s="33"/>
      <c r="RDV161" s="33"/>
      <c r="RDW161" s="33"/>
      <c r="RDX161" s="33"/>
      <c r="RDY161" s="33"/>
      <c r="RDZ161" s="33"/>
      <c r="REA161" s="33"/>
      <c r="REB161" s="33"/>
      <c r="REC161" s="33"/>
      <c r="RED161" s="33"/>
      <c r="REE161" s="33"/>
      <c r="REF161" s="33"/>
      <c r="REG161" s="33"/>
      <c r="REH161" s="33"/>
      <c r="REI161" s="33"/>
      <c r="REJ161" s="33"/>
      <c r="REK161" s="33"/>
      <c r="REL161" s="33"/>
      <c r="REM161" s="33"/>
      <c r="REN161" s="33"/>
      <c r="REO161" s="33"/>
      <c r="REP161" s="33"/>
      <c r="REQ161" s="33"/>
      <c r="RER161" s="33"/>
      <c r="RES161" s="33"/>
      <c r="RET161" s="33"/>
      <c r="REU161" s="33"/>
      <c r="REV161" s="33"/>
      <c r="REW161" s="33"/>
      <c r="REX161" s="33"/>
      <c r="REY161" s="33"/>
      <c r="REZ161" s="33"/>
      <c r="RFA161" s="33"/>
      <c r="RFB161" s="33"/>
      <c r="RFC161" s="33"/>
      <c r="RFD161" s="33"/>
      <c r="RFE161" s="33"/>
      <c r="RFF161" s="33"/>
      <c r="RFG161" s="33"/>
      <c r="RFH161" s="33"/>
      <c r="RFI161" s="33"/>
      <c r="RFJ161" s="33"/>
      <c r="RFK161" s="33"/>
      <c r="RFL161" s="33"/>
      <c r="RFM161" s="33"/>
      <c r="RFN161" s="33"/>
      <c r="RFO161" s="33"/>
      <c r="RFP161" s="33"/>
      <c r="RFQ161" s="33"/>
      <c r="RFR161" s="33"/>
      <c r="RFS161" s="33"/>
      <c r="RFT161" s="33"/>
      <c r="RFU161" s="33"/>
      <c r="RFV161" s="33"/>
      <c r="RFW161" s="33"/>
      <c r="RFX161" s="33"/>
      <c r="RFY161" s="33"/>
      <c r="RFZ161" s="33"/>
      <c r="RGA161" s="33"/>
      <c r="RGB161" s="33"/>
      <c r="RGC161" s="33"/>
      <c r="RGD161" s="33"/>
      <c r="RGE161" s="33"/>
      <c r="RGF161" s="33"/>
      <c r="RGG161" s="33"/>
      <c r="RGH161" s="33"/>
      <c r="RGI161" s="33"/>
      <c r="RGJ161" s="33"/>
      <c r="RGK161" s="33"/>
      <c r="RGL161" s="33"/>
      <c r="RGM161" s="33"/>
      <c r="RGN161" s="33"/>
      <c r="RGO161" s="33"/>
      <c r="RGP161" s="33"/>
      <c r="RGQ161" s="33"/>
      <c r="RGR161" s="33"/>
      <c r="RGS161" s="33"/>
      <c r="RGT161" s="33"/>
      <c r="RGU161" s="33"/>
      <c r="RGV161" s="33"/>
      <c r="RGW161" s="33"/>
      <c r="RGX161" s="33"/>
      <c r="RGY161" s="33"/>
      <c r="RGZ161" s="33"/>
      <c r="RHA161" s="33"/>
      <c r="RHB161" s="33"/>
      <c r="RHC161" s="33"/>
      <c r="RHD161" s="33"/>
      <c r="RHE161" s="33"/>
      <c r="RHF161" s="33"/>
      <c r="RHG161" s="33"/>
      <c r="RHH161" s="33"/>
      <c r="RHI161" s="33"/>
      <c r="RHJ161" s="33"/>
      <c r="RHK161" s="33"/>
      <c r="RHL161" s="33"/>
      <c r="RHM161" s="33"/>
      <c r="RHN161" s="33"/>
      <c r="RHO161" s="33"/>
      <c r="RHP161" s="33"/>
      <c r="RHQ161" s="33"/>
      <c r="RHR161" s="33"/>
      <c r="RHS161" s="33"/>
      <c r="RHT161" s="33"/>
      <c r="RHU161" s="33"/>
      <c r="RHV161" s="33"/>
      <c r="RHW161" s="33"/>
      <c r="RHX161" s="33"/>
      <c r="RHY161" s="33"/>
      <c r="RHZ161" s="33"/>
      <c r="RIA161" s="33"/>
      <c r="RIB161" s="33"/>
      <c r="RIC161" s="33"/>
      <c r="RID161" s="33"/>
      <c r="RIE161" s="33"/>
      <c r="RIF161" s="33"/>
      <c r="RIG161" s="33"/>
      <c r="RIH161" s="33"/>
      <c r="RII161" s="33"/>
      <c r="RIJ161" s="33"/>
      <c r="RIK161" s="33"/>
      <c r="RIL161" s="33"/>
      <c r="RIM161" s="33"/>
      <c r="RIN161" s="33"/>
      <c r="RIO161" s="33"/>
      <c r="RIP161" s="33"/>
      <c r="RIQ161" s="33"/>
      <c r="RIR161" s="33"/>
      <c r="RIS161" s="33"/>
      <c r="RIT161" s="33"/>
      <c r="RIU161" s="33"/>
      <c r="RIV161" s="33"/>
      <c r="RIW161" s="33"/>
      <c r="RIX161" s="33"/>
      <c r="RIY161" s="33"/>
      <c r="RIZ161" s="33"/>
      <c r="RJA161" s="33"/>
      <c r="RJB161" s="33"/>
      <c r="RJC161" s="33"/>
      <c r="RJD161" s="33"/>
      <c r="RJE161" s="33"/>
      <c r="RJF161" s="33"/>
      <c r="RJG161" s="33"/>
      <c r="RJH161" s="33"/>
      <c r="RJI161" s="33"/>
      <c r="RJJ161" s="33"/>
      <c r="RJK161" s="33"/>
      <c r="RJL161" s="33"/>
      <c r="RJM161" s="33"/>
      <c r="RJN161" s="33"/>
      <c r="RJO161" s="33"/>
      <c r="RJP161" s="33"/>
      <c r="RJQ161" s="33"/>
      <c r="RJR161" s="33"/>
      <c r="RJS161" s="33"/>
      <c r="RJT161" s="33"/>
      <c r="RJU161" s="33"/>
      <c r="RJV161" s="33"/>
      <c r="RJW161" s="33"/>
      <c r="RJX161" s="33"/>
      <c r="RJY161" s="33"/>
      <c r="RJZ161" s="33"/>
      <c r="RKA161" s="33"/>
      <c r="RKB161" s="33"/>
      <c r="RKC161" s="33"/>
      <c r="RKD161" s="33"/>
      <c r="RKE161" s="33"/>
      <c r="RKF161" s="33"/>
      <c r="RKG161" s="33"/>
      <c r="RKH161" s="33"/>
      <c r="RKI161" s="33"/>
      <c r="RKJ161" s="33"/>
      <c r="RKK161" s="33"/>
      <c r="RKL161" s="33"/>
      <c r="RKM161" s="33"/>
      <c r="RKN161" s="33"/>
      <c r="RKO161" s="33"/>
      <c r="RKP161" s="33"/>
      <c r="RKQ161" s="33"/>
      <c r="RKR161" s="33"/>
      <c r="RKS161" s="33"/>
      <c r="RKT161" s="33"/>
      <c r="RKU161" s="33"/>
      <c r="RKV161" s="33"/>
      <c r="RKW161" s="33"/>
      <c r="RKX161" s="33"/>
      <c r="RKY161" s="33"/>
      <c r="RKZ161" s="33"/>
      <c r="RLA161" s="33"/>
      <c r="RLB161" s="33"/>
      <c r="RLC161" s="33"/>
      <c r="RLD161" s="33"/>
      <c r="RLE161" s="33"/>
      <c r="RLF161" s="33"/>
      <c r="RLG161" s="33"/>
      <c r="RLH161" s="33"/>
      <c r="RLI161" s="33"/>
      <c r="RLJ161" s="33"/>
      <c r="RLK161" s="33"/>
      <c r="RLL161" s="33"/>
      <c r="RLM161" s="33"/>
      <c r="RLN161" s="33"/>
      <c r="RLO161" s="33"/>
      <c r="RLP161" s="33"/>
      <c r="RLQ161" s="33"/>
      <c r="RLR161" s="33"/>
      <c r="RLS161" s="33"/>
      <c r="RLT161" s="33"/>
      <c r="RLU161" s="33"/>
      <c r="RLV161" s="33"/>
      <c r="RLW161" s="33"/>
      <c r="RLX161" s="33"/>
      <c r="RLY161" s="33"/>
      <c r="RLZ161" s="33"/>
      <c r="RMA161" s="33"/>
      <c r="RMB161" s="33"/>
      <c r="RMC161" s="33"/>
      <c r="RMD161" s="33"/>
      <c r="RME161" s="33"/>
      <c r="RMF161" s="33"/>
      <c r="RMG161" s="33"/>
      <c r="RMH161" s="33"/>
      <c r="RMI161" s="33"/>
      <c r="RMJ161" s="33"/>
      <c r="RMK161" s="33"/>
      <c r="RML161" s="33"/>
      <c r="RMM161" s="33"/>
      <c r="RMN161" s="33"/>
      <c r="RMO161" s="33"/>
      <c r="RMP161" s="33"/>
      <c r="RMQ161" s="33"/>
      <c r="RMR161" s="33"/>
      <c r="RMS161" s="33"/>
      <c r="RMT161" s="33"/>
      <c r="RMU161" s="33"/>
      <c r="RMV161" s="33"/>
      <c r="RMW161" s="33"/>
      <c r="RMX161" s="33"/>
      <c r="RMY161" s="33"/>
      <c r="RMZ161" s="33"/>
      <c r="RNA161" s="33"/>
      <c r="RNB161" s="33"/>
      <c r="RNC161" s="33"/>
      <c r="RND161" s="33"/>
      <c r="RNE161" s="33"/>
      <c r="RNF161" s="33"/>
      <c r="RNG161" s="33"/>
      <c r="RNH161" s="33"/>
      <c r="RNI161" s="33"/>
      <c r="RNJ161" s="33"/>
      <c r="RNK161" s="33"/>
      <c r="RNL161" s="33"/>
      <c r="RNM161" s="33"/>
      <c r="RNN161" s="33"/>
      <c r="RNO161" s="33"/>
      <c r="RNP161" s="33"/>
      <c r="RNQ161" s="33"/>
      <c r="RNR161" s="33"/>
      <c r="RNS161" s="33"/>
      <c r="RNT161" s="33"/>
      <c r="RNU161" s="33"/>
      <c r="RNV161" s="33"/>
      <c r="RNW161" s="33"/>
      <c r="RNX161" s="33"/>
      <c r="RNY161" s="33"/>
      <c r="RNZ161" s="33"/>
      <c r="ROA161" s="33"/>
      <c r="ROB161" s="33"/>
      <c r="ROC161" s="33"/>
      <c r="ROD161" s="33"/>
      <c r="ROE161" s="33"/>
      <c r="ROF161" s="33"/>
      <c r="ROG161" s="33"/>
      <c r="ROH161" s="33"/>
      <c r="ROI161" s="33"/>
      <c r="ROJ161" s="33"/>
      <c r="ROK161" s="33"/>
      <c r="ROL161" s="33"/>
      <c r="ROM161" s="33"/>
      <c r="RON161" s="33"/>
      <c r="ROO161" s="33"/>
      <c r="ROP161" s="33"/>
      <c r="ROQ161" s="33"/>
      <c r="ROR161" s="33"/>
      <c r="ROS161" s="33"/>
      <c r="ROT161" s="33"/>
      <c r="ROU161" s="33"/>
      <c r="ROV161" s="33"/>
      <c r="ROW161" s="33"/>
      <c r="ROX161" s="33"/>
      <c r="ROY161" s="33"/>
      <c r="ROZ161" s="33"/>
      <c r="RPA161" s="33"/>
      <c r="RPB161" s="33"/>
      <c r="RPC161" s="33"/>
      <c r="RPD161" s="33"/>
      <c r="RPE161" s="33"/>
      <c r="RPF161" s="33"/>
      <c r="RPG161" s="33"/>
      <c r="RPH161" s="33"/>
      <c r="RPI161" s="33"/>
      <c r="RPJ161" s="33"/>
      <c r="RPK161" s="33"/>
      <c r="RPL161" s="33"/>
      <c r="RPM161" s="33"/>
      <c r="RPN161" s="33"/>
      <c r="RPO161" s="33"/>
      <c r="RPP161" s="33"/>
      <c r="RPQ161" s="33"/>
      <c r="RPR161" s="33"/>
      <c r="RPS161" s="33"/>
      <c r="RPT161" s="33"/>
      <c r="RPU161" s="33"/>
      <c r="RPV161" s="33"/>
      <c r="RPW161" s="33"/>
      <c r="RPX161" s="33"/>
      <c r="RPY161" s="33"/>
      <c r="RPZ161" s="33"/>
      <c r="RQA161" s="33"/>
      <c r="RQB161" s="33"/>
      <c r="RQC161" s="33"/>
      <c r="RQD161" s="33"/>
      <c r="RQE161" s="33"/>
      <c r="RQF161" s="33"/>
      <c r="RQG161" s="33"/>
      <c r="RQH161" s="33"/>
      <c r="RQI161" s="33"/>
      <c r="RQJ161" s="33"/>
      <c r="RQK161" s="33"/>
      <c r="RQL161" s="33"/>
      <c r="RQM161" s="33"/>
      <c r="RQN161" s="33"/>
      <c r="RQO161" s="33"/>
      <c r="RQP161" s="33"/>
      <c r="RQQ161" s="33"/>
      <c r="RQR161" s="33"/>
      <c r="RQS161" s="33"/>
      <c r="RQT161" s="33"/>
      <c r="RQU161" s="33"/>
      <c r="RQV161" s="33"/>
      <c r="RQW161" s="33"/>
      <c r="RQX161" s="33"/>
      <c r="RQY161" s="33"/>
      <c r="RQZ161" s="33"/>
      <c r="RRA161" s="33"/>
      <c r="RRB161" s="33"/>
      <c r="RRC161" s="33"/>
      <c r="RRD161" s="33"/>
      <c r="RRE161" s="33"/>
      <c r="RRF161" s="33"/>
      <c r="RRG161" s="33"/>
      <c r="RRH161" s="33"/>
      <c r="RRI161" s="33"/>
      <c r="RRJ161" s="33"/>
      <c r="RRK161" s="33"/>
      <c r="RRL161" s="33"/>
      <c r="RRM161" s="33"/>
      <c r="RRN161" s="33"/>
      <c r="RRO161" s="33"/>
      <c r="RRP161" s="33"/>
      <c r="RRQ161" s="33"/>
      <c r="RRR161" s="33"/>
      <c r="RRS161" s="33"/>
      <c r="RRT161" s="33"/>
      <c r="RRU161" s="33"/>
      <c r="RRV161" s="33"/>
      <c r="RRW161" s="33"/>
      <c r="RRX161" s="33"/>
      <c r="RRY161" s="33"/>
      <c r="RRZ161" s="33"/>
      <c r="RSA161" s="33"/>
      <c r="RSB161" s="33"/>
      <c r="RSC161" s="33"/>
      <c r="RSD161" s="33"/>
      <c r="RSE161" s="33"/>
      <c r="RSF161" s="33"/>
      <c r="RSG161" s="33"/>
      <c r="RSH161" s="33"/>
      <c r="RSI161" s="33"/>
      <c r="RSJ161" s="33"/>
      <c r="RSK161" s="33"/>
      <c r="RSL161" s="33"/>
      <c r="RSM161" s="33"/>
      <c r="RSN161" s="33"/>
      <c r="RSO161" s="33"/>
      <c r="RSP161" s="33"/>
      <c r="RSQ161" s="33"/>
      <c r="RSR161" s="33"/>
      <c r="RSS161" s="33"/>
      <c r="RST161" s="33"/>
      <c r="RSU161" s="33"/>
      <c r="RSV161" s="33"/>
      <c r="RSW161" s="33"/>
      <c r="RSX161" s="33"/>
      <c r="RSY161" s="33"/>
      <c r="RSZ161" s="33"/>
      <c r="RTA161" s="33"/>
      <c r="RTB161" s="33"/>
      <c r="RTC161" s="33"/>
      <c r="RTD161" s="33"/>
      <c r="RTE161" s="33"/>
      <c r="RTF161" s="33"/>
      <c r="RTG161" s="33"/>
      <c r="RTH161" s="33"/>
      <c r="RTI161" s="33"/>
      <c r="RTJ161" s="33"/>
      <c r="RTK161" s="33"/>
      <c r="RTL161" s="33"/>
      <c r="RTM161" s="33"/>
      <c r="RTN161" s="33"/>
      <c r="RTO161" s="33"/>
      <c r="RTP161" s="33"/>
      <c r="RTQ161" s="33"/>
      <c r="RTR161" s="33"/>
      <c r="RTS161" s="33"/>
      <c r="RTT161" s="33"/>
      <c r="RTU161" s="33"/>
      <c r="RTV161" s="33"/>
      <c r="RTW161" s="33"/>
      <c r="RTX161" s="33"/>
      <c r="RTY161" s="33"/>
      <c r="RTZ161" s="33"/>
      <c r="RUA161" s="33"/>
      <c r="RUB161" s="33"/>
      <c r="RUC161" s="33"/>
      <c r="RUD161" s="33"/>
      <c r="RUE161" s="33"/>
      <c r="RUF161" s="33"/>
      <c r="RUG161" s="33"/>
      <c r="RUH161" s="33"/>
      <c r="RUI161" s="33"/>
      <c r="RUJ161" s="33"/>
      <c r="RUK161" s="33"/>
      <c r="RUL161" s="33"/>
      <c r="RUM161" s="33"/>
      <c r="RUN161" s="33"/>
      <c r="RUO161" s="33"/>
      <c r="RUP161" s="33"/>
      <c r="RUQ161" s="33"/>
      <c r="RUR161" s="33"/>
      <c r="RUS161" s="33"/>
      <c r="RUT161" s="33"/>
      <c r="RUU161" s="33"/>
      <c r="RUV161" s="33"/>
      <c r="RUW161" s="33"/>
      <c r="RUX161" s="33"/>
      <c r="RUY161" s="33"/>
      <c r="RUZ161" s="33"/>
      <c r="RVA161" s="33"/>
      <c r="RVB161" s="33"/>
      <c r="RVC161" s="33"/>
      <c r="RVD161" s="33"/>
      <c r="RVE161" s="33"/>
      <c r="RVF161" s="33"/>
      <c r="RVG161" s="33"/>
      <c r="RVH161" s="33"/>
      <c r="RVI161" s="33"/>
      <c r="RVJ161" s="33"/>
      <c r="RVK161" s="33"/>
      <c r="RVL161" s="33"/>
      <c r="RVM161" s="33"/>
      <c r="RVN161" s="33"/>
      <c r="RVO161" s="33"/>
      <c r="RVP161" s="33"/>
      <c r="RVQ161" s="33"/>
      <c r="RVR161" s="33"/>
      <c r="RVS161" s="33"/>
      <c r="RVT161" s="33"/>
      <c r="RVU161" s="33"/>
      <c r="RVV161" s="33"/>
      <c r="RVW161" s="33"/>
      <c r="RVX161" s="33"/>
      <c r="RVY161" s="33"/>
      <c r="RVZ161" s="33"/>
      <c r="RWA161" s="33"/>
      <c r="RWB161" s="33"/>
      <c r="RWC161" s="33"/>
      <c r="RWD161" s="33"/>
      <c r="RWE161" s="33"/>
      <c r="RWF161" s="33"/>
      <c r="RWG161" s="33"/>
      <c r="RWH161" s="33"/>
      <c r="RWI161" s="33"/>
      <c r="RWJ161" s="33"/>
      <c r="RWK161" s="33"/>
      <c r="RWL161" s="33"/>
      <c r="RWM161" s="33"/>
      <c r="RWN161" s="33"/>
      <c r="RWO161" s="33"/>
      <c r="RWP161" s="33"/>
      <c r="RWQ161" s="33"/>
      <c r="RWR161" s="33"/>
      <c r="RWS161" s="33"/>
      <c r="RWT161" s="33"/>
      <c r="RWU161" s="33"/>
      <c r="RWV161" s="33"/>
      <c r="RWW161" s="33"/>
      <c r="RWX161" s="33"/>
      <c r="RWY161" s="33"/>
      <c r="RWZ161" s="33"/>
      <c r="RXA161" s="33"/>
      <c r="RXB161" s="33"/>
      <c r="RXC161" s="33"/>
      <c r="RXD161" s="33"/>
      <c r="RXE161" s="33"/>
      <c r="RXF161" s="33"/>
      <c r="RXG161" s="33"/>
      <c r="RXH161" s="33"/>
      <c r="RXI161" s="33"/>
      <c r="RXJ161" s="33"/>
      <c r="RXK161" s="33"/>
      <c r="RXL161" s="33"/>
      <c r="RXM161" s="33"/>
      <c r="RXN161" s="33"/>
      <c r="RXO161" s="33"/>
      <c r="RXP161" s="33"/>
      <c r="RXQ161" s="33"/>
      <c r="RXR161" s="33"/>
      <c r="RXS161" s="33"/>
      <c r="RXT161" s="33"/>
      <c r="RXU161" s="33"/>
      <c r="RXV161" s="33"/>
      <c r="RXW161" s="33"/>
      <c r="RXX161" s="33"/>
      <c r="RXY161" s="33"/>
      <c r="RXZ161" s="33"/>
      <c r="RYA161" s="33"/>
      <c r="RYB161" s="33"/>
      <c r="RYC161" s="33"/>
      <c r="RYD161" s="33"/>
      <c r="RYE161" s="33"/>
      <c r="RYF161" s="33"/>
      <c r="RYG161" s="33"/>
      <c r="RYH161" s="33"/>
      <c r="RYI161" s="33"/>
      <c r="RYJ161" s="33"/>
      <c r="RYK161" s="33"/>
      <c r="RYL161" s="33"/>
      <c r="RYM161" s="33"/>
      <c r="RYN161" s="33"/>
      <c r="RYO161" s="33"/>
      <c r="RYP161" s="33"/>
      <c r="RYQ161" s="33"/>
      <c r="RYR161" s="33"/>
      <c r="RYS161" s="33"/>
      <c r="RYT161" s="33"/>
      <c r="RYU161" s="33"/>
      <c r="RYV161" s="33"/>
      <c r="RYW161" s="33"/>
      <c r="RYX161" s="33"/>
      <c r="RYY161" s="33"/>
      <c r="RYZ161" s="33"/>
      <c r="RZA161" s="33"/>
      <c r="RZB161" s="33"/>
      <c r="RZC161" s="33"/>
      <c r="RZD161" s="33"/>
      <c r="RZE161" s="33"/>
      <c r="RZF161" s="33"/>
      <c r="RZG161" s="33"/>
      <c r="RZH161" s="33"/>
      <c r="RZI161" s="33"/>
      <c r="RZJ161" s="33"/>
      <c r="RZK161" s="33"/>
      <c r="RZL161" s="33"/>
      <c r="RZM161" s="33"/>
      <c r="RZN161" s="33"/>
      <c r="RZO161" s="33"/>
      <c r="RZP161" s="33"/>
      <c r="RZQ161" s="33"/>
      <c r="RZR161" s="33"/>
      <c r="RZS161" s="33"/>
      <c r="RZT161" s="33"/>
      <c r="RZU161" s="33"/>
      <c r="RZV161" s="33"/>
      <c r="RZW161" s="33"/>
      <c r="RZX161" s="33"/>
      <c r="RZY161" s="33"/>
      <c r="RZZ161" s="33"/>
      <c r="SAA161" s="33"/>
      <c r="SAB161" s="33"/>
      <c r="SAC161" s="33"/>
      <c r="SAD161" s="33"/>
      <c r="SAE161" s="33"/>
      <c r="SAF161" s="33"/>
      <c r="SAG161" s="33"/>
      <c r="SAH161" s="33"/>
      <c r="SAI161" s="33"/>
      <c r="SAJ161" s="33"/>
      <c r="SAK161" s="33"/>
      <c r="SAL161" s="33"/>
      <c r="SAM161" s="33"/>
      <c r="SAN161" s="33"/>
      <c r="SAO161" s="33"/>
      <c r="SAP161" s="33"/>
      <c r="SAQ161" s="33"/>
      <c r="SAR161" s="33"/>
      <c r="SAS161" s="33"/>
      <c r="SAT161" s="33"/>
      <c r="SAU161" s="33"/>
      <c r="SAV161" s="33"/>
      <c r="SAW161" s="33"/>
      <c r="SAX161" s="33"/>
      <c r="SAY161" s="33"/>
      <c r="SAZ161" s="33"/>
      <c r="SBA161" s="33"/>
      <c r="SBB161" s="33"/>
      <c r="SBC161" s="33"/>
      <c r="SBD161" s="33"/>
      <c r="SBE161" s="33"/>
      <c r="SBF161" s="33"/>
      <c r="SBG161" s="33"/>
      <c r="SBH161" s="33"/>
      <c r="SBI161" s="33"/>
      <c r="SBJ161" s="33"/>
      <c r="SBK161" s="33"/>
      <c r="SBL161" s="33"/>
      <c r="SBM161" s="33"/>
      <c r="SBN161" s="33"/>
      <c r="SBO161" s="33"/>
      <c r="SBP161" s="33"/>
      <c r="SBQ161" s="33"/>
      <c r="SBR161" s="33"/>
      <c r="SBS161" s="33"/>
      <c r="SBT161" s="33"/>
      <c r="SBU161" s="33"/>
      <c r="SBV161" s="33"/>
      <c r="SBW161" s="33"/>
      <c r="SBX161" s="33"/>
      <c r="SBY161" s="33"/>
      <c r="SBZ161" s="33"/>
      <c r="SCA161" s="33"/>
      <c r="SCB161" s="33"/>
      <c r="SCC161" s="33"/>
      <c r="SCD161" s="33"/>
      <c r="SCE161" s="33"/>
      <c r="SCF161" s="33"/>
      <c r="SCG161" s="33"/>
      <c r="SCH161" s="33"/>
      <c r="SCI161" s="33"/>
      <c r="SCJ161" s="33"/>
      <c r="SCK161" s="33"/>
      <c r="SCL161" s="33"/>
      <c r="SCM161" s="33"/>
      <c r="SCN161" s="33"/>
      <c r="SCO161" s="33"/>
      <c r="SCP161" s="33"/>
      <c r="SCQ161" s="33"/>
      <c r="SCR161" s="33"/>
      <c r="SCS161" s="33"/>
      <c r="SCT161" s="33"/>
      <c r="SCU161" s="33"/>
      <c r="SCV161" s="33"/>
      <c r="SCW161" s="33"/>
      <c r="SCX161" s="33"/>
      <c r="SCY161" s="33"/>
      <c r="SCZ161" s="33"/>
      <c r="SDA161" s="33"/>
      <c r="SDB161" s="33"/>
      <c r="SDC161" s="33"/>
      <c r="SDD161" s="33"/>
      <c r="SDE161" s="33"/>
      <c r="SDF161" s="33"/>
      <c r="SDG161" s="33"/>
      <c r="SDH161" s="33"/>
      <c r="SDI161" s="33"/>
      <c r="SDJ161" s="33"/>
      <c r="SDK161" s="33"/>
      <c r="SDL161" s="33"/>
      <c r="SDM161" s="33"/>
      <c r="SDN161" s="33"/>
      <c r="SDO161" s="33"/>
      <c r="SDP161" s="33"/>
      <c r="SDQ161" s="33"/>
      <c r="SDR161" s="33"/>
      <c r="SDS161" s="33"/>
      <c r="SDT161" s="33"/>
      <c r="SDU161" s="33"/>
      <c r="SDV161" s="33"/>
      <c r="SDW161" s="33"/>
      <c r="SDX161" s="33"/>
      <c r="SDY161" s="33"/>
      <c r="SDZ161" s="33"/>
      <c r="SEA161" s="33"/>
      <c r="SEB161" s="33"/>
      <c r="SEC161" s="33"/>
      <c r="SED161" s="33"/>
      <c r="SEE161" s="33"/>
      <c r="SEF161" s="33"/>
      <c r="SEG161" s="33"/>
      <c r="SEH161" s="33"/>
      <c r="SEI161" s="33"/>
      <c r="SEJ161" s="33"/>
      <c r="SEK161" s="33"/>
      <c r="SEL161" s="33"/>
      <c r="SEM161" s="33"/>
      <c r="SEN161" s="33"/>
      <c r="SEO161" s="33"/>
      <c r="SEP161" s="33"/>
      <c r="SEQ161" s="33"/>
      <c r="SER161" s="33"/>
      <c r="SES161" s="33"/>
      <c r="SET161" s="33"/>
      <c r="SEU161" s="33"/>
      <c r="SEV161" s="33"/>
      <c r="SEW161" s="33"/>
      <c r="SEX161" s="33"/>
      <c r="SEY161" s="33"/>
      <c r="SEZ161" s="33"/>
      <c r="SFA161" s="33"/>
      <c r="SFB161" s="33"/>
      <c r="SFC161" s="33"/>
      <c r="SFD161" s="33"/>
      <c r="SFE161" s="33"/>
      <c r="SFF161" s="33"/>
      <c r="SFG161" s="33"/>
      <c r="SFH161" s="33"/>
      <c r="SFI161" s="33"/>
      <c r="SFJ161" s="33"/>
      <c r="SFK161" s="33"/>
      <c r="SFL161" s="33"/>
      <c r="SFM161" s="33"/>
      <c r="SFN161" s="33"/>
      <c r="SFO161" s="33"/>
      <c r="SFP161" s="33"/>
      <c r="SFQ161" s="33"/>
      <c r="SFR161" s="33"/>
      <c r="SFS161" s="33"/>
      <c r="SFT161" s="33"/>
      <c r="SFU161" s="33"/>
      <c r="SFV161" s="33"/>
      <c r="SFW161" s="33"/>
      <c r="SFX161" s="33"/>
      <c r="SFY161" s="33"/>
      <c r="SFZ161" s="33"/>
      <c r="SGA161" s="33"/>
      <c r="SGB161" s="33"/>
      <c r="SGC161" s="33"/>
      <c r="SGD161" s="33"/>
      <c r="SGE161" s="33"/>
      <c r="SGF161" s="33"/>
      <c r="SGG161" s="33"/>
      <c r="SGH161" s="33"/>
      <c r="SGI161" s="33"/>
      <c r="SGJ161" s="33"/>
      <c r="SGK161" s="33"/>
      <c r="SGL161" s="33"/>
      <c r="SGM161" s="33"/>
      <c r="SGN161" s="33"/>
      <c r="SGO161" s="33"/>
      <c r="SGP161" s="33"/>
      <c r="SGQ161" s="33"/>
      <c r="SGR161" s="33"/>
      <c r="SGS161" s="33"/>
      <c r="SGT161" s="33"/>
      <c r="SGU161" s="33"/>
      <c r="SGV161" s="33"/>
      <c r="SGW161" s="33"/>
      <c r="SGX161" s="33"/>
      <c r="SGY161" s="33"/>
      <c r="SGZ161" s="33"/>
      <c r="SHA161" s="33"/>
      <c r="SHB161" s="33"/>
      <c r="SHC161" s="33"/>
      <c r="SHD161" s="33"/>
      <c r="SHE161" s="33"/>
      <c r="SHF161" s="33"/>
      <c r="SHG161" s="33"/>
      <c r="SHH161" s="33"/>
      <c r="SHI161" s="33"/>
      <c r="SHJ161" s="33"/>
      <c r="SHK161" s="33"/>
      <c r="SHL161" s="33"/>
      <c r="SHM161" s="33"/>
      <c r="SHN161" s="33"/>
      <c r="SHO161" s="33"/>
      <c r="SHP161" s="33"/>
      <c r="SHQ161" s="33"/>
      <c r="SHR161" s="33"/>
      <c r="SHS161" s="33"/>
      <c r="SHT161" s="33"/>
      <c r="SHU161" s="33"/>
      <c r="SHV161" s="33"/>
      <c r="SHW161" s="33"/>
      <c r="SHX161" s="33"/>
      <c r="SHY161" s="33"/>
      <c r="SHZ161" s="33"/>
      <c r="SIA161" s="33"/>
      <c r="SIB161" s="33"/>
      <c r="SIC161" s="33"/>
      <c r="SID161" s="33"/>
      <c r="SIE161" s="33"/>
      <c r="SIF161" s="33"/>
      <c r="SIG161" s="33"/>
      <c r="SIH161" s="33"/>
      <c r="SII161" s="33"/>
      <c r="SIJ161" s="33"/>
      <c r="SIK161" s="33"/>
      <c r="SIL161" s="33"/>
      <c r="SIM161" s="33"/>
      <c r="SIN161" s="33"/>
      <c r="SIO161" s="33"/>
      <c r="SIP161" s="33"/>
      <c r="SIQ161" s="33"/>
      <c r="SIR161" s="33"/>
      <c r="SIS161" s="33"/>
      <c r="SIT161" s="33"/>
      <c r="SIU161" s="33"/>
      <c r="SIV161" s="33"/>
      <c r="SIW161" s="33"/>
      <c r="SIX161" s="33"/>
      <c r="SIY161" s="33"/>
      <c r="SIZ161" s="33"/>
      <c r="SJA161" s="33"/>
      <c r="SJB161" s="33"/>
      <c r="SJC161" s="33"/>
      <c r="SJD161" s="33"/>
      <c r="SJE161" s="33"/>
      <c r="SJF161" s="33"/>
      <c r="SJG161" s="33"/>
      <c r="SJH161" s="33"/>
      <c r="SJI161" s="33"/>
      <c r="SJJ161" s="33"/>
      <c r="SJK161" s="33"/>
      <c r="SJL161" s="33"/>
      <c r="SJM161" s="33"/>
      <c r="SJN161" s="33"/>
      <c r="SJO161" s="33"/>
      <c r="SJP161" s="33"/>
      <c r="SJQ161" s="33"/>
      <c r="SJR161" s="33"/>
      <c r="SJS161" s="33"/>
      <c r="SJT161" s="33"/>
      <c r="SJU161" s="33"/>
      <c r="SJV161" s="33"/>
      <c r="SJW161" s="33"/>
      <c r="SJX161" s="33"/>
      <c r="SJY161" s="33"/>
      <c r="SJZ161" s="33"/>
      <c r="SKA161" s="33"/>
      <c r="SKB161" s="33"/>
      <c r="SKC161" s="33"/>
      <c r="SKD161" s="33"/>
      <c r="SKE161" s="33"/>
      <c r="SKF161" s="33"/>
      <c r="SKG161" s="33"/>
      <c r="SKH161" s="33"/>
      <c r="SKI161" s="33"/>
      <c r="SKJ161" s="33"/>
      <c r="SKK161" s="33"/>
      <c r="SKL161" s="33"/>
      <c r="SKM161" s="33"/>
      <c r="SKN161" s="33"/>
      <c r="SKO161" s="33"/>
      <c r="SKP161" s="33"/>
      <c r="SKQ161" s="33"/>
      <c r="SKR161" s="33"/>
      <c r="SKS161" s="33"/>
      <c r="SKT161" s="33"/>
      <c r="SKU161" s="33"/>
      <c r="SKV161" s="33"/>
      <c r="SKW161" s="33"/>
      <c r="SKX161" s="33"/>
      <c r="SKY161" s="33"/>
      <c r="SKZ161" s="33"/>
      <c r="SLA161" s="33"/>
      <c r="SLB161" s="33"/>
      <c r="SLC161" s="33"/>
      <c r="SLD161" s="33"/>
      <c r="SLE161" s="33"/>
      <c r="SLF161" s="33"/>
      <c r="SLG161" s="33"/>
      <c r="SLH161" s="33"/>
      <c r="SLI161" s="33"/>
      <c r="SLJ161" s="33"/>
      <c r="SLK161" s="33"/>
      <c r="SLL161" s="33"/>
      <c r="SLM161" s="33"/>
      <c r="SLN161" s="33"/>
      <c r="SLO161" s="33"/>
      <c r="SLP161" s="33"/>
      <c r="SLQ161" s="33"/>
      <c r="SLR161" s="33"/>
      <c r="SLS161" s="33"/>
      <c r="SLT161" s="33"/>
      <c r="SLU161" s="33"/>
      <c r="SLV161" s="33"/>
      <c r="SLW161" s="33"/>
      <c r="SLX161" s="33"/>
      <c r="SLY161" s="33"/>
      <c r="SLZ161" s="33"/>
      <c r="SMA161" s="33"/>
      <c r="SMB161" s="33"/>
      <c r="SMC161" s="33"/>
      <c r="SMD161" s="33"/>
      <c r="SME161" s="33"/>
      <c r="SMF161" s="33"/>
      <c r="SMG161" s="33"/>
      <c r="SMH161" s="33"/>
      <c r="SMI161" s="33"/>
      <c r="SMJ161" s="33"/>
      <c r="SMK161" s="33"/>
      <c r="SML161" s="33"/>
      <c r="SMM161" s="33"/>
      <c r="SMN161" s="33"/>
      <c r="SMO161" s="33"/>
      <c r="SMP161" s="33"/>
      <c r="SMQ161" s="33"/>
      <c r="SMR161" s="33"/>
      <c r="SMS161" s="33"/>
      <c r="SMT161" s="33"/>
      <c r="SMU161" s="33"/>
      <c r="SMV161" s="33"/>
      <c r="SMW161" s="33"/>
      <c r="SMX161" s="33"/>
      <c r="SMY161" s="33"/>
      <c r="SMZ161" s="33"/>
      <c r="SNA161" s="33"/>
      <c r="SNB161" s="33"/>
      <c r="SNC161" s="33"/>
      <c r="SND161" s="33"/>
      <c r="SNE161" s="33"/>
      <c r="SNF161" s="33"/>
      <c r="SNG161" s="33"/>
      <c r="SNH161" s="33"/>
      <c r="SNI161" s="33"/>
      <c r="SNJ161" s="33"/>
      <c r="SNK161" s="33"/>
      <c r="SNL161" s="33"/>
      <c r="SNM161" s="33"/>
      <c r="SNN161" s="33"/>
      <c r="SNO161" s="33"/>
      <c r="SNP161" s="33"/>
      <c r="SNQ161" s="33"/>
      <c r="SNR161" s="33"/>
      <c r="SNS161" s="33"/>
      <c r="SNT161" s="33"/>
      <c r="SNU161" s="33"/>
      <c r="SNV161" s="33"/>
      <c r="SNW161" s="33"/>
      <c r="SNX161" s="33"/>
      <c r="SNY161" s="33"/>
      <c r="SNZ161" s="33"/>
      <c r="SOA161" s="33"/>
      <c r="SOB161" s="33"/>
      <c r="SOC161" s="33"/>
      <c r="SOD161" s="33"/>
      <c r="SOE161" s="33"/>
      <c r="SOF161" s="33"/>
      <c r="SOG161" s="33"/>
      <c r="SOH161" s="33"/>
      <c r="SOI161" s="33"/>
      <c r="SOJ161" s="33"/>
      <c r="SOK161" s="33"/>
      <c r="SOL161" s="33"/>
      <c r="SOM161" s="33"/>
      <c r="SON161" s="33"/>
      <c r="SOO161" s="33"/>
      <c r="SOP161" s="33"/>
      <c r="SOQ161" s="33"/>
      <c r="SOR161" s="33"/>
      <c r="SOS161" s="33"/>
      <c r="SOT161" s="33"/>
      <c r="SOU161" s="33"/>
      <c r="SOV161" s="33"/>
      <c r="SOW161" s="33"/>
      <c r="SOX161" s="33"/>
      <c r="SOY161" s="33"/>
      <c r="SOZ161" s="33"/>
      <c r="SPA161" s="33"/>
      <c r="SPB161" s="33"/>
      <c r="SPC161" s="33"/>
      <c r="SPD161" s="33"/>
      <c r="SPE161" s="33"/>
      <c r="SPF161" s="33"/>
      <c r="SPG161" s="33"/>
      <c r="SPH161" s="33"/>
      <c r="SPI161" s="33"/>
      <c r="SPJ161" s="33"/>
      <c r="SPK161" s="33"/>
      <c r="SPL161" s="33"/>
      <c r="SPM161" s="33"/>
      <c r="SPN161" s="33"/>
      <c r="SPO161" s="33"/>
      <c r="SPP161" s="33"/>
      <c r="SPQ161" s="33"/>
      <c r="SPR161" s="33"/>
      <c r="SPS161" s="33"/>
      <c r="SPT161" s="33"/>
      <c r="SPU161" s="33"/>
      <c r="SPV161" s="33"/>
      <c r="SPW161" s="33"/>
      <c r="SPX161" s="33"/>
      <c r="SPY161" s="33"/>
      <c r="SPZ161" s="33"/>
      <c r="SQA161" s="33"/>
      <c r="SQB161" s="33"/>
      <c r="SQC161" s="33"/>
      <c r="SQD161" s="33"/>
      <c r="SQE161" s="33"/>
      <c r="SQF161" s="33"/>
      <c r="SQG161" s="33"/>
      <c r="SQH161" s="33"/>
      <c r="SQI161" s="33"/>
      <c r="SQJ161" s="33"/>
      <c r="SQK161" s="33"/>
      <c r="SQL161" s="33"/>
      <c r="SQM161" s="33"/>
      <c r="SQN161" s="33"/>
      <c r="SQO161" s="33"/>
      <c r="SQP161" s="33"/>
      <c r="SQQ161" s="33"/>
      <c r="SQR161" s="33"/>
      <c r="SQS161" s="33"/>
      <c r="SQT161" s="33"/>
      <c r="SQU161" s="33"/>
      <c r="SQV161" s="33"/>
      <c r="SQW161" s="33"/>
      <c r="SQX161" s="33"/>
      <c r="SQY161" s="33"/>
      <c r="SQZ161" s="33"/>
      <c r="SRA161" s="33"/>
      <c r="SRB161" s="33"/>
      <c r="SRC161" s="33"/>
      <c r="SRD161" s="33"/>
      <c r="SRE161" s="33"/>
      <c r="SRF161" s="33"/>
      <c r="SRG161" s="33"/>
      <c r="SRH161" s="33"/>
      <c r="SRI161" s="33"/>
      <c r="SRJ161" s="33"/>
      <c r="SRK161" s="33"/>
      <c r="SRL161" s="33"/>
      <c r="SRM161" s="33"/>
      <c r="SRN161" s="33"/>
      <c r="SRO161" s="33"/>
      <c r="SRP161" s="33"/>
      <c r="SRQ161" s="33"/>
      <c r="SRR161" s="33"/>
      <c r="SRS161" s="33"/>
      <c r="SRT161" s="33"/>
      <c r="SRU161" s="33"/>
      <c r="SRV161" s="33"/>
      <c r="SRW161" s="33"/>
      <c r="SRX161" s="33"/>
      <c r="SRY161" s="33"/>
      <c r="SRZ161" s="33"/>
      <c r="SSA161" s="33"/>
      <c r="SSB161" s="33"/>
      <c r="SSC161" s="33"/>
      <c r="SSD161" s="33"/>
      <c r="SSE161" s="33"/>
      <c r="SSF161" s="33"/>
      <c r="SSG161" s="33"/>
      <c r="SSH161" s="33"/>
      <c r="SSI161" s="33"/>
      <c r="SSJ161" s="33"/>
      <c r="SSK161" s="33"/>
      <c r="SSL161" s="33"/>
      <c r="SSM161" s="33"/>
      <c r="SSN161" s="33"/>
      <c r="SSO161" s="33"/>
      <c r="SSP161" s="33"/>
      <c r="SSQ161" s="33"/>
      <c r="SSR161" s="33"/>
      <c r="SSS161" s="33"/>
      <c r="SST161" s="33"/>
      <c r="SSU161" s="33"/>
      <c r="SSV161" s="33"/>
      <c r="SSW161" s="33"/>
      <c r="SSX161" s="33"/>
      <c r="SSY161" s="33"/>
      <c r="SSZ161" s="33"/>
      <c r="STA161" s="33"/>
      <c r="STB161" s="33"/>
      <c r="STC161" s="33"/>
      <c r="STD161" s="33"/>
      <c r="STE161" s="33"/>
      <c r="STF161" s="33"/>
      <c r="STG161" s="33"/>
      <c r="STH161" s="33"/>
      <c r="STI161" s="33"/>
      <c r="STJ161" s="33"/>
      <c r="STK161" s="33"/>
      <c r="STL161" s="33"/>
      <c r="STM161" s="33"/>
      <c r="STN161" s="33"/>
      <c r="STO161" s="33"/>
      <c r="STP161" s="33"/>
      <c r="STQ161" s="33"/>
      <c r="STR161" s="33"/>
      <c r="STS161" s="33"/>
      <c r="STT161" s="33"/>
      <c r="STU161" s="33"/>
      <c r="STV161" s="33"/>
      <c r="STW161" s="33"/>
      <c r="STX161" s="33"/>
      <c r="STY161" s="33"/>
      <c r="STZ161" s="33"/>
      <c r="SUA161" s="33"/>
      <c r="SUB161" s="33"/>
      <c r="SUC161" s="33"/>
      <c r="SUD161" s="33"/>
      <c r="SUE161" s="33"/>
      <c r="SUF161" s="33"/>
      <c r="SUG161" s="33"/>
      <c r="SUH161" s="33"/>
      <c r="SUI161" s="33"/>
      <c r="SUJ161" s="33"/>
      <c r="SUK161" s="33"/>
      <c r="SUL161" s="33"/>
      <c r="SUM161" s="33"/>
      <c r="SUN161" s="33"/>
      <c r="SUO161" s="33"/>
      <c r="SUP161" s="33"/>
      <c r="SUQ161" s="33"/>
      <c r="SUR161" s="33"/>
      <c r="SUS161" s="33"/>
      <c r="SUT161" s="33"/>
      <c r="SUU161" s="33"/>
      <c r="SUV161" s="33"/>
      <c r="SUW161" s="33"/>
      <c r="SUX161" s="33"/>
      <c r="SUY161" s="33"/>
      <c r="SUZ161" s="33"/>
      <c r="SVA161" s="33"/>
      <c r="SVB161" s="33"/>
      <c r="SVC161" s="33"/>
      <c r="SVD161" s="33"/>
      <c r="SVE161" s="33"/>
      <c r="SVF161" s="33"/>
      <c r="SVG161" s="33"/>
      <c r="SVH161" s="33"/>
      <c r="SVI161" s="33"/>
      <c r="SVJ161" s="33"/>
      <c r="SVK161" s="33"/>
      <c r="SVL161" s="33"/>
      <c r="SVM161" s="33"/>
      <c r="SVN161" s="33"/>
      <c r="SVO161" s="33"/>
      <c r="SVP161" s="33"/>
      <c r="SVQ161" s="33"/>
      <c r="SVR161" s="33"/>
      <c r="SVS161" s="33"/>
      <c r="SVT161" s="33"/>
      <c r="SVU161" s="33"/>
      <c r="SVV161" s="33"/>
      <c r="SVW161" s="33"/>
      <c r="SVX161" s="33"/>
      <c r="SVY161" s="33"/>
      <c r="SVZ161" s="33"/>
      <c r="SWA161" s="33"/>
      <c r="SWB161" s="33"/>
      <c r="SWC161" s="33"/>
      <c r="SWD161" s="33"/>
      <c r="SWE161" s="33"/>
      <c r="SWF161" s="33"/>
      <c r="SWG161" s="33"/>
      <c r="SWH161" s="33"/>
      <c r="SWI161" s="33"/>
      <c r="SWJ161" s="33"/>
      <c r="SWK161" s="33"/>
      <c r="SWL161" s="33"/>
      <c r="SWM161" s="33"/>
      <c r="SWN161" s="33"/>
      <c r="SWO161" s="33"/>
      <c r="SWP161" s="33"/>
      <c r="SWQ161" s="33"/>
      <c r="SWR161" s="33"/>
      <c r="SWS161" s="33"/>
      <c r="SWT161" s="33"/>
      <c r="SWU161" s="33"/>
      <c r="SWV161" s="33"/>
      <c r="SWW161" s="33"/>
      <c r="SWX161" s="33"/>
      <c r="SWY161" s="33"/>
      <c r="SWZ161" s="33"/>
      <c r="SXA161" s="33"/>
      <c r="SXB161" s="33"/>
      <c r="SXC161" s="33"/>
      <c r="SXD161" s="33"/>
      <c r="SXE161" s="33"/>
      <c r="SXF161" s="33"/>
      <c r="SXG161" s="33"/>
      <c r="SXH161" s="33"/>
      <c r="SXI161" s="33"/>
      <c r="SXJ161" s="33"/>
      <c r="SXK161" s="33"/>
      <c r="SXL161" s="33"/>
      <c r="SXM161" s="33"/>
      <c r="SXN161" s="33"/>
      <c r="SXO161" s="33"/>
      <c r="SXP161" s="33"/>
      <c r="SXQ161" s="33"/>
      <c r="SXR161" s="33"/>
      <c r="SXS161" s="33"/>
      <c r="SXT161" s="33"/>
      <c r="SXU161" s="33"/>
      <c r="SXV161" s="33"/>
      <c r="SXW161" s="33"/>
      <c r="SXX161" s="33"/>
      <c r="SXY161" s="33"/>
      <c r="SXZ161" s="33"/>
      <c r="SYA161" s="33"/>
      <c r="SYB161" s="33"/>
      <c r="SYC161" s="33"/>
      <c r="SYD161" s="33"/>
      <c r="SYE161" s="33"/>
      <c r="SYF161" s="33"/>
      <c r="SYG161" s="33"/>
      <c r="SYH161" s="33"/>
      <c r="SYI161" s="33"/>
      <c r="SYJ161" s="33"/>
      <c r="SYK161" s="33"/>
      <c r="SYL161" s="33"/>
      <c r="SYM161" s="33"/>
      <c r="SYN161" s="33"/>
      <c r="SYO161" s="33"/>
      <c r="SYP161" s="33"/>
      <c r="SYQ161" s="33"/>
      <c r="SYR161" s="33"/>
      <c r="SYS161" s="33"/>
      <c r="SYT161" s="33"/>
      <c r="SYU161" s="33"/>
      <c r="SYV161" s="33"/>
      <c r="SYW161" s="33"/>
      <c r="SYX161" s="33"/>
      <c r="SYY161" s="33"/>
      <c r="SYZ161" s="33"/>
      <c r="SZA161" s="33"/>
      <c r="SZB161" s="33"/>
      <c r="SZC161" s="33"/>
      <c r="SZD161" s="33"/>
      <c r="SZE161" s="33"/>
      <c r="SZF161" s="33"/>
      <c r="SZG161" s="33"/>
      <c r="SZH161" s="33"/>
      <c r="SZI161" s="33"/>
      <c r="SZJ161" s="33"/>
      <c r="SZK161" s="33"/>
      <c r="SZL161" s="33"/>
      <c r="SZM161" s="33"/>
      <c r="SZN161" s="33"/>
      <c r="SZO161" s="33"/>
      <c r="SZP161" s="33"/>
      <c r="SZQ161" s="33"/>
      <c r="SZR161" s="33"/>
      <c r="SZS161" s="33"/>
      <c r="SZT161" s="33"/>
      <c r="SZU161" s="33"/>
      <c r="SZV161" s="33"/>
      <c r="SZW161" s="33"/>
      <c r="SZX161" s="33"/>
      <c r="SZY161" s="33"/>
      <c r="SZZ161" s="33"/>
      <c r="TAA161" s="33"/>
      <c r="TAB161" s="33"/>
      <c r="TAC161" s="33"/>
      <c r="TAD161" s="33"/>
      <c r="TAE161" s="33"/>
      <c r="TAF161" s="33"/>
      <c r="TAG161" s="33"/>
      <c r="TAH161" s="33"/>
      <c r="TAI161" s="33"/>
      <c r="TAJ161" s="33"/>
      <c r="TAK161" s="33"/>
      <c r="TAL161" s="33"/>
      <c r="TAM161" s="33"/>
      <c r="TAN161" s="33"/>
      <c r="TAO161" s="33"/>
      <c r="TAP161" s="33"/>
      <c r="TAQ161" s="33"/>
      <c r="TAR161" s="33"/>
      <c r="TAS161" s="33"/>
      <c r="TAT161" s="33"/>
      <c r="TAU161" s="33"/>
      <c r="TAV161" s="33"/>
      <c r="TAW161" s="33"/>
      <c r="TAX161" s="33"/>
      <c r="TAY161" s="33"/>
      <c r="TAZ161" s="33"/>
      <c r="TBA161" s="33"/>
      <c r="TBB161" s="33"/>
      <c r="TBC161" s="33"/>
      <c r="TBD161" s="33"/>
      <c r="TBE161" s="33"/>
      <c r="TBF161" s="33"/>
      <c r="TBG161" s="33"/>
      <c r="TBH161" s="33"/>
      <c r="TBI161" s="33"/>
      <c r="TBJ161" s="33"/>
      <c r="TBK161" s="33"/>
      <c r="TBL161" s="33"/>
      <c r="TBM161" s="33"/>
      <c r="TBN161" s="33"/>
      <c r="TBO161" s="33"/>
      <c r="TBP161" s="33"/>
      <c r="TBQ161" s="33"/>
      <c r="TBR161" s="33"/>
      <c r="TBS161" s="33"/>
      <c r="TBT161" s="33"/>
      <c r="TBU161" s="33"/>
      <c r="TBV161" s="33"/>
      <c r="TBW161" s="33"/>
      <c r="TBX161" s="33"/>
      <c r="TBY161" s="33"/>
      <c r="TBZ161" s="33"/>
      <c r="TCA161" s="33"/>
      <c r="TCB161" s="33"/>
      <c r="TCC161" s="33"/>
      <c r="TCD161" s="33"/>
      <c r="TCE161" s="33"/>
      <c r="TCF161" s="33"/>
      <c r="TCG161" s="33"/>
      <c r="TCH161" s="33"/>
      <c r="TCI161" s="33"/>
      <c r="TCJ161" s="33"/>
      <c r="TCK161" s="33"/>
      <c r="TCL161" s="33"/>
      <c r="TCM161" s="33"/>
      <c r="TCN161" s="33"/>
      <c r="TCO161" s="33"/>
      <c r="TCP161" s="33"/>
      <c r="TCQ161" s="33"/>
      <c r="TCR161" s="33"/>
      <c r="TCS161" s="33"/>
      <c r="TCT161" s="33"/>
      <c r="TCU161" s="33"/>
      <c r="TCV161" s="33"/>
      <c r="TCW161" s="33"/>
      <c r="TCX161" s="33"/>
      <c r="TCY161" s="33"/>
      <c r="TCZ161" s="33"/>
      <c r="TDA161" s="33"/>
      <c r="TDB161" s="33"/>
      <c r="TDC161" s="33"/>
      <c r="TDD161" s="33"/>
      <c r="TDE161" s="33"/>
      <c r="TDF161" s="33"/>
      <c r="TDG161" s="33"/>
      <c r="TDH161" s="33"/>
      <c r="TDI161" s="33"/>
      <c r="TDJ161" s="33"/>
      <c r="TDK161" s="33"/>
      <c r="TDL161" s="33"/>
      <c r="TDM161" s="33"/>
      <c r="TDN161" s="33"/>
      <c r="TDO161" s="33"/>
      <c r="TDP161" s="33"/>
      <c r="TDQ161" s="33"/>
      <c r="TDR161" s="33"/>
      <c r="TDS161" s="33"/>
      <c r="TDT161" s="33"/>
      <c r="TDU161" s="33"/>
      <c r="TDV161" s="33"/>
      <c r="TDW161" s="33"/>
      <c r="TDX161" s="33"/>
      <c r="TDY161" s="33"/>
      <c r="TDZ161" s="33"/>
      <c r="TEA161" s="33"/>
      <c r="TEB161" s="33"/>
      <c r="TEC161" s="33"/>
      <c r="TED161" s="33"/>
      <c r="TEE161" s="33"/>
      <c r="TEF161" s="33"/>
      <c r="TEG161" s="33"/>
      <c r="TEH161" s="33"/>
      <c r="TEI161" s="33"/>
      <c r="TEJ161" s="33"/>
      <c r="TEK161" s="33"/>
      <c r="TEL161" s="33"/>
      <c r="TEM161" s="33"/>
      <c r="TEN161" s="33"/>
      <c r="TEO161" s="33"/>
      <c r="TEP161" s="33"/>
      <c r="TEQ161" s="33"/>
      <c r="TER161" s="33"/>
      <c r="TES161" s="33"/>
      <c r="TET161" s="33"/>
      <c r="TEU161" s="33"/>
      <c r="TEV161" s="33"/>
      <c r="TEW161" s="33"/>
      <c r="TEX161" s="33"/>
      <c r="TEY161" s="33"/>
      <c r="TEZ161" s="33"/>
      <c r="TFA161" s="33"/>
      <c r="TFB161" s="33"/>
      <c r="TFC161" s="33"/>
      <c r="TFD161" s="33"/>
      <c r="TFE161" s="33"/>
      <c r="TFF161" s="33"/>
      <c r="TFG161" s="33"/>
      <c r="TFH161" s="33"/>
      <c r="TFI161" s="33"/>
      <c r="TFJ161" s="33"/>
      <c r="TFK161" s="33"/>
      <c r="TFL161" s="33"/>
      <c r="TFM161" s="33"/>
      <c r="TFN161" s="33"/>
      <c r="TFO161" s="33"/>
      <c r="TFP161" s="33"/>
      <c r="TFQ161" s="33"/>
      <c r="TFR161" s="33"/>
      <c r="TFS161" s="33"/>
      <c r="TFT161" s="33"/>
      <c r="TFU161" s="33"/>
      <c r="TFV161" s="33"/>
      <c r="TFW161" s="33"/>
      <c r="TFX161" s="33"/>
      <c r="TFY161" s="33"/>
      <c r="TFZ161" s="33"/>
      <c r="TGA161" s="33"/>
      <c r="TGB161" s="33"/>
      <c r="TGC161" s="33"/>
      <c r="TGD161" s="33"/>
      <c r="TGE161" s="33"/>
      <c r="TGF161" s="33"/>
      <c r="TGG161" s="33"/>
      <c r="TGH161" s="33"/>
      <c r="TGI161" s="33"/>
      <c r="TGJ161" s="33"/>
      <c r="TGK161" s="33"/>
      <c r="TGL161" s="33"/>
      <c r="TGM161" s="33"/>
      <c r="TGN161" s="33"/>
      <c r="TGO161" s="33"/>
      <c r="TGP161" s="33"/>
      <c r="TGQ161" s="33"/>
      <c r="TGR161" s="33"/>
      <c r="TGS161" s="33"/>
      <c r="TGT161" s="33"/>
      <c r="TGU161" s="33"/>
      <c r="TGV161" s="33"/>
      <c r="TGW161" s="33"/>
      <c r="TGX161" s="33"/>
      <c r="TGY161" s="33"/>
      <c r="TGZ161" s="33"/>
      <c r="THA161" s="33"/>
      <c r="THB161" s="33"/>
      <c r="THC161" s="33"/>
      <c r="THD161" s="33"/>
      <c r="THE161" s="33"/>
      <c r="THF161" s="33"/>
      <c r="THG161" s="33"/>
      <c r="THH161" s="33"/>
      <c r="THI161" s="33"/>
      <c r="THJ161" s="33"/>
      <c r="THK161" s="33"/>
      <c r="THL161" s="33"/>
      <c r="THM161" s="33"/>
      <c r="THN161" s="33"/>
      <c r="THO161" s="33"/>
      <c r="THP161" s="33"/>
      <c r="THQ161" s="33"/>
      <c r="THR161" s="33"/>
      <c r="THS161" s="33"/>
      <c r="THT161" s="33"/>
      <c r="THU161" s="33"/>
      <c r="THV161" s="33"/>
      <c r="THW161" s="33"/>
      <c r="THX161" s="33"/>
      <c r="THY161" s="33"/>
      <c r="THZ161" s="33"/>
      <c r="TIA161" s="33"/>
      <c r="TIB161" s="33"/>
      <c r="TIC161" s="33"/>
      <c r="TID161" s="33"/>
      <c r="TIE161" s="33"/>
      <c r="TIF161" s="33"/>
      <c r="TIG161" s="33"/>
      <c r="TIH161" s="33"/>
      <c r="TII161" s="33"/>
      <c r="TIJ161" s="33"/>
      <c r="TIK161" s="33"/>
      <c r="TIL161" s="33"/>
      <c r="TIM161" s="33"/>
      <c r="TIN161" s="33"/>
      <c r="TIO161" s="33"/>
      <c r="TIP161" s="33"/>
      <c r="TIQ161" s="33"/>
      <c r="TIR161" s="33"/>
      <c r="TIS161" s="33"/>
      <c r="TIT161" s="33"/>
      <c r="TIU161" s="33"/>
      <c r="TIV161" s="33"/>
      <c r="TIW161" s="33"/>
      <c r="TIX161" s="33"/>
      <c r="TIY161" s="33"/>
      <c r="TIZ161" s="33"/>
      <c r="TJA161" s="33"/>
      <c r="TJB161" s="33"/>
      <c r="TJC161" s="33"/>
      <c r="TJD161" s="33"/>
      <c r="TJE161" s="33"/>
      <c r="TJF161" s="33"/>
      <c r="TJG161" s="33"/>
      <c r="TJH161" s="33"/>
      <c r="TJI161" s="33"/>
      <c r="TJJ161" s="33"/>
      <c r="TJK161" s="33"/>
      <c r="TJL161" s="33"/>
      <c r="TJM161" s="33"/>
      <c r="TJN161" s="33"/>
      <c r="TJO161" s="33"/>
      <c r="TJP161" s="33"/>
      <c r="TJQ161" s="33"/>
      <c r="TJR161" s="33"/>
      <c r="TJS161" s="33"/>
      <c r="TJT161" s="33"/>
      <c r="TJU161" s="33"/>
      <c r="TJV161" s="33"/>
      <c r="TJW161" s="33"/>
      <c r="TJX161" s="33"/>
      <c r="TJY161" s="33"/>
      <c r="TJZ161" s="33"/>
      <c r="TKA161" s="33"/>
      <c r="TKB161" s="33"/>
      <c r="TKC161" s="33"/>
      <c r="TKD161" s="33"/>
      <c r="TKE161" s="33"/>
      <c r="TKF161" s="33"/>
      <c r="TKG161" s="33"/>
      <c r="TKH161" s="33"/>
      <c r="TKI161" s="33"/>
      <c r="TKJ161" s="33"/>
      <c r="TKK161" s="33"/>
      <c r="TKL161" s="33"/>
      <c r="TKM161" s="33"/>
      <c r="TKN161" s="33"/>
      <c r="TKO161" s="33"/>
      <c r="TKP161" s="33"/>
      <c r="TKQ161" s="33"/>
      <c r="TKR161" s="33"/>
      <c r="TKS161" s="33"/>
      <c r="TKT161" s="33"/>
      <c r="TKU161" s="33"/>
      <c r="TKV161" s="33"/>
      <c r="TKW161" s="33"/>
      <c r="TKX161" s="33"/>
      <c r="TKY161" s="33"/>
      <c r="TKZ161" s="33"/>
      <c r="TLA161" s="33"/>
      <c r="TLB161" s="33"/>
      <c r="TLC161" s="33"/>
      <c r="TLD161" s="33"/>
      <c r="TLE161" s="33"/>
      <c r="TLF161" s="33"/>
      <c r="TLG161" s="33"/>
      <c r="TLH161" s="33"/>
      <c r="TLI161" s="33"/>
      <c r="TLJ161" s="33"/>
      <c r="TLK161" s="33"/>
      <c r="TLL161" s="33"/>
      <c r="TLM161" s="33"/>
      <c r="TLN161" s="33"/>
      <c r="TLO161" s="33"/>
      <c r="TLP161" s="33"/>
      <c r="TLQ161" s="33"/>
      <c r="TLR161" s="33"/>
      <c r="TLS161" s="33"/>
      <c r="TLT161" s="33"/>
      <c r="TLU161" s="33"/>
      <c r="TLV161" s="33"/>
      <c r="TLW161" s="33"/>
      <c r="TLX161" s="33"/>
      <c r="TLY161" s="33"/>
      <c r="TLZ161" s="33"/>
      <c r="TMA161" s="33"/>
      <c r="TMB161" s="33"/>
      <c r="TMC161" s="33"/>
      <c r="TMD161" s="33"/>
      <c r="TME161" s="33"/>
      <c r="TMF161" s="33"/>
      <c r="TMG161" s="33"/>
      <c r="TMH161" s="33"/>
      <c r="TMI161" s="33"/>
      <c r="TMJ161" s="33"/>
      <c r="TMK161" s="33"/>
      <c r="TML161" s="33"/>
      <c r="TMM161" s="33"/>
      <c r="TMN161" s="33"/>
      <c r="TMO161" s="33"/>
      <c r="TMP161" s="33"/>
      <c r="TMQ161" s="33"/>
      <c r="TMR161" s="33"/>
      <c r="TMS161" s="33"/>
      <c r="TMT161" s="33"/>
      <c r="TMU161" s="33"/>
      <c r="TMV161" s="33"/>
      <c r="TMW161" s="33"/>
      <c r="TMX161" s="33"/>
      <c r="TMY161" s="33"/>
      <c r="TMZ161" s="33"/>
      <c r="TNA161" s="33"/>
      <c r="TNB161" s="33"/>
      <c r="TNC161" s="33"/>
      <c r="TND161" s="33"/>
      <c r="TNE161" s="33"/>
      <c r="TNF161" s="33"/>
      <c r="TNG161" s="33"/>
      <c r="TNH161" s="33"/>
      <c r="TNI161" s="33"/>
      <c r="TNJ161" s="33"/>
      <c r="TNK161" s="33"/>
      <c r="TNL161" s="33"/>
      <c r="TNM161" s="33"/>
      <c r="TNN161" s="33"/>
      <c r="TNO161" s="33"/>
      <c r="TNP161" s="33"/>
      <c r="TNQ161" s="33"/>
      <c r="TNR161" s="33"/>
      <c r="TNS161" s="33"/>
      <c r="TNT161" s="33"/>
      <c r="TNU161" s="33"/>
      <c r="TNV161" s="33"/>
      <c r="TNW161" s="33"/>
      <c r="TNX161" s="33"/>
      <c r="TNY161" s="33"/>
      <c r="TNZ161" s="33"/>
      <c r="TOA161" s="33"/>
      <c r="TOB161" s="33"/>
      <c r="TOC161" s="33"/>
      <c r="TOD161" s="33"/>
      <c r="TOE161" s="33"/>
      <c r="TOF161" s="33"/>
      <c r="TOG161" s="33"/>
      <c r="TOH161" s="33"/>
      <c r="TOI161" s="33"/>
      <c r="TOJ161" s="33"/>
      <c r="TOK161" s="33"/>
      <c r="TOL161" s="33"/>
      <c r="TOM161" s="33"/>
      <c r="TON161" s="33"/>
      <c r="TOO161" s="33"/>
      <c r="TOP161" s="33"/>
      <c r="TOQ161" s="33"/>
      <c r="TOR161" s="33"/>
      <c r="TOS161" s="33"/>
      <c r="TOT161" s="33"/>
      <c r="TOU161" s="33"/>
      <c r="TOV161" s="33"/>
      <c r="TOW161" s="33"/>
      <c r="TOX161" s="33"/>
      <c r="TOY161" s="33"/>
      <c r="TOZ161" s="33"/>
      <c r="TPA161" s="33"/>
      <c r="TPB161" s="33"/>
      <c r="TPC161" s="33"/>
      <c r="TPD161" s="33"/>
      <c r="TPE161" s="33"/>
      <c r="TPF161" s="33"/>
      <c r="TPG161" s="33"/>
      <c r="TPH161" s="33"/>
      <c r="TPI161" s="33"/>
      <c r="TPJ161" s="33"/>
      <c r="TPK161" s="33"/>
      <c r="TPL161" s="33"/>
      <c r="TPM161" s="33"/>
      <c r="TPN161" s="33"/>
      <c r="TPO161" s="33"/>
      <c r="TPP161" s="33"/>
      <c r="TPQ161" s="33"/>
      <c r="TPR161" s="33"/>
      <c r="TPS161" s="33"/>
      <c r="TPT161" s="33"/>
      <c r="TPU161" s="33"/>
      <c r="TPV161" s="33"/>
      <c r="TPW161" s="33"/>
      <c r="TPX161" s="33"/>
      <c r="TPY161" s="33"/>
      <c r="TPZ161" s="33"/>
      <c r="TQA161" s="33"/>
      <c r="TQB161" s="33"/>
      <c r="TQC161" s="33"/>
      <c r="TQD161" s="33"/>
      <c r="TQE161" s="33"/>
      <c r="TQF161" s="33"/>
      <c r="TQG161" s="33"/>
      <c r="TQH161" s="33"/>
      <c r="TQI161" s="33"/>
      <c r="TQJ161" s="33"/>
      <c r="TQK161" s="33"/>
      <c r="TQL161" s="33"/>
      <c r="TQM161" s="33"/>
      <c r="TQN161" s="33"/>
      <c r="TQO161" s="33"/>
      <c r="TQP161" s="33"/>
      <c r="TQQ161" s="33"/>
      <c r="TQR161" s="33"/>
      <c r="TQS161" s="33"/>
      <c r="TQT161" s="33"/>
      <c r="TQU161" s="33"/>
      <c r="TQV161" s="33"/>
      <c r="TQW161" s="33"/>
      <c r="TQX161" s="33"/>
      <c r="TQY161" s="33"/>
      <c r="TQZ161" s="33"/>
      <c r="TRA161" s="33"/>
      <c r="TRB161" s="33"/>
      <c r="TRC161" s="33"/>
      <c r="TRD161" s="33"/>
      <c r="TRE161" s="33"/>
      <c r="TRF161" s="33"/>
      <c r="TRG161" s="33"/>
      <c r="TRH161" s="33"/>
      <c r="TRI161" s="33"/>
      <c r="TRJ161" s="33"/>
      <c r="TRK161" s="33"/>
      <c r="TRL161" s="33"/>
      <c r="TRM161" s="33"/>
      <c r="TRN161" s="33"/>
      <c r="TRO161" s="33"/>
      <c r="TRP161" s="33"/>
      <c r="TRQ161" s="33"/>
      <c r="TRR161" s="33"/>
      <c r="TRS161" s="33"/>
      <c r="TRT161" s="33"/>
      <c r="TRU161" s="33"/>
      <c r="TRV161" s="33"/>
      <c r="TRW161" s="33"/>
      <c r="TRX161" s="33"/>
      <c r="TRY161" s="33"/>
      <c r="TRZ161" s="33"/>
      <c r="TSA161" s="33"/>
      <c r="TSB161" s="33"/>
      <c r="TSC161" s="33"/>
      <c r="TSD161" s="33"/>
      <c r="TSE161" s="33"/>
      <c r="TSF161" s="33"/>
      <c r="TSG161" s="33"/>
      <c r="TSH161" s="33"/>
      <c r="TSI161" s="33"/>
      <c r="TSJ161" s="33"/>
      <c r="TSK161" s="33"/>
      <c r="TSL161" s="33"/>
      <c r="TSM161" s="33"/>
      <c r="TSN161" s="33"/>
      <c r="TSO161" s="33"/>
      <c r="TSP161" s="33"/>
      <c r="TSQ161" s="33"/>
      <c r="TSR161" s="33"/>
      <c r="TSS161" s="33"/>
      <c r="TST161" s="33"/>
      <c r="TSU161" s="33"/>
      <c r="TSV161" s="33"/>
      <c r="TSW161" s="33"/>
      <c r="TSX161" s="33"/>
      <c r="TSY161" s="33"/>
      <c r="TSZ161" s="33"/>
      <c r="TTA161" s="33"/>
      <c r="TTB161" s="33"/>
      <c r="TTC161" s="33"/>
      <c r="TTD161" s="33"/>
      <c r="TTE161" s="33"/>
      <c r="TTF161" s="33"/>
      <c r="TTG161" s="33"/>
      <c r="TTH161" s="33"/>
      <c r="TTI161" s="33"/>
      <c r="TTJ161" s="33"/>
      <c r="TTK161" s="33"/>
      <c r="TTL161" s="33"/>
      <c r="TTM161" s="33"/>
      <c r="TTN161" s="33"/>
      <c r="TTO161" s="33"/>
      <c r="TTP161" s="33"/>
      <c r="TTQ161" s="33"/>
      <c r="TTR161" s="33"/>
      <c r="TTS161" s="33"/>
      <c r="TTT161" s="33"/>
      <c r="TTU161" s="33"/>
      <c r="TTV161" s="33"/>
      <c r="TTW161" s="33"/>
      <c r="TTX161" s="33"/>
      <c r="TTY161" s="33"/>
      <c r="TTZ161" s="33"/>
      <c r="TUA161" s="33"/>
      <c r="TUB161" s="33"/>
      <c r="TUC161" s="33"/>
      <c r="TUD161" s="33"/>
      <c r="TUE161" s="33"/>
      <c r="TUF161" s="33"/>
      <c r="TUG161" s="33"/>
      <c r="TUH161" s="33"/>
      <c r="TUI161" s="33"/>
      <c r="TUJ161" s="33"/>
      <c r="TUK161" s="33"/>
      <c r="TUL161" s="33"/>
      <c r="TUM161" s="33"/>
      <c r="TUN161" s="33"/>
      <c r="TUO161" s="33"/>
      <c r="TUP161" s="33"/>
      <c r="TUQ161" s="33"/>
      <c r="TUR161" s="33"/>
      <c r="TUS161" s="33"/>
      <c r="TUT161" s="33"/>
      <c r="TUU161" s="33"/>
      <c r="TUV161" s="33"/>
      <c r="TUW161" s="33"/>
      <c r="TUX161" s="33"/>
      <c r="TUY161" s="33"/>
      <c r="TUZ161" s="33"/>
      <c r="TVA161" s="33"/>
      <c r="TVB161" s="33"/>
      <c r="TVC161" s="33"/>
      <c r="TVD161" s="33"/>
      <c r="TVE161" s="33"/>
      <c r="TVF161" s="33"/>
      <c r="TVG161" s="33"/>
      <c r="TVH161" s="33"/>
      <c r="TVI161" s="33"/>
      <c r="TVJ161" s="33"/>
      <c r="TVK161" s="33"/>
      <c r="TVL161" s="33"/>
      <c r="TVM161" s="33"/>
      <c r="TVN161" s="33"/>
      <c r="TVO161" s="33"/>
      <c r="TVP161" s="33"/>
      <c r="TVQ161" s="33"/>
      <c r="TVR161" s="33"/>
      <c r="TVS161" s="33"/>
      <c r="TVT161" s="33"/>
      <c r="TVU161" s="33"/>
      <c r="TVV161" s="33"/>
      <c r="TVW161" s="33"/>
      <c r="TVX161" s="33"/>
      <c r="TVY161" s="33"/>
      <c r="TVZ161" s="33"/>
      <c r="TWA161" s="33"/>
      <c r="TWB161" s="33"/>
      <c r="TWC161" s="33"/>
      <c r="TWD161" s="33"/>
      <c r="TWE161" s="33"/>
      <c r="TWF161" s="33"/>
      <c r="TWG161" s="33"/>
      <c r="TWH161" s="33"/>
      <c r="TWI161" s="33"/>
      <c r="TWJ161" s="33"/>
      <c r="TWK161" s="33"/>
      <c r="TWL161" s="33"/>
      <c r="TWM161" s="33"/>
      <c r="TWN161" s="33"/>
      <c r="TWO161" s="33"/>
      <c r="TWP161" s="33"/>
      <c r="TWQ161" s="33"/>
      <c r="TWR161" s="33"/>
      <c r="TWS161" s="33"/>
      <c r="TWT161" s="33"/>
      <c r="TWU161" s="33"/>
      <c r="TWV161" s="33"/>
      <c r="TWW161" s="33"/>
      <c r="TWX161" s="33"/>
      <c r="TWY161" s="33"/>
      <c r="TWZ161" s="33"/>
      <c r="TXA161" s="33"/>
      <c r="TXB161" s="33"/>
      <c r="TXC161" s="33"/>
      <c r="TXD161" s="33"/>
      <c r="TXE161" s="33"/>
      <c r="TXF161" s="33"/>
      <c r="TXG161" s="33"/>
      <c r="TXH161" s="33"/>
      <c r="TXI161" s="33"/>
      <c r="TXJ161" s="33"/>
      <c r="TXK161" s="33"/>
      <c r="TXL161" s="33"/>
      <c r="TXM161" s="33"/>
      <c r="TXN161" s="33"/>
      <c r="TXO161" s="33"/>
      <c r="TXP161" s="33"/>
      <c r="TXQ161" s="33"/>
      <c r="TXR161" s="33"/>
      <c r="TXS161" s="33"/>
      <c r="TXT161" s="33"/>
      <c r="TXU161" s="33"/>
      <c r="TXV161" s="33"/>
      <c r="TXW161" s="33"/>
      <c r="TXX161" s="33"/>
      <c r="TXY161" s="33"/>
      <c r="TXZ161" s="33"/>
      <c r="TYA161" s="33"/>
      <c r="TYB161" s="33"/>
      <c r="TYC161" s="33"/>
      <c r="TYD161" s="33"/>
      <c r="TYE161" s="33"/>
      <c r="TYF161" s="33"/>
      <c r="TYG161" s="33"/>
      <c r="TYH161" s="33"/>
      <c r="TYI161" s="33"/>
      <c r="TYJ161" s="33"/>
      <c r="TYK161" s="33"/>
      <c r="TYL161" s="33"/>
      <c r="TYM161" s="33"/>
      <c r="TYN161" s="33"/>
      <c r="TYO161" s="33"/>
      <c r="TYP161" s="33"/>
      <c r="TYQ161" s="33"/>
      <c r="TYR161" s="33"/>
      <c r="TYS161" s="33"/>
      <c r="TYT161" s="33"/>
      <c r="TYU161" s="33"/>
      <c r="TYV161" s="33"/>
      <c r="TYW161" s="33"/>
      <c r="TYX161" s="33"/>
      <c r="TYY161" s="33"/>
      <c r="TYZ161" s="33"/>
      <c r="TZA161" s="33"/>
      <c r="TZB161" s="33"/>
      <c r="TZC161" s="33"/>
      <c r="TZD161" s="33"/>
      <c r="TZE161" s="33"/>
      <c r="TZF161" s="33"/>
      <c r="TZG161" s="33"/>
      <c r="TZH161" s="33"/>
      <c r="TZI161" s="33"/>
      <c r="TZJ161" s="33"/>
      <c r="TZK161" s="33"/>
      <c r="TZL161" s="33"/>
      <c r="TZM161" s="33"/>
      <c r="TZN161" s="33"/>
      <c r="TZO161" s="33"/>
      <c r="TZP161" s="33"/>
      <c r="TZQ161" s="33"/>
      <c r="TZR161" s="33"/>
      <c r="TZS161" s="33"/>
      <c r="TZT161" s="33"/>
      <c r="TZU161" s="33"/>
      <c r="TZV161" s="33"/>
      <c r="TZW161" s="33"/>
      <c r="TZX161" s="33"/>
      <c r="TZY161" s="33"/>
      <c r="TZZ161" s="33"/>
      <c r="UAA161" s="33"/>
      <c r="UAB161" s="33"/>
      <c r="UAC161" s="33"/>
      <c r="UAD161" s="33"/>
      <c r="UAE161" s="33"/>
      <c r="UAF161" s="33"/>
      <c r="UAG161" s="33"/>
      <c r="UAH161" s="33"/>
      <c r="UAI161" s="33"/>
      <c r="UAJ161" s="33"/>
      <c r="UAK161" s="33"/>
      <c r="UAL161" s="33"/>
      <c r="UAM161" s="33"/>
      <c r="UAN161" s="33"/>
      <c r="UAO161" s="33"/>
      <c r="UAP161" s="33"/>
      <c r="UAQ161" s="33"/>
      <c r="UAR161" s="33"/>
      <c r="UAS161" s="33"/>
      <c r="UAT161" s="33"/>
      <c r="UAU161" s="33"/>
      <c r="UAV161" s="33"/>
      <c r="UAW161" s="33"/>
      <c r="UAX161" s="33"/>
      <c r="UAY161" s="33"/>
      <c r="UAZ161" s="33"/>
      <c r="UBA161" s="33"/>
      <c r="UBB161" s="33"/>
      <c r="UBC161" s="33"/>
      <c r="UBD161" s="33"/>
      <c r="UBE161" s="33"/>
      <c r="UBF161" s="33"/>
      <c r="UBG161" s="33"/>
      <c r="UBH161" s="33"/>
      <c r="UBI161" s="33"/>
      <c r="UBJ161" s="33"/>
      <c r="UBK161" s="33"/>
      <c r="UBL161" s="33"/>
      <c r="UBM161" s="33"/>
      <c r="UBN161" s="33"/>
      <c r="UBO161" s="33"/>
      <c r="UBP161" s="33"/>
      <c r="UBQ161" s="33"/>
      <c r="UBR161" s="33"/>
      <c r="UBS161" s="33"/>
      <c r="UBT161" s="33"/>
      <c r="UBU161" s="33"/>
      <c r="UBV161" s="33"/>
      <c r="UBW161" s="33"/>
      <c r="UBX161" s="33"/>
      <c r="UBY161" s="33"/>
      <c r="UBZ161" s="33"/>
      <c r="UCA161" s="33"/>
      <c r="UCB161" s="33"/>
      <c r="UCC161" s="33"/>
      <c r="UCD161" s="33"/>
      <c r="UCE161" s="33"/>
      <c r="UCF161" s="33"/>
      <c r="UCG161" s="33"/>
      <c r="UCH161" s="33"/>
      <c r="UCI161" s="33"/>
      <c r="UCJ161" s="33"/>
      <c r="UCK161" s="33"/>
      <c r="UCL161" s="33"/>
      <c r="UCM161" s="33"/>
      <c r="UCN161" s="33"/>
      <c r="UCO161" s="33"/>
      <c r="UCP161" s="33"/>
      <c r="UCQ161" s="33"/>
      <c r="UCR161" s="33"/>
      <c r="UCS161" s="33"/>
      <c r="UCT161" s="33"/>
      <c r="UCU161" s="33"/>
      <c r="UCV161" s="33"/>
      <c r="UCW161" s="33"/>
      <c r="UCX161" s="33"/>
      <c r="UCY161" s="33"/>
      <c r="UCZ161" s="33"/>
      <c r="UDA161" s="33"/>
      <c r="UDB161" s="33"/>
      <c r="UDC161" s="33"/>
      <c r="UDD161" s="33"/>
      <c r="UDE161" s="33"/>
      <c r="UDF161" s="33"/>
      <c r="UDG161" s="33"/>
      <c r="UDH161" s="33"/>
      <c r="UDI161" s="33"/>
      <c r="UDJ161" s="33"/>
      <c r="UDK161" s="33"/>
      <c r="UDL161" s="33"/>
      <c r="UDM161" s="33"/>
      <c r="UDN161" s="33"/>
      <c r="UDO161" s="33"/>
      <c r="UDP161" s="33"/>
      <c r="UDQ161" s="33"/>
      <c r="UDR161" s="33"/>
      <c r="UDS161" s="33"/>
      <c r="UDT161" s="33"/>
      <c r="UDU161" s="33"/>
      <c r="UDV161" s="33"/>
      <c r="UDW161" s="33"/>
      <c r="UDX161" s="33"/>
      <c r="UDY161" s="33"/>
      <c r="UDZ161" s="33"/>
      <c r="UEA161" s="33"/>
      <c r="UEB161" s="33"/>
      <c r="UEC161" s="33"/>
      <c r="UED161" s="33"/>
      <c r="UEE161" s="33"/>
      <c r="UEF161" s="33"/>
      <c r="UEG161" s="33"/>
      <c r="UEH161" s="33"/>
      <c r="UEI161" s="33"/>
      <c r="UEJ161" s="33"/>
      <c r="UEK161" s="33"/>
      <c r="UEL161" s="33"/>
      <c r="UEM161" s="33"/>
      <c r="UEN161" s="33"/>
      <c r="UEO161" s="33"/>
      <c r="UEP161" s="33"/>
      <c r="UEQ161" s="33"/>
      <c r="UER161" s="33"/>
      <c r="UES161" s="33"/>
      <c r="UET161" s="33"/>
      <c r="UEU161" s="33"/>
      <c r="UEV161" s="33"/>
      <c r="UEW161" s="33"/>
      <c r="UEX161" s="33"/>
      <c r="UEY161" s="33"/>
      <c r="UEZ161" s="33"/>
      <c r="UFA161" s="33"/>
      <c r="UFB161" s="33"/>
      <c r="UFC161" s="33"/>
      <c r="UFD161" s="33"/>
      <c r="UFE161" s="33"/>
      <c r="UFF161" s="33"/>
      <c r="UFG161" s="33"/>
      <c r="UFH161" s="33"/>
      <c r="UFI161" s="33"/>
      <c r="UFJ161" s="33"/>
      <c r="UFK161" s="33"/>
      <c r="UFL161" s="33"/>
      <c r="UFM161" s="33"/>
      <c r="UFN161" s="33"/>
      <c r="UFO161" s="33"/>
      <c r="UFP161" s="33"/>
      <c r="UFQ161" s="33"/>
      <c r="UFR161" s="33"/>
      <c r="UFS161" s="33"/>
      <c r="UFT161" s="33"/>
      <c r="UFU161" s="33"/>
      <c r="UFV161" s="33"/>
      <c r="UFW161" s="33"/>
      <c r="UFX161" s="33"/>
      <c r="UFY161" s="33"/>
      <c r="UFZ161" s="33"/>
      <c r="UGA161" s="33"/>
      <c r="UGB161" s="33"/>
      <c r="UGC161" s="33"/>
      <c r="UGD161" s="33"/>
      <c r="UGE161" s="33"/>
      <c r="UGF161" s="33"/>
      <c r="UGG161" s="33"/>
      <c r="UGH161" s="33"/>
      <c r="UGI161" s="33"/>
      <c r="UGJ161" s="33"/>
      <c r="UGK161" s="33"/>
      <c r="UGL161" s="33"/>
      <c r="UGM161" s="33"/>
      <c r="UGN161" s="33"/>
      <c r="UGO161" s="33"/>
      <c r="UGP161" s="33"/>
      <c r="UGQ161" s="33"/>
      <c r="UGR161" s="33"/>
      <c r="UGS161" s="33"/>
      <c r="UGT161" s="33"/>
      <c r="UGU161" s="33"/>
      <c r="UGV161" s="33"/>
      <c r="UGW161" s="33"/>
      <c r="UGX161" s="33"/>
      <c r="UGY161" s="33"/>
      <c r="UGZ161" s="33"/>
      <c r="UHA161" s="33"/>
      <c r="UHB161" s="33"/>
      <c r="UHC161" s="33"/>
      <c r="UHD161" s="33"/>
      <c r="UHE161" s="33"/>
      <c r="UHF161" s="33"/>
      <c r="UHG161" s="33"/>
      <c r="UHH161" s="33"/>
      <c r="UHI161" s="33"/>
      <c r="UHJ161" s="33"/>
      <c r="UHK161" s="33"/>
      <c r="UHL161" s="33"/>
      <c r="UHM161" s="33"/>
      <c r="UHN161" s="33"/>
      <c r="UHO161" s="33"/>
      <c r="UHP161" s="33"/>
      <c r="UHQ161" s="33"/>
      <c r="UHR161" s="33"/>
      <c r="UHS161" s="33"/>
      <c r="UHT161" s="33"/>
      <c r="UHU161" s="33"/>
      <c r="UHV161" s="33"/>
      <c r="UHW161" s="33"/>
      <c r="UHX161" s="33"/>
      <c r="UHY161" s="33"/>
      <c r="UHZ161" s="33"/>
      <c r="UIA161" s="33"/>
      <c r="UIB161" s="33"/>
      <c r="UIC161" s="33"/>
      <c r="UID161" s="33"/>
      <c r="UIE161" s="33"/>
      <c r="UIF161" s="33"/>
      <c r="UIG161" s="33"/>
      <c r="UIH161" s="33"/>
      <c r="UII161" s="33"/>
      <c r="UIJ161" s="33"/>
      <c r="UIK161" s="33"/>
      <c r="UIL161" s="33"/>
      <c r="UIM161" s="33"/>
      <c r="UIN161" s="33"/>
      <c r="UIO161" s="33"/>
      <c r="UIP161" s="33"/>
      <c r="UIQ161" s="33"/>
      <c r="UIR161" s="33"/>
      <c r="UIS161" s="33"/>
      <c r="UIT161" s="33"/>
      <c r="UIU161" s="33"/>
      <c r="UIV161" s="33"/>
      <c r="UIW161" s="33"/>
      <c r="UIX161" s="33"/>
      <c r="UIY161" s="33"/>
      <c r="UIZ161" s="33"/>
      <c r="UJA161" s="33"/>
      <c r="UJB161" s="33"/>
      <c r="UJC161" s="33"/>
      <c r="UJD161" s="33"/>
      <c r="UJE161" s="33"/>
      <c r="UJF161" s="33"/>
      <c r="UJG161" s="33"/>
      <c r="UJH161" s="33"/>
      <c r="UJI161" s="33"/>
      <c r="UJJ161" s="33"/>
      <c r="UJK161" s="33"/>
      <c r="UJL161" s="33"/>
      <c r="UJM161" s="33"/>
      <c r="UJN161" s="33"/>
      <c r="UJO161" s="33"/>
      <c r="UJP161" s="33"/>
      <c r="UJQ161" s="33"/>
      <c r="UJR161" s="33"/>
      <c r="UJS161" s="33"/>
      <c r="UJT161" s="33"/>
      <c r="UJU161" s="33"/>
      <c r="UJV161" s="33"/>
      <c r="UJW161" s="33"/>
      <c r="UJX161" s="33"/>
      <c r="UJY161" s="33"/>
      <c r="UJZ161" s="33"/>
      <c r="UKA161" s="33"/>
      <c r="UKB161" s="33"/>
      <c r="UKC161" s="33"/>
      <c r="UKD161" s="33"/>
      <c r="UKE161" s="33"/>
      <c r="UKF161" s="33"/>
      <c r="UKG161" s="33"/>
      <c r="UKH161" s="33"/>
      <c r="UKI161" s="33"/>
      <c r="UKJ161" s="33"/>
      <c r="UKK161" s="33"/>
      <c r="UKL161" s="33"/>
      <c r="UKM161" s="33"/>
      <c r="UKN161" s="33"/>
      <c r="UKO161" s="33"/>
      <c r="UKP161" s="33"/>
      <c r="UKQ161" s="33"/>
      <c r="UKR161" s="33"/>
      <c r="UKS161" s="33"/>
      <c r="UKT161" s="33"/>
      <c r="UKU161" s="33"/>
      <c r="UKV161" s="33"/>
      <c r="UKW161" s="33"/>
      <c r="UKX161" s="33"/>
      <c r="UKY161" s="33"/>
      <c r="UKZ161" s="33"/>
      <c r="ULA161" s="33"/>
      <c r="ULB161" s="33"/>
      <c r="ULC161" s="33"/>
      <c r="ULD161" s="33"/>
      <c r="ULE161" s="33"/>
      <c r="ULF161" s="33"/>
      <c r="ULG161" s="33"/>
      <c r="ULH161" s="33"/>
      <c r="ULI161" s="33"/>
      <c r="ULJ161" s="33"/>
      <c r="ULK161" s="33"/>
      <c r="ULL161" s="33"/>
      <c r="ULM161" s="33"/>
      <c r="ULN161" s="33"/>
      <c r="ULO161" s="33"/>
      <c r="ULP161" s="33"/>
      <c r="ULQ161" s="33"/>
      <c r="ULR161" s="33"/>
      <c r="ULS161" s="33"/>
      <c r="ULT161" s="33"/>
      <c r="ULU161" s="33"/>
      <c r="ULV161" s="33"/>
      <c r="ULW161" s="33"/>
      <c r="ULX161" s="33"/>
      <c r="ULY161" s="33"/>
      <c r="ULZ161" s="33"/>
      <c r="UMA161" s="33"/>
      <c r="UMB161" s="33"/>
      <c r="UMC161" s="33"/>
      <c r="UMD161" s="33"/>
      <c r="UME161" s="33"/>
      <c r="UMF161" s="33"/>
      <c r="UMG161" s="33"/>
      <c r="UMH161" s="33"/>
      <c r="UMI161" s="33"/>
      <c r="UMJ161" s="33"/>
      <c r="UMK161" s="33"/>
      <c r="UML161" s="33"/>
      <c r="UMM161" s="33"/>
      <c r="UMN161" s="33"/>
      <c r="UMO161" s="33"/>
      <c r="UMP161" s="33"/>
      <c r="UMQ161" s="33"/>
      <c r="UMR161" s="33"/>
      <c r="UMS161" s="33"/>
      <c r="UMT161" s="33"/>
      <c r="UMU161" s="33"/>
      <c r="UMV161" s="33"/>
      <c r="UMW161" s="33"/>
      <c r="UMX161" s="33"/>
      <c r="UMY161" s="33"/>
      <c r="UMZ161" s="33"/>
      <c r="UNA161" s="33"/>
      <c r="UNB161" s="33"/>
      <c r="UNC161" s="33"/>
      <c r="UND161" s="33"/>
      <c r="UNE161" s="33"/>
      <c r="UNF161" s="33"/>
      <c r="UNG161" s="33"/>
      <c r="UNH161" s="33"/>
      <c r="UNI161" s="33"/>
      <c r="UNJ161" s="33"/>
      <c r="UNK161" s="33"/>
      <c r="UNL161" s="33"/>
      <c r="UNM161" s="33"/>
      <c r="UNN161" s="33"/>
      <c r="UNO161" s="33"/>
      <c r="UNP161" s="33"/>
      <c r="UNQ161" s="33"/>
      <c r="UNR161" s="33"/>
      <c r="UNS161" s="33"/>
      <c r="UNT161" s="33"/>
      <c r="UNU161" s="33"/>
      <c r="UNV161" s="33"/>
      <c r="UNW161" s="33"/>
      <c r="UNX161" s="33"/>
      <c r="UNY161" s="33"/>
      <c r="UNZ161" s="33"/>
      <c r="UOA161" s="33"/>
      <c r="UOB161" s="33"/>
      <c r="UOC161" s="33"/>
      <c r="UOD161" s="33"/>
      <c r="UOE161" s="33"/>
      <c r="UOF161" s="33"/>
      <c r="UOG161" s="33"/>
      <c r="UOH161" s="33"/>
      <c r="UOI161" s="33"/>
      <c r="UOJ161" s="33"/>
      <c r="UOK161" s="33"/>
      <c r="UOL161" s="33"/>
      <c r="UOM161" s="33"/>
      <c r="UON161" s="33"/>
      <c r="UOO161" s="33"/>
      <c r="UOP161" s="33"/>
      <c r="UOQ161" s="33"/>
      <c r="UOR161" s="33"/>
      <c r="UOS161" s="33"/>
      <c r="UOT161" s="33"/>
      <c r="UOU161" s="33"/>
      <c r="UOV161" s="33"/>
      <c r="UOW161" s="33"/>
      <c r="UOX161" s="33"/>
      <c r="UOY161" s="33"/>
      <c r="UOZ161" s="33"/>
      <c r="UPA161" s="33"/>
      <c r="UPB161" s="33"/>
      <c r="UPC161" s="33"/>
      <c r="UPD161" s="33"/>
      <c r="UPE161" s="33"/>
      <c r="UPF161" s="33"/>
      <c r="UPG161" s="33"/>
      <c r="UPH161" s="33"/>
      <c r="UPI161" s="33"/>
      <c r="UPJ161" s="33"/>
      <c r="UPK161" s="33"/>
      <c r="UPL161" s="33"/>
      <c r="UPM161" s="33"/>
      <c r="UPN161" s="33"/>
      <c r="UPO161" s="33"/>
      <c r="UPP161" s="33"/>
      <c r="UPQ161" s="33"/>
      <c r="UPR161" s="33"/>
      <c r="UPS161" s="33"/>
      <c r="UPT161" s="33"/>
      <c r="UPU161" s="33"/>
      <c r="UPV161" s="33"/>
      <c r="UPW161" s="33"/>
      <c r="UPX161" s="33"/>
      <c r="UPY161" s="33"/>
      <c r="UPZ161" s="33"/>
      <c r="UQA161" s="33"/>
      <c r="UQB161" s="33"/>
      <c r="UQC161" s="33"/>
      <c r="UQD161" s="33"/>
      <c r="UQE161" s="33"/>
      <c r="UQF161" s="33"/>
      <c r="UQG161" s="33"/>
      <c r="UQH161" s="33"/>
      <c r="UQI161" s="33"/>
      <c r="UQJ161" s="33"/>
      <c r="UQK161" s="33"/>
      <c r="UQL161" s="33"/>
      <c r="UQM161" s="33"/>
      <c r="UQN161" s="33"/>
      <c r="UQO161" s="33"/>
      <c r="UQP161" s="33"/>
      <c r="UQQ161" s="33"/>
      <c r="UQR161" s="33"/>
      <c r="UQS161" s="33"/>
      <c r="UQT161" s="33"/>
      <c r="UQU161" s="33"/>
      <c r="UQV161" s="33"/>
      <c r="UQW161" s="33"/>
      <c r="UQX161" s="33"/>
      <c r="UQY161" s="33"/>
      <c r="UQZ161" s="33"/>
      <c r="URA161" s="33"/>
      <c r="URB161" s="33"/>
      <c r="URC161" s="33"/>
      <c r="URD161" s="33"/>
      <c r="URE161" s="33"/>
      <c r="URF161" s="33"/>
      <c r="URG161" s="33"/>
      <c r="URH161" s="33"/>
      <c r="URI161" s="33"/>
      <c r="URJ161" s="33"/>
      <c r="URK161" s="33"/>
      <c r="URL161" s="33"/>
      <c r="URM161" s="33"/>
      <c r="URN161" s="33"/>
      <c r="URO161" s="33"/>
      <c r="URP161" s="33"/>
      <c r="URQ161" s="33"/>
      <c r="URR161" s="33"/>
      <c r="URS161" s="33"/>
      <c r="URT161" s="33"/>
      <c r="URU161" s="33"/>
      <c r="URV161" s="33"/>
      <c r="URW161" s="33"/>
      <c r="URX161" s="33"/>
      <c r="URY161" s="33"/>
      <c r="URZ161" s="33"/>
      <c r="USA161" s="33"/>
      <c r="USB161" s="33"/>
      <c r="USC161" s="33"/>
      <c r="USD161" s="33"/>
      <c r="USE161" s="33"/>
      <c r="USF161" s="33"/>
      <c r="USG161" s="33"/>
      <c r="USH161" s="33"/>
      <c r="USI161" s="33"/>
      <c r="USJ161" s="33"/>
      <c r="USK161" s="33"/>
      <c r="USL161" s="33"/>
      <c r="USM161" s="33"/>
      <c r="USN161" s="33"/>
      <c r="USO161" s="33"/>
      <c r="USP161" s="33"/>
      <c r="USQ161" s="33"/>
      <c r="USR161" s="33"/>
      <c r="USS161" s="33"/>
      <c r="UST161" s="33"/>
      <c r="USU161" s="33"/>
      <c r="USV161" s="33"/>
      <c r="USW161" s="33"/>
      <c r="USX161" s="33"/>
      <c r="USY161" s="33"/>
      <c r="USZ161" s="33"/>
      <c r="UTA161" s="33"/>
      <c r="UTB161" s="33"/>
      <c r="UTC161" s="33"/>
      <c r="UTD161" s="33"/>
      <c r="UTE161" s="33"/>
      <c r="UTF161" s="33"/>
      <c r="UTG161" s="33"/>
      <c r="UTH161" s="33"/>
      <c r="UTI161" s="33"/>
      <c r="UTJ161" s="33"/>
      <c r="UTK161" s="33"/>
      <c r="UTL161" s="33"/>
      <c r="UTM161" s="33"/>
      <c r="UTN161" s="33"/>
      <c r="UTO161" s="33"/>
      <c r="UTP161" s="33"/>
      <c r="UTQ161" s="33"/>
      <c r="UTR161" s="33"/>
      <c r="UTS161" s="33"/>
      <c r="UTT161" s="33"/>
      <c r="UTU161" s="33"/>
      <c r="UTV161" s="33"/>
      <c r="UTW161" s="33"/>
      <c r="UTX161" s="33"/>
      <c r="UTY161" s="33"/>
      <c r="UTZ161" s="33"/>
      <c r="UUA161" s="33"/>
      <c r="UUB161" s="33"/>
      <c r="UUC161" s="33"/>
      <c r="UUD161" s="33"/>
      <c r="UUE161" s="33"/>
      <c r="UUF161" s="33"/>
      <c r="UUG161" s="33"/>
      <c r="UUH161" s="33"/>
      <c r="UUI161" s="33"/>
      <c r="UUJ161" s="33"/>
      <c r="UUK161" s="33"/>
      <c r="UUL161" s="33"/>
      <c r="UUM161" s="33"/>
      <c r="UUN161" s="33"/>
      <c r="UUO161" s="33"/>
      <c r="UUP161" s="33"/>
      <c r="UUQ161" s="33"/>
      <c r="UUR161" s="33"/>
      <c r="UUS161" s="33"/>
      <c r="UUT161" s="33"/>
      <c r="UUU161" s="33"/>
      <c r="UUV161" s="33"/>
      <c r="UUW161" s="33"/>
      <c r="UUX161" s="33"/>
      <c r="UUY161" s="33"/>
      <c r="UUZ161" s="33"/>
      <c r="UVA161" s="33"/>
      <c r="UVB161" s="33"/>
      <c r="UVC161" s="33"/>
      <c r="UVD161" s="33"/>
      <c r="UVE161" s="33"/>
      <c r="UVF161" s="33"/>
      <c r="UVG161" s="33"/>
      <c r="UVH161" s="33"/>
      <c r="UVI161" s="33"/>
      <c r="UVJ161" s="33"/>
      <c r="UVK161" s="33"/>
      <c r="UVL161" s="33"/>
      <c r="UVM161" s="33"/>
      <c r="UVN161" s="33"/>
      <c r="UVO161" s="33"/>
      <c r="UVP161" s="33"/>
      <c r="UVQ161" s="33"/>
      <c r="UVR161" s="33"/>
      <c r="UVS161" s="33"/>
      <c r="UVT161" s="33"/>
      <c r="UVU161" s="33"/>
      <c r="UVV161" s="33"/>
      <c r="UVW161" s="33"/>
      <c r="UVX161" s="33"/>
      <c r="UVY161" s="33"/>
      <c r="UVZ161" s="33"/>
      <c r="UWA161" s="33"/>
      <c r="UWB161" s="33"/>
      <c r="UWC161" s="33"/>
      <c r="UWD161" s="33"/>
      <c r="UWE161" s="33"/>
      <c r="UWF161" s="33"/>
      <c r="UWG161" s="33"/>
      <c r="UWH161" s="33"/>
      <c r="UWI161" s="33"/>
      <c r="UWJ161" s="33"/>
      <c r="UWK161" s="33"/>
      <c r="UWL161" s="33"/>
      <c r="UWM161" s="33"/>
      <c r="UWN161" s="33"/>
      <c r="UWO161" s="33"/>
      <c r="UWP161" s="33"/>
      <c r="UWQ161" s="33"/>
      <c r="UWR161" s="33"/>
      <c r="UWS161" s="33"/>
      <c r="UWT161" s="33"/>
      <c r="UWU161" s="33"/>
      <c r="UWV161" s="33"/>
      <c r="UWW161" s="33"/>
      <c r="UWX161" s="33"/>
      <c r="UWY161" s="33"/>
      <c r="UWZ161" s="33"/>
      <c r="UXA161" s="33"/>
      <c r="UXB161" s="33"/>
      <c r="UXC161" s="33"/>
      <c r="UXD161" s="33"/>
      <c r="UXE161" s="33"/>
      <c r="UXF161" s="33"/>
      <c r="UXG161" s="33"/>
      <c r="UXH161" s="33"/>
      <c r="UXI161" s="33"/>
      <c r="UXJ161" s="33"/>
      <c r="UXK161" s="33"/>
      <c r="UXL161" s="33"/>
      <c r="UXM161" s="33"/>
      <c r="UXN161" s="33"/>
      <c r="UXO161" s="33"/>
      <c r="UXP161" s="33"/>
      <c r="UXQ161" s="33"/>
      <c r="UXR161" s="33"/>
      <c r="UXS161" s="33"/>
      <c r="UXT161" s="33"/>
      <c r="UXU161" s="33"/>
      <c r="UXV161" s="33"/>
      <c r="UXW161" s="33"/>
      <c r="UXX161" s="33"/>
      <c r="UXY161" s="33"/>
      <c r="UXZ161" s="33"/>
      <c r="UYA161" s="33"/>
      <c r="UYB161" s="33"/>
      <c r="UYC161" s="33"/>
      <c r="UYD161" s="33"/>
      <c r="UYE161" s="33"/>
      <c r="UYF161" s="33"/>
      <c r="UYG161" s="33"/>
      <c r="UYH161" s="33"/>
      <c r="UYI161" s="33"/>
      <c r="UYJ161" s="33"/>
      <c r="UYK161" s="33"/>
      <c r="UYL161" s="33"/>
      <c r="UYM161" s="33"/>
      <c r="UYN161" s="33"/>
      <c r="UYO161" s="33"/>
      <c r="UYP161" s="33"/>
      <c r="UYQ161" s="33"/>
      <c r="UYR161" s="33"/>
      <c r="UYS161" s="33"/>
      <c r="UYT161" s="33"/>
      <c r="UYU161" s="33"/>
      <c r="UYV161" s="33"/>
      <c r="UYW161" s="33"/>
      <c r="UYX161" s="33"/>
      <c r="UYY161" s="33"/>
      <c r="UYZ161" s="33"/>
      <c r="UZA161" s="33"/>
      <c r="UZB161" s="33"/>
      <c r="UZC161" s="33"/>
      <c r="UZD161" s="33"/>
      <c r="UZE161" s="33"/>
      <c r="UZF161" s="33"/>
      <c r="UZG161" s="33"/>
      <c r="UZH161" s="33"/>
      <c r="UZI161" s="33"/>
      <c r="UZJ161" s="33"/>
      <c r="UZK161" s="33"/>
      <c r="UZL161" s="33"/>
      <c r="UZM161" s="33"/>
      <c r="UZN161" s="33"/>
      <c r="UZO161" s="33"/>
      <c r="UZP161" s="33"/>
      <c r="UZQ161" s="33"/>
      <c r="UZR161" s="33"/>
      <c r="UZS161" s="33"/>
      <c r="UZT161" s="33"/>
      <c r="UZU161" s="33"/>
      <c r="UZV161" s="33"/>
      <c r="UZW161" s="33"/>
      <c r="UZX161" s="33"/>
      <c r="UZY161" s="33"/>
      <c r="UZZ161" s="33"/>
      <c r="VAA161" s="33"/>
      <c r="VAB161" s="33"/>
      <c r="VAC161" s="33"/>
      <c r="VAD161" s="33"/>
      <c r="VAE161" s="33"/>
      <c r="VAF161" s="33"/>
      <c r="VAG161" s="33"/>
      <c r="VAH161" s="33"/>
      <c r="VAI161" s="33"/>
      <c r="VAJ161" s="33"/>
      <c r="VAK161" s="33"/>
      <c r="VAL161" s="33"/>
      <c r="VAM161" s="33"/>
      <c r="VAN161" s="33"/>
      <c r="VAO161" s="33"/>
      <c r="VAP161" s="33"/>
      <c r="VAQ161" s="33"/>
      <c r="VAR161" s="33"/>
      <c r="VAS161" s="33"/>
      <c r="VAT161" s="33"/>
      <c r="VAU161" s="33"/>
      <c r="VAV161" s="33"/>
      <c r="VAW161" s="33"/>
      <c r="VAX161" s="33"/>
      <c r="VAY161" s="33"/>
      <c r="VAZ161" s="33"/>
      <c r="VBA161" s="33"/>
      <c r="VBB161" s="33"/>
      <c r="VBC161" s="33"/>
      <c r="VBD161" s="33"/>
      <c r="VBE161" s="33"/>
      <c r="VBF161" s="33"/>
      <c r="VBG161" s="33"/>
      <c r="VBH161" s="33"/>
      <c r="VBI161" s="33"/>
      <c r="VBJ161" s="33"/>
      <c r="VBK161" s="33"/>
      <c r="VBL161" s="33"/>
      <c r="VBM161" s="33"/>
      <c r="VBN161" s="33"/>
      <c r="VBO161" s="33"/>
      <c r="VBP161" s="33"/>
      <c r="VBQ161" s="33"/>
      <c r="VBR161" s="33"/>
      <c r="VBS161" s="33"/>
      <c r="VBT161" s="33"/>
      <c r="VBU161" s="33"/>
      <c r="VBV161" s="33"/>
      <c r="VBW161" s="33"/>
      <c r="VBX161" s="33"/>
      <c r="VBY161" s="33"/>
      <c r="VBZ161" s="33"/>
      <c r="VCA161" s="33"/>
      <c r="VCB161" s="33"/>
      <c r="VCC161" s="33"/>
      <c r="VCD161" s="33"/>
      <c r="VCE161" s="33"/>
      <c r="VCF161" s="33"/>
      <c r="VCG161" s="33"/>
      <c r="VCH161" s="33"/>
      <c r="VCI161" s="33"/>
      <c r="VCJ161" s="33"/>
      <c r="VCK161" s="33"/>
      <c r="VCL161" s="33"/>
      <c r="VCM161" s="33"/>
      <c r="VCN161" s="33"/>
      <c r="VCO161" s="33"/>
      <c r="VCP161" s="33"/>
      <c r="VCQ161" s="33"/>
      <c r="VCR161" s="33"/>
      <c r="VCS161" s="33"/>
      <c r="VCT161" s="33"/>
      <c r="VCU161" s="33"/>
      <c r="VCV161" s="33"/>
      <c r="VCW161" s="33"/>
      <c r="VCX161" s="33"/>
      <c r="VCY161" s="33"/>
      <c r="VCZ161" s="33"/>
      <c r="VDA161" s="33"/>
      <c r="VDB161" s="33"/>
      <c r="VDC161" s="33"/>
      <c r="VDD161" s="33"/>
      <c r="VDE161" s="33"/>
      <c r="VDF161" s="33"/>
      <c r="VDG161" s="33"/>
      <c r="VDH161" s="33"/>
      <c r="VDI161" s="33"/>
      <c r="VDJ161" s="33"/>
      <c r="VDK161" s="33"/>
      <c r="VDL161" s="33"/>
      <c r="VDM161" s="33"/>
      <c r="VDN161" s="33"/>
      <c r="VDO161" s="33"/>
      <c r="VDP161" s="33"/>
      <c r="VDQ161" s="33"/>
      <c r="VDR161" s="33"/>
      <c r="VDS161" s="33"/>
      <c r="VDT161" s="33"/>
      <c r="VDU161" s="33"/>
      <c r="VDV161" s="33"/>
      <c r="VDW161" s="33"/>
      <c r="VDX161" s="33"/>
      <c r="VDY161" s="33"/>
      <c r="VDZ161" s="33"/>
      <c r="VEA161" s="33"/>
      <c r="VEB161" s="33"/>
      <c r="VEC161" s="33"/>
      <c r="VED161" s="33"/>
      <c r="VEE161" s="33"/>
      <c r="VEF161" s="33"/>
      <c r="VEG161" s="33"/>
      <c r="VEH161" s="33"/>
      <c r="VEI161" s="33"/>
      <c r="VEJ161" s="33"/>
      <c r="VEK161" s="33"/>
      <c r="VEL161" s="33"/>
      <c r="VEM161" s="33"/>
      <c r="VEN161" s="33"/>
      <c r="VEO161" s="33"/>
      <c r="VEP161" s="33"/>
      <c r="VEQ161" s="33"/>
      <c r="VER161" s="33"/>
      <c r="VES161" s="33"/>
      <c r="VET161" s="33"/>
      <c r="VEU161" s="33"/>
      <c r="VEV161" s="33"/>
      <c r="VEW161" s="33"/>
      <c r="VEX161" s="33"/>
      <c r="VEY161" s="33"/>
      <c r="VEZ161" s="33"/>
      <c r="VFA161" s="33"/>
      <c r="VFB161" s="33"/>
      <c r="VFC161" s="33"/>
      <c r="VFD161" s="33"/>
      <c r="VFE161" s="33"/>
      <c r="VFF161" s="33"/>
      <c r="VFG161" s="33"/>
      <c r="VFH161" s="33"/>
      <c r="VFI161" s="33"/>
      <c r="VFJ161" s="33"/>
      <c r="VFK161" s="33"/>
      <c r="VFL161" s="33"/>
      <c r="VFM161" s="33"/>
      <c r="VFN161" s="33"/>
      <c r="VFO161" s="33"/>
      <c r="VFP161" s="33"/>
      <c r="VFQ161" s="33"/>
      <c r="VFR161" s="33"/>
      <c r="VFS161" s="33"/>
      <c r="VFT161" s="33"/>
      <c r="VFU161" s="33"/>
      <c r="VFV161" s="33"/>
      <c r="VFW161" s="33"/>
      <c r="VFX161" s="33"/>
      <c r="VFY161" s="33"/>
      <c r="VFZ161" s="33"/>
      <c r="VGA161" s="33"/>
      <c r="VGB161" s="33"/>
      <c r="VGC161" s="33"/>
      <c r="VGD161" s="33"/>
      <c r="VGE161" s="33"/>
      <c r="VGF161" s="33"/>
      <c r="VGG161" s="33"/>
      <c r="VGH161" s="33"/>
      <c r="VGI161" s="33"/>
      <c r="VGJ161" s="33"/>
      <c r="VGK161" s="33"/>
      <c r="VGL161" s="33"/>
      <c r="VGM161" s="33"/>
      <c r="VGN161" s="33"/>
      <c r="VGO161" s="33"/>
      <c r="VGP161" s="33"/>
      <c r="VGQ161" s="33"/>
      <c r="VGR161" s="33"/>
      <c r="VGS161" s="33"/>
      <c r="VGT161" s="33"/>
      <c r="VGU161" s="33"/>
      <c r="VGV161" s="33"/>
      <c r="VGW161" s="33"/>
      <c r="VGX161" s="33"/>
      <c r="VGY161" s="33"/>
      <c r="VGZ161" s="33"/>
      <c r="VHA161" s="33"/>
      <c r="VHB161" s="33"/>
      <c r="VHC161" s="33"/>
      <c r="VHD161" s="33"/>
      <c r="VHE161" s="33"/>
      <c r="VHF161" s="33"/>
      <c r="VHG161" s="33"/>
      <c r="VHH161" s="33"/>
      <c r="VHI161" s="33"/>
      <c r="VHJ161" s="33"/>
      <c r="VHK161" s="33"/>
      <c r="VHL161" s="33"/>
      <c r="VHM161" s="33"/>
      <c r="VHN161" s="33"/>
      <c r="VHO161" s="33"/>
      <c r="VHP161" s="33"/>
      <c r="VHQ161" s="33"/>
      <c r="VHR161" s="33"/>
      <c r="VHS161" s="33"/>
      <c r="VHT161" s="33"/>
      <c r="VHU161" s="33"/>
      <c r="VHV161" s="33"/>
      <c r="VHW161" s="33"/>
      <c r="VHX161" s="33"/>
      <c r="VHY161" s="33"/>
      <c r="VHZ161" s="33"/>
      <c r="VIA161" s="33"/>
      <c r="VIB161" s="33"/>
      <c r="VIC161" s="33"/>
      <c r="VID161" s="33"/>
      <c r="VIE161" s="33"/>
      <c r="VIF161" s="33"/>
      <c r="VIG161" s="33"/>
      <c r="VIH161" s="33"/>
      <c r="VII161" s="33"/>
      <c r="VIJ161" s="33"/>
      <c r="VIK161" s="33"/>
      <c r="VIL161" s="33"/>
      <c r="VIM161" s="33"/>
      <c r="VIN161" s="33"/>
      <c r="VIO161" s="33"/>
      <c r="VIP161" s="33"/>
      <c r="VIQ161" s="33"/>
      <c r="VIR161" s="33"/>
      <c r="VIS161" s="33"/>
      <c r="VIT161" s="33"/>
      <c r="VIU161" s="33"/>
      <c r="VIV161" s="33"/>
      <c r="VIW161" s="33"/>
      <c r="VIX161" s="33"/>
      <c r="VIY161" s="33"/>
      <c r="VIZ161" s="33"/>
      <c r="VJA161" s="33"/>
      <c r="VJB161" s="33"/>
      <c r="VJC161" s="33"/>
      <c r="VJD161" s="33"/>
      <c r="VJE161" s="33"/>
      <c r="VJF161" s="33"/>
      <c r="VJG161" s="33"/>
      <c r="VJH161" s="33"/>
      <c r="VJI161" s="33"/>
      <c r="VJJ161" s="33"/>
      <c r="VJK161" s="33"/>
      <c r="VJL161" s="33"/>
      <c r="VJM161" s="33"/>
      <c r="VJN161" s="33"/>
      <c r="VJO161" s="33"/>
      <c r="VJP161" s="33"/>
      <c r="VJQ161" s="33"/>
      <c r="VJR161" s="33"/>
      <c r="VJS161" s="33"/>
      <c r="VJT161" s="33"/>
      <c r="VJU161" s="33"/>
      <c r="VJV161" s="33"/>
      <c r="VJW161" s="33"/>
      <c r="VJX161" s="33"/>
      <c r="VJY161" s="33"/>
      <c r="VJZ161" s="33"/>
      <c r="VKA161" s="33"/>
      <c r="VKB161" s="33"/>
      <c r="VKC161" s="33"/>
      <c r="VKD161" s="33"/>
      <c r="VKE161" s="33"/>
      <c r="VKF161" s="33"/>
      <c r="VKG161" s="33"/>
      <c r="VKH161" s="33"/>
      <c r="VKI161" s="33"/>
      <c r="VKJ161" s="33"/>
      <c r="VKK161" s="33"/>
      <c r="VKL161" s="33"/>
      <c r="VKM161" s="33"/>
      <c r="VKN161" s="33"/>
      <c r="VKO161" s="33"/>
      <c r="VKP161" s="33"/>
      <c r="VKQ161" s="33"/>
      <c r="VKR161" s="33"/>
      <c r="VKS161" s="33"/>
      <c r="VKT161" s="33"/>
      <c r="VKU161" s="33"/>
      <c r="VKV161" s="33"/>
      <c r="VKW161" s="33"/>
      <c r="VKX161" s="33"/>
      <c r="VKY161" s="33"/>
      <c r="VKZ161" s="33"/>
      <c r="VLA161" s="33"/>
      <c r="VLB161" s="33"/>
      <c r="VLC161" s="33"/>
      <c r="VLD161" s="33"/>
      <c r="VLE161" s="33"/>
      <c r="VLF161" s="33"/>
      <c r="VLG161" s="33"/>
      <c r="VLH161" s="33"/>
      <c r="VLI161" s="33"/>
      <c r="VLJ161" s="33"/>
      <c r="VLK161" s="33"/>
      <c r="VLL161" s="33"/>
      <c r="VLM161" s="33"/>
      <c r="VLN161" s="33"/>
      <c r="VLO161" s="33"/>
      <c r="VLP161" s="33"/>
      <c r="VLQ161" s="33"/>
      <c r="VLR161" s="33"/>
      <c r="VLS161" s="33"/>
      <c r="VLT161" s="33"/>
      <c r="VLU161" s="33"/>
      <c r="VLV161" s="33"/>
      <c r="VLW161" s="33"/>
      <c r="VLX161" s="33"/>
      <c r="VLY161" s="33"/>
      <c r="VLZ161" s="33"/>
      <c r="VMA161" s="33"/>
      <c r="VMB161" s="33"/>
      <c r="VMC161" s="33"/>
      <c r="VMD161" s="33"/>
      <c r="VME161" s="33"/>
      <c r="VMF161" s="33"/>
      <c r="VMG161" s="33"/>
      <c r="VMH161" s="33"/>
      <c r="VMI161" s="33"/>
      <c r="VMJ161" s="33"/>
      <c r="VMK161" s="33"/>
      <c r="VML161" s="33"/>
      <c r="VMM161" s="33"/>
      <c r="VMN161" s="33"/>
      <c r="VMO161" s="33"/>
      <c r="VMP161" s="33"/>
      <c r="VMQ161" s="33"/>
      <c r="VMR161" s="33"/>
      <c r="VMS161" s="33"/>
      <c r="VMT161" s="33"/>
      <c r="VMU161" s="33"/>
      <c r="VMV161" s="33"/>
      <c r="VMW161" s="33"/>
      <c r="VMX161" s="33"/>
      <c r="VMY161" s="33"/>
      <c r="VMZ161" s="33"/>
      <c r="VNA161" s="33"/>
      <c r="VNB161" s="33"/>
      <c r="VNC161" s="33"/>
      <c r="VND161" s="33"/>
      <c r="VNE161" s="33"/>
      <c r="VNF161" s="33"/>
      <c r="VNG161" s="33"/>
      <c r="VNH161" s="33"/>
      <c r="VNI161" s="33"/>
      <c r="VNJ161" s="33"/>
      <c r="VNK161" s="33"/>
      <c r="VNL161" s="33"/>
      <c r="VNM161" s="33"/>
      <c r="VNN161" s="33"/>
      <c r="VNO161" s="33"/>
      <c r="VNP161" s="33"/>
      <c r="VNQ161" s="33"/>
      <c r="VNR161" s="33"/>
      <c r="VNS161" s="33"/>
      <c r="VNT161" s="33"/>
      <c r="VNU161" s="33"/>
      <c r="VNV161" s="33"/>
      <c r="VNW161" s="33"/>
      <c r="VNX161" s="33"/>
      <c r="VNY161" s="33"/>
      <c r="VNZ161" s="33"/>
      <c r="VOA161" s="33"/>
      <c r="VOB161" s="33"/>
      <c r="VOC161" s="33"/>
      <c r="VOD161" s="33"/>
      <c r="VOE161" s="33"/>
      <c r="VOF161" s="33"/>
      <c r="VOG161" s="33"/>
      <c r="VOH161" s="33"/>
      <c r="VOI161" s="33"/>
      <c r="VOJ161" s="33"/>
      <c r="VOK161" s="33"/>
      <c r="VOL161" s="33"/>
      <c r="VOM161" s="33"/>
      <c r="VON161" s="33"/>
      <c r="VOO161" s="33"/>
      <c r="VOP161" s="33"/>
      <c r="VOQ161" s="33"/>
      <c r="VOR161" s="33"/>
      <c r="VOS161" s="33"/>
      <c r="VOT161" s="33"/>
      <c r="VOU161" s="33"/>
      <c r="VOV161" s="33"/>
      <c r="VOW161" s="33"/>
      <c r="VOX161" s="33"/>
      <c r="VOY161" s="33"/>
      <c r="VOZ161" s="33"/>
      <c r="VPA161" s="33"/>
      <c r="VPB161" s="33"/>
      <c r="VPC161" s="33"/>
      <c r="VPD161" s="33"/>
      <c r="VPE161" s="33"/>
      <c r="VPF161" s="33"/>
      <c r="VPG161" s="33"/>
      <c r="VPH161" s="33"/>
      <c r="VPI161" s="33"/>
      <c r="VPJ161" s="33"/>
      <c r="VPK161" s="33"/>
      <c r="VPL161" s="33"/>
      <c r="VPM161" s="33"/>
      <c r="VPN161" s="33"/>
      <c r="VPO161" s="33"/>
      <c r="VPP161" s="33"/>
      <c r="VPQ161" s="33"/>
      <c r="VPR161" s="33"/>
      <c r="VPS161" s="33"/>
      <c r="VPT161" s="33"/>
      <c r="VPU161" s="33"/>
      <c r="VPV161" s="33"/>
      <c r="VPW161" s="33"/>
      <c r="VPX161" s="33"/>
      <c r="VPY161" s="33"/>
      <c r="VPZ161" s="33"/>
      <c r="VQA161" s="33"/>
      <c r="VQB161" s="33"/>
      <c r="VQC161" s="33"/>
      <c r="VQD161" s="33"/>
      <c r="VQE161" s="33"/>
      <c r="VQF161" s="33"/>
      <c r="VQG161" s="33"/>
      <c r="VQH161" s="33"/>
      <c r="VQI161" s="33"/>
      <c r="VQJ161" s="33"/>
      <c r="VQK161" s="33"/>
      <c r="VQL161" s="33"/>
      <c r="VQM161" s="33"/>
      <c r="VQN161" s="33"/>
      <c r="VQO161" s="33"/>
      <c r="VQP161" s="33"/>
      <c r="VQQ161" s="33"/>
      <c r="VQR161" s="33"/>
      <c r="VQS161" s="33"/>
      <c r="VQT161" s="33"/>
      <c r="VQU161" s="33"/>
      <c r="VQV161" s="33"/>
      <c r="VQW161" s="33"/>
      <c r="VQX161" s="33"/>
      <c r="VQY161" s="33"/>
      <c r="VQZ161" s="33"/>
      <c r="VRA161" s="33"/>
      <c r="VRB161" s="33"/>
      <c r="VRC161" s="33"/>
      <c r="VRD161" s="33"/>
      <c r="VRE161" s="33"/>
      <c r="VRF161" s="33"/>
      <c r="VRG161" s="33"/>
      <c r="VRH161" s="33"/>
      <c r="VRI161" s="33"/>
      <c r="VRJ161" s="33"/>
      <c r="VRK161" s="33"/>
      <c r="VRL161" s="33"/>
      <c r="VRM161" s="33"/>
      <c r="VRN161" s="33"/>
      <c r="VRO161" s="33"/>
      <c r="VRP161" s="33"/>
      <c r="VRQ161" s="33"/>
      <c r="VRR161" s="33"/>
      <c r="VRS161" s="33"/>
      <c r="VRT161" s="33"/>
      <c r="VRU161" s="33"/>
      <c r="VRV161" s="33"/>
      <c r="VRW161" s="33"/>
      <c r="VRX161" s="33"/>
      <c r="VRY161" s="33"/>
      <c r="VRZ161" s="33"/>
      <c r="VSA161" s="33"/>
      <c r="VSB161" s="33"/>
      <c r="VSC161" s="33"/>
      <c r="VSD161" s="33"/>
      <c r="VSE161" s="33"/>
      <c r="VSF161" s="33"/>
      <c r="VSG161" s="33"/>
      <c r="VSH161" s="33"/>
      <c r="VSI161" s="33"/>
      <c r="VSJ161" s="33"/>
      <c r="VSK161" s="33"/>
      <c r="VSL161" s="33"/>
      <c r="VSM161" s="33"/>
      <c r="VSN161" s="33"/>
      <c r="VSO161" s="33"/>
      <c r="VSP161" s="33"/>
      <c r="VSQ161" s="33"/>
      <c r="VSR161" s="33"/>
      <c r="VSS161" s="33"/>
      <c r="VST161" s="33"/>
      <c r="VSU161" s="33"/>
      <c r="VSV161" s="33"/>
      <c r="VSW161" s="33"/>
      <c r="VSX161" s="33"/>
      <c r="VSY161" s="33"/>
      <c r="VSZ161" s="33"/>
      <c r="VTA161" s="33"/>
      <c r="VTB161" s="33"/>
      <c r="VTC161" s="33"/>
      <c r="VTD161" s="33"/>
      <c r="VTE161" s="33"/>
      <c r="VTF161" s="33"/>
      <c r="VTG161" s="33"/>
      <c r="VTH161" s="33"/>
      <c r="VTI161" s="33"/>
      <c r="VTJ161" s="33"/>
      <c r="VTK161" s="33"/>
      <c r="VTL161" s="33"/>
      <c r="VTM161" s="33"/>
      <c r="VTN161" s="33"/>
      <c r="VTO161" s="33"/>
      <c r="VTP161" s="33"/>
      <c r="VTQ161" s="33"/>
      <c r="VTR161" s="33"/>
      <c r="VTS161" s="33"/>
      <c r="VTT161" s="33"/>
      <c r="VTU161" s="33"/>
      <c r="VTV161" s="33"/>
      <c r="VTW161" s="33"/>
      <c r="VTX161" s="33"/>
      <c r="VTY161" s="33"/>
      <c r="VTZ161" s="33"/>
      <c r="VUA161" s="33"/>
      <c r="VUB161" s="33"/>
      <c r="VUC161" s="33"/>
      <c r="VUD161" s="33"/>
      <c r="VUE161" s="33"/>
      <c r="VUF161" s="33"/>
      <c r="VUG161" s="33"/>
      <c r="VUH161" s="33"/>
      <c r="VUI161" s="33"/>
      <c r="VUJ161" s="33"/>
      <c r="VUK161" s="33"/>
      <c r="VUL161" s="33"/>
      <c r="VUM161" s="33"/>
      <c r="VUN161" s="33"/>
      <c r="VUO161" s="33"/>
      <c r="VUP161" s="33"/>
      <c r="VUQ161" s="33"/>
      <c r="VUR161" s="33"/>
      <c r="VUS161" s="33"/>
      <c r="VUT161" s="33"/>
      <c r="VUU161" s="33"/>
      <c r="VUV161" s="33"/>
      <c r="VUW161" s="33"/>
      <c r="VUX161" s="33"/>
      <c r="VUY161" s="33"/>
      <c r="VUZ161" s="33"/>
      <c r="VVA161" s="33"/>
      <c r="VVB161" s="33"/>
      <c r="VVC161" s="33"/>
      <c r="VVD161" s="33"/>
      <c r="VVE161" s="33"/>
      <c r="VVF161" s="33"/>
      <c r="VVG161" s="33"/>
      <c r="VVH161" s="33"/>
      <c r="VVI161" s="33"/>
      <c r="VVJ161" s="33"/>
      <c r="VVK161" s="33"/>
      <c r="VVL161" s="33"/>
      <c r="VVM161" s="33"/>
      <c r="VVN161" s="33"/>
      <c r="VVO161" s="33"/>
      <c r="VVP161" s="33"/>
      <c r="VVQ161" s="33"/>
      <c r="VVR161" s="33"/>
      <c r="VVS161" s="33"/>
      <c r="VVT161" s="33"/>
      <c r="VVU161" s="33"/>
      <c r="VVV161" s="33"/>
      <c r="VVW161" s="33"/>
      <c r="VVX161" s="33"/>
      <c r="VVY161" s="33"/>
      <c r="VVZ161" s="33"/>
      <c r="VWA161" s="33"/>
      <c r="VWB161" s="33"/>
      <c r="VWC161" s="33"/>
      <c r="VWD161" s="33"/>
      <c r="VWE161" s="33"/>
      <c r="VWF161" s="33"/>
      <c r="VWG161" s="33"/>
      <c r="VWH161" s="33"/>
      <c r="VWI161" s="33"/>
      <c r="VWJ161" s="33"/>
      <c r="VWK161" s="33"/>
      <c r="VWL161" s="33"/>
      <c r="VWM161" s="33"/>
      <c r="VWN161" s="33"/>
      <c r="VWO161" s="33"/>
      <c r="VWP161" s="33"/>
      <c r="VWQ161" s="33"/>
      <c r="VWR161" s="33"/>
      <c r="VWS161" s="33"/>
      <c r="VWT161" s="33"/>
      <c r="VWU161" s="33"/>
      <c r="VWV161" s="33"/>
      <c r="VWW161" s="33"/>
      <c r="VWX161" s="33"/>
      <c r="VWY161" s="33"/>
      <c r="VWZ161" s="33"/>
      <c r="VXA161" s="33"/>
      <c r="VXB161" s="33"/>
      <c r="VXC161" s="33"/>
      <c r="VXD161" s="33"/>
      <c r="VXE161" s="33"/>
      <c r="VXF161" s="33"/>
      <c r="VXG161" s="33"/>
      <c r="VXH161" s="33"/>
      <c r="VXI161" s="33"/>
      <c r="VXJ161" s="33"/>
      <c r="VXK161" s="33"/>
      <c r="VXL161" s="33"/>
      <c r="VXM161" s="33"/>
      <c r="VXN161" s="33"/>
      <c r="VXO161" s="33"/>
      <c r="VXP161" s="33"/>
      <c r="VXQ161" s="33"/>
      <c r="VXR161" s="33"/>
      <c r="VXS161" s="33"/>
      <c r="VXT161" s="33"/>
      <c r="VXU161" s="33"/>
      <c r="VXV161" s="33"/>
      <c r="VXW161" s="33"/>
      <c r="VXX161" s="33"/>
      <c r="VXY161" s="33"/>
      <c r="VXZ161" s="33"/>
      <c r="VYA161" s="33"/>
      <c r="VYB161" s="33"/>
      <c r="VYC161" s="33"/>
      <c r="VYD161" s="33"/>
      <c r="VYE161" s="33"/>
      <c r="VYF161" s="33"/>
      <c r="VYG161" s="33"/>
      <c r="VYH161" s="33"/>
      <c r="VYI161" s="33"/>
      <c r="VYJ161" s="33"/>
      <c r="VYK161" s="33"/>
      <c r="VYL161" s="33"/>
      <c r="VYM161" s="33"/>
      <c r="VYN161" s="33"/>
      <c r="VYO161" s="33"/>
      <c r="VYP161" s="33"/>
      <c r="VYQ161" s="33"/>
      <c r="VYR161" s="33"/>
      <c r="VYS161" s="33"/>
      <c r="VYT161" s="33"/>
      <c r="VYU161" s="33"/>
      <c r="VYV161" s="33"/>
      <c r="VYW161" s="33"/>
      <c r="VYX161" s="33"/>
      <c r="VYY161" s="33"/>
      <c r="VYZ161" s="33"/>
      <c r="VZA161" s="33"/>
      <c r="VZB161" s="33"/>
      <c r="VZC161" s="33"/>
      <c r="VZD161" s="33"/>
      <c r="VZE161" s="33"/>
      <c r="VZF161" s="33"/>
      <c r="VZG161" s="33"/>
      <c r="VZH161" s="33"/>
      <c r="VZI161" s="33"/>
      <c r="VZJ161" s="33"/>
      <c r="VZK161" s="33"/>
      <c r="VZL161" s="33"/>
      <c r="VZM161" s="33"/>
      <c r="VZN161" s="33"/>
      <c r="VZO161" s="33"/>
      <c r="VZP161" s="33"/>
      <c r="VZQ161" s="33"/>
      <c r="VZR161" s="33"/>
      <c r="VZS161" s="33"/>
      <c r="VZT161" s="33"/>
      <c r="VZU161" s="33"/>
      <c r="VZV161" s="33"/>
      <c r="VZW161" s="33"/>
      <c r="VZX161" s="33"/>
      <c r="VZY161" s="33"/>
      <c r="VZZ161" s="33"/>
      <c r="WAA161" s="33"/>
      <c r="WAB161" s="33"/>
      <c r="WAC161" s="33"/>
      <c r="WAD161" s="33"/>
      <c r="WAE161" s="33"/>
      <c r="WAF161" s="33"/>
      <c r="WAG161" s="33"/>
      <c r="WAH161" s="33"/>
      <c r="WAI161" s="33"/>
      <c r="WAJ161" s="33"/>
      <c r="WAK161" s="33"/>
      <c r="WAL161" s="33"/>
      <c r="WAM161" s="33"/>
      <c r="WAN161" s="33"/>
      <c r="WAO161" s="33"/>
      <c r="WAP161" s="33"/>
      <c r="WAQ161" s="33"/>
      <c r="WAR161" s="33"/>
      <c r="WAS161" s="33"/>
      <c r="WAT161" s="33"/>
      <c r="WAU161" s="33"/>
      <c r="WAV161" s="33"/>
      <c r="WAW161" s="33"/>
      <c r="WAX161" s="33"/>
      <c r="WAY161" s="33"/>
      <c r="WAZ161" s="33"/>
      <c r="WBA161" s="33"/>
      <c r="WBB161" s="33"/>
      <c r="WBC161" s="33"/>
      <c r="WBD161" s="33"/>
      <c r="WBE161" s="33"/>
      <c r="WBF161" s="33"/>
      <c r="WBG161" s="33"/>
      <c r="WBH161" s="33"/>
      <c r="WBI161" s="33"/>
      <c r="WBJ161" s="33"/>
      <c r="WBK161" s="33"/>
      <c r="WBL161" s="33"/>
      <c r="WBM161" s="33"/>
      <c r="WBN161" s="33"/>
      <c r="WBO161" s="33"/>
      <c r="WBP161" s="33"/>
      <c r="WBQ161" s="33"/>
      <c r="WBR161" s="33"/>
      <c r="WBS161" s="33"/>
      <c r="WBT161" s="33"/>
      <c r="WBU161" s="33"/>
      <c r="WBV161" s="33"/>
      <c r="WBW161" s="33"/>
      <c r="WBX161" s="33"/>
      <c r="WBY161" s="33"/>
      <c r="WBZ161" s="33"/>
      <c r="WCA161" s="33"/>
      <c r="WCB161" s="33"/>
      <c r="WCC161" s="33"/>
      <c r="WCD161" s="33"/>
      <c r="WCE161" s="33"/>
      <c r="WCF161" s="33"/>
      <c r="WCG161" s="33"/>
      <c r="WCH161" s="33"/>
      <c r="WCI161" s="33"/>
      <c r="WCJ161" s="33"/>
      <c r="WCK161" s="33"/>
      <c r="WCL161" s="33"/>
      <c r="WCM161" s="33"/>
      <c r="WCN161" s="33"/>
      <c r="WCO161" s="33"/>
      <c r="WCP161" s="33"/>
      <c r="WCQ161" s="33"/>
      <c r="WCR161" s="33"/>
      <c r="WCS161" s="33"/>
      <c r="WCT161" s="33"/>
      <c r="WCU161" s="33"/>
      <c r="WCV161" s="33"/>
      <c r="WCW161" s="33"/>
      <c r="WCX161" s="33"/>
      <c r="WCY161" s="33"/>
      <c r="WCZ161" s="33"/>
      <c r="WDA161" s="33"/>
      <c r="WDB161" s="33"/>
      <c r="WDC161" s="33"/>
      <c r="WDD161" s="33"/>
      <c r="WDE161" s="33"/>
      <c r="WDF161" s="33"/>
      <c r="WDG161" s="33"/>
      <c r="WDH161" s="33"/>
      <c r="WDI161" s="33"/>
      <c r="WDJ161" s="33"/>
      <c r="WDK161" s="33"/>
      <c r="WDL161" s="33"/>
      <c r="WDM161" s="33"/>
      <c r="WDN161" s="33"/>
      <c r="WDO161" s="33"/>
      <c r="WDP161" s="33"/>
      <c r="WDQ161" s="33"/>
      <c r="WDR161" s="33"/>
      <c r="WDS161" s="33"/>
      <c r="WDT161" s="33"/>
      <c r="WDU161" s="33"/>
      <c r="WDV161" s="33"/>
      <c r="WDW161" s="33"/>
      <c r="WDX161" s="33"/>
      <c r="WDY161" s="33"/>
      <c r="WDZ161" s="33"/>
      <c r="WEA161" s="33"/>
      <c r="WEB161" s="33"/>
      <c r="WEC161" s="33"/>
      <c r="WED161" s="33"/>
      <c r="WEE161" s="33"/>
      <c r="WEF161" s="33"/>
      <c r="WEG161" s="33"/>
      <c r="WEH161" s="33"/>
      <c r="WEI161" s="33"/>
      <c r="WEJ161" s="33"/>
      <c r="WEK161" s="33"/>
      <c r="WEL161" s="33"/>
      <c r="WEM161" s="33"/>
      <c r="WEN161" s="33"/>
      <c r="WEO161" s="33"/>
      <c r="WEP161" s="33"/>
      <c r="WEQ161" s="33"/>
      <c r="WER161" s="33"/>
      <c r="WES161" s="33"/>
      <c r="WET161" s="33"/>
      <c r="WEU161" s="33"/>
      <c r="WEV161" s="33"/>
      <c r="WEW161" s="33"/>
      <c r="WEX161" s="33"/>
      <c r="WEY161" s="33"/>
      <c r="WEZ161" s="33"/>
      <c r="WFA161" s="33"/>
      <c r="WFB161" s="33"/>
      <c r="WFC161" s="33"/>
      <c r="WFD161" s="33"/>
      <c r="WFE161" s="33"/>
      <c r="WFF161" s="33"/>
      <c r="WFG161" s="33"/>
      <c r="WFH161" s="33"/>
      <c r="WFI161" s="33"/>
      <c r="WFJ161" s="33"/>
      <c r="WFK161" s="33"/>
      <c r="WFL161" s="33"/>
      <c r="WFM161" s="33"/>
      <c r="WFN161" s="33"/>
      <c r="WFO161" s="33"/>
      <c r="WFP161" s="33"/>
      <c r="WFQ161" s="33"/>
      <c r="WFR161" s="33"/>
      <c r="WFS161" s="33"/>
      <c r="WFT161" s="33"/>
      <c r="WFU161" s="33"/>
      <c r="WFV161" s="33"/>
      <c r="WFW161" s="33"/>
      <c r="WFX161" s="33"/>
      <c r="WFY161" s="33"/>
      <c r="WFZ161" s="33"/>
      <c r="WGA161" s="33"/>
      <c r="WGB161" s="33"/>
      <c r="WGC161" s="33"/>
      <c r="WGD161" s="33"/>
      <c r="WGE161" s="33"/>
      <c r="WGF161" s="33"/>
      <c r="WGG161" s="33"/>
      <c r="WGH161" s="33"/>
      <c r="WGI161" s="33"/>
      <c r="WGJ161" s="33"/>
      <c r="WGK161" s="33"/>
      <c r="WGL161" s="33"/>
      <c r="WGM161" s="33"/>
      <c r="WGN161" s="33"/>
      <c r="WGO161" s="33"/>
      <c r="WGP161" s="33"/>
      <c r="WGQ161" s="33"/>
      <c r="WGR161" s="33"/>
      <c r="WGS161" s="33"/>
      <c r="WGT161" s="33"/>
      <c r="WGU161" s="33"/>
      <c r="WGV161" s="33"/>
      <c r="WGW161" s="33"/>
      <c r="WGX161" s="33"/>
      <c r="WGY161" s="33"/>
      <c r="WGZ161" s="33"/>
      <c r="WHA161" s="33"/>
      <c r="WHB161" s="33"/>
      <c r="WHC161" s="33"/>
      <c r="WHD161" s="33"/>
      <c r="WHE161" s="33"/>
      <c r="WHF161" s="33"/>
      <c r="WHG161" s="33"/>
      <c r="WHH161" s="33"/>
      <c r="WHI161" s="33"/>
      <c r="WHJ161" s="33"/>
      <c r="WHK161" s="33"/>
      <c r="WHL161" s="33"/>
      <c r="WHM161" s="33"/>
      <c r="WHN161" s="33"/>
      <c r="WHO161" s="33"/>
      <c r="WHP161" s="33"/>
      <c r="WHQ161" s="33"/>
      <c r="WHR161" s="33"/>
      <c r="WHS161" s="33"/>
      <c r="WHT161" s="33"/>
      <c r="WHU161" s="33"/>
      <c r="WHV161" s="33"/>
      <c r="WHW161" s="33"/>
      <c r="WHX161" s="33"/>
      <c r="WHY161" s="33"/>
      <c r="WHZ161" s="33"/>
      <c r="WIA161" s="33"/>
      <c r="WIB161" s="33"/>
      <c r="WIC161" s="33"/>
      <c r="WID161" s="33"/>
      <c r="WIE161" s="33"/>
      <c r="WIF161" s="33"/>
      <c r="WIG161" s="33"/>
      <c r="WIH161" s="33"/>
      <c r="WII161" s="33"/>
      <c r="WIJ161" s="33"/>
      <c r="WIK161" s="33"/>
      <c r="WIL161" s="33"/>
      <c r="WIM161" s="33"/>
      <c r="WIN161" s="33"/>
      <c r="WIO161" s="33"/>
      <c r="WIP161" s="33"/>
      <c r="WIQ161" s="33"/>
      <c r="WIR161" s="33"/>
      <c r="WIS161" s="33"/>
      <c r="WIT161" s="33"/>
      <c r="WIU161" s="33"/>
      <c r="WIV161" s="33"/>
      <c r="WIW161" s="33"/>
      <c r="WIX161" s="33"/>
      <c r="WIY161" s="33"/>
      <c r="WIZ161" s="33"/>
      <c r="WJA161" s="33"/>
      <c r="WJB161" s="33"/>
      <c r="WJC161" s="33"/>
      <c r="WJD161" s="33"/>
      <c r="WJE161" s="33"/>
      <c r="WJF161" s="33"/>
      <c r="WJG161" s="33"/>
      <c r="WJH161" s="33"/>
      <c r="WJI161" s="33"/>
      <c r="WJJ161" s="33"/>
      <c r="WJK161" s="33"/>
      <c r="WJL161" s="33"/>
      <c r="WJM161" s="33"/>
      <c r="WJN161" s="33"/>
      <c r="WJO161" s="33"/>
      <c r="WJP161" s="33"/>
      <c r="WJQ161" s="33"/>
      <c r="WJR161" s="33"/>
      <c r="WJS161" s="33"/>
      <c r="WJT161" s="33"/>
      <c r="WJU161" s="33"/>
      <c r="WJV161" s="33"/>
      <c r="WJW161" s="33"/>
      <c r="WJX161" s="33"/>
      <c r="WJY161" s="33"/>
      <c r="WJZ161" s="33"/>
      <c r="WKA161" s="33"/>
      <c r="WKB161" s="33"/>
      <c r="WKC161" s="33"/>
      <c r="WKD161" s="33"/>
      <c r="WKE161" s="33"/>
      <c r="WKF161" s="33"/>
      <c r="WKG161" s="33"/>
      <c r="WKH161" s="33"/>
      <c r="WKI161" s="33"/>
      <c r="WKJ161" s="33"/>
      <c r="WKK161" s="33"/>
      <c r="WKL161" s="33"/>
      <c r="WKM161" s="33"/>
      <c r="WKN161" s="33"/>
      <c r="WKO161" s="33"/>
      <c r="WKP161" s="33"/>
      <c r="WKQ161" s="33"/>
      <c r="WKR161" s="33"/>
      <c r="WKS161" s="33"/>
      <c r="WKT161" s="33"/>
      <c r="WKU161" s="33"/>
      <c r="WKV161" s="33"/>
      <c r="WKW161" s="33"/>
      <c r="WKX161" s="33"/>
      <c r="WKY161" s="33"/>
      <c r="WKZ161" s="33"/>
      <c r="WLA161" s="33"/>
      <c r="WLB161" s="33"/>
      <c r="WLC161" s="33"/>
      <c r="WLD161" s="33"/>
      <c r="WLE161" s="33"/>
      <c r="WLF161" s="33"/>
      <c r="WLG161" s="33"/>
      <c r="WLH161" s="33"/>
      <c r="WLI161" s="33"/>
      <c r="WLJ161" s="33"/>
      <c r="WLK161" s="33"/>
      <c r="WLL161" s="33"/>
      <c r="WLM161" s="33"/>
      <c r="WLN161" s="33"/>
      <c r="WLO161" s="33"/>
      <c r="WLP161" s="33"/>
      <c r="WLQ161" s="33"/>
      <c r="WLR161" s="33"/>
      <c r="WLS161" s="33"/>
      <c r="WLT161" s="33"/>
      <c r="WLU161" s="33"/>
      <c r="WLV161" s="33"/>
      <c r="WLW161" s="33"/>
      <c r="WLX161" s="33"/>
      <c r="WLY161" s="33"/>
      <c r="WLZ161" s="33"/>
      <c r="WMA161" s="33"/>
      <c r="WMB161" s="33"/>
      <c r="WMC161" s="33"/>
      <c r="WMD161" s="33"/>
      <c r="WME161" s="33"/>
      <c r="WMF161" s="33"/>
      <c r="WMG161" s="33"/>
      <c r="WMH161" s="33"/>
      <c r="WMI161" s="33"/>
      <c r="WMJ161" s="33"/>
      <c r="WMK161" s="33"/>
      <c r="WML161" s="33"/>
      <c r="WMM161" s="33"/>
      <c r="WMN161" s="33"/>
      <c r="WMO161" s="33"/>
      <c r="WMP161" s="33"/>
      <c r="WMQ161" s="33"/>
      <c r="WMR161" s="33"/>
      <c r="WMS161" s="33"/>
      <c r="WMT161" s="33"/>
      <c r="WMU161" s="33"/>
      <c r="WMV161" s="33"/>
      <c r="WMW161" s="33"/>
      <c r="WMX161" s="33"/>
      <c r="WMY161" s="33"/>
      <c r="WMZ161" s="33"/>
      <c r="WNA161" s="33"/>
      <c r="WNB161" s="33"/>
      <c r="WNC161" s="33"/>
      <c r="WND161" s="33"/>
      <c r="WNE161" s="33"/>
      <c r="WNF161" s="33"/>
      <c r="WNG161" s="33"/>
      <c r="WNH161" s="33"/>
      <c r="WNI161" s="33"/>
      <c r="WNJ161" s="33"/>
      <c r="WNK161" s="33"/>
      <c r="WNL161" s="33"/>
      <c r="WNM161" s="33"/>
      <c r="WNN161" s="33"/>
      <c r="WNO161" s="33"/>
      <c r="WNP161" s="33"/>
      <c r="WNQ161" s="33"/>
      <c r="WNR161" s="33"/>
      <c r="WNS161" s="33"/>
      <c r="WNT161" s="33"/>
      <c r="WNU161" s="33"/>
      <c r="WNV161" s="33"/>
      <c r="WNW161" s="33"/>
      <c r="WNX161" s="33"/>
      <c r="WNY161" s="33"/>
      <c r="WNZ161" s="33"/>
      <c r="WOA161" s="33"/>
      <c r="WOB161" s="33"/>
      <c r="WOC161" s="33"/>
      <c r="WOD161" s="33"/>
      <c r="WOE161" s="33"/>
      <c r="WOF161" s="33"/>
      <c r="WOG161" s="33"/>
      <c r="WOH161" s="33"/>
      <c r="WOI161" s="33"/>
      <c r="WOJ161" s="33"/>
      <c r="WOK161" s="33"/>
      <c r="WOL161" s="33"/>
      <c r="WOM161" s="33"/>
      <c r="WON161" s="33"/>
      <c r="WOO161" s="33"/>
      <c r="WOP161" s="33"/>
      <c r="WOQ161" s="33"/>
      <c r="WOR161" s="33"/>
      <c r="WOS161" s="33"/>
      <c r="WOT161" s="33"/>
      <c r="WOU161" s="33"/>
      <c r="WOV161" s="33"/>
      <c r="WOW161" s="33"/>
      <c r="WOX161" s="33"/>
      <c r="WOY161" s="33"/>
      <c r="WOZ161" s="33"/>
      <c r="WPA161" s="33"/>
      <c r="WPB161" s="33"/>
      <c r="WPC161" s="33"/>
      <c r="WPD161" s="33"/>
      <c r="WPE161" s="33"/>
      <c r="WPF161" s="33"/>
      <c r="WPG161" s="33"/>
      <c r="WPH161" s="33"/>
      <c r="WPI161" s="33"/>
      <c r="WPJ161" s="33"/>
      <c r="WPK161" s="33"/>
      <c r="WPL161" s="33"/>
      <c r="WPM161" s="33"/>
      <c r="WPN161" s="33"/>
      <c r="WPO161" s="33"/>
      <c r="WPP161" s="33"/>
      <c r="WPQ161" s="33"/>
      <c r="WPR161" s="33"/>
      <c r="WPS161" s="33"/>
      <c r="WPT161" s="33"/>
      <c r="WPU161" s="33"/>
      <c r="WPV161" s="33"/>
      <c r="WPW161" s="33"/>
      <c r="WPX161" s="33"/>
      <c r="WPY161" s="33"/>
      <c r="WPZ161" s="33"/>
      <c r="WQA161" s="33"/>
      <c r="WQB161" s="33"/>
      <c r="WQC161" s="33"/>
      <c r="WQD161" s="33"/>
      <c r="WQE161" s="33"/>
      <c r="WQF161" s="33"/>
      <c r="WQG161" s="33"/>
      <c r="WQH161" s="33"/>
      <c r="WQI161" s="33"/>
      <c r="WQJ161" s="33"/>
      <c r="WQK161" s="33"/>
      <c r="WQL161" s="33"/>
      <c r="WQM161" s="33"/>
      <c r="WQN161" s="33"/>
      <c r="WQO161" s="33"/>
      <c r="WQP161" s="33"/>
      <c r="WQQ161" s="33"/>
      <c r="WQR161" s="33"/>
      <c r="WQS161" s="33"/>
      <c r="WQT161" s="33"/>
      <c r="WQU161" s="33"/>
      <c r="WQV161" s="33"/>
      <c r="WQW161" s="33"/>
      <c r="WQX161" s="33"/>
      <c r="WQY161" s="33"/>
      <c r="WQZ161" s="33"/>
      <c r="WRA161" s="33"/>
      <c r="WRB161" s="33"/>
      <c r="WRC161" s="33"/>
      <c r="WRD161" s="33"/>
      <c r="WRE161" s="33"/>
      <c r="WRF161" s="33"/>
      <c r="WRG161" s="33"/>
      <c r="WRH161" s="33"/>
      <c r="WRI161" s="33"/>
      <c r="WRJ161" s="33"/>
      <c r="WRK161" s="33"/>
      <c r="WRL161" s="33"/>
      <c r="WRM161" s="33"/>
      <c r="WRN161" s="33"/>
      <c r="WRO161" s="33"/>
      <c r="WRP161" s="33"/>
      <c r="WRQ161" s="33"/>
      <c r="WRR161" s="33"/>
      <c r="WRS161" s="33"/>
      <c r="WRT161" s="33"/>
      <c r="WRU161" s="33"/>
      <c r="WRV161" s="33"/>
      <c r="WRW161" s="33"/>
      <c r="WRX161" s="33"/>
      <c r="WRY161" s="33"/>
      <c r="WRZ161" s="33"/>
      <c r="WSA161" s="33"/>
      <c r="WSB161" s="33"/>
      <c r="WSC161" s="33"/>
      <c r="WSD161" s="33"/>
      <c r="WSE161" s="33"/>
      <c r="WSF161" s="33"/>
      <c r="WSG161" s="33"/>
      <c r="WSH161" s="33"/>
      <c r="WSI161" s="33"/>
      <c r="WSJ161" s="33"/>
      <c r="WSK161" s="33"/>
      <c r="WSL161" s="33"/>
      <c r="WSM161" s="33"/>
      <c r="WSN161" s="33"/>
      <c r="WSO161" s="33"/>
      <c r="WSP161" s="33"/>
      <c r="WSQ161" s="33"/>
      <c r="WSR161" s="33"/>
      <c r="WSS161" s="33"/>
      <c r="WST161" s="33"/>
      <c r="WSU161" s="33"/>
      <c r="WSV161" s="33"/>
      <c r="WSW161" s="33"/>
      <c r="WSX161" s="33"/>
      <c r="WSY161" s="33"/>
      <c r="WSZ161" s="33"/>
      <c r="WTA161" s="33"/>
      <c r="WTB161" s="33"/>
      <c r="WTC161" s="33"/>
      <c r="WTD161" s="33"/>
      <c r="WTE161" s="33"/>
      <c r="WTF161" s="33"/>
      <c r="WTG161" s="33"/>
      <c r="WTH161" s="33"/>
      <c r="WTI161" s="33"/>
      <c r="WTJ161" s="33"/>
      <c r="WTK161" s="33"/>
      <c r="WTL161" s="33"/>
      <c r="WTM161" s="33"/>
      <c r="WTN161" s="33"/>
      <c r="WTO161" s="33"/>
      <c r="WTP161" s="33"/>
      <c r="WTQ161" s="33"/>
      <c r="WTR161" s="33"/>
      <c r="WTS161" s="33"/>
      <c r="WTT161" s="33"/>
      <c r="WTU161" s="33"/>
      <c r="WTV161" s="33"/>
      <c r="WTW161" s="33"/>
      <c r="WTX161" s="33"/>
      <c r="WTY161" s="33"/>
      <c r="WTZ161" s="33"/>
      <c r="WUA161" s="33"/>
      <c r="WUB161" s="33"/>
      <c r="WUC161" s="33"/>
      <c r="WUD161" s="33"/>
      <c r="WUE161" s="33"/>
      <c r="WUF161" s="33"/>
      <c r="WUG161" s="33"/>
      <c r="WUH161" s="33"/>
      <c r="WUI161" s="33"/>
      <c r="WUJ161" s="33"/>
      <c r="WUK161" s="33"/>
      <c r="WUL161" s="33"/>
      <c r="WUM161" s="33"/>
      <c r="WUN161" s="33"/>
      <c r="WUO161" s="33"/>
      <c r="WUP161" s="33"/>
      <c r="WUQ161" s="33"/>
      <c r="WUR161" s="33"/>
      <c r="WUS161" s="33"/>
      <c r="WUT161" s="33"/>
      <c r="WUU161" s="33"/>
      <c r="WUV161" s="33"/>
      <c r="WUW161" s="33"/>
      <c r="WUX161" s="33"/>
      <c r="WUY161" s="33"/>
      <c r="WUZ161" s="33"/>
      <c r="WVA161" s="33"/>
      <c r="WVB161" s="33"/>
      <c r="WVC161" s="33"/>
      <c r="WVD161" s="33"/>
      <c r="WVE161" s="33"/>
      <c r="WVF161" s="33"/>
      <c r="WVG161" s="33"/>
      <c r="WVH161" s="33"/>
      <c r="WVI161" s="33"/>
      <c r="WVJ161" s="33"/>
      <c r="WVK161" s="33"/>
      <c r="WVL161" s="33"/>
      <c r="WVM161" s="33"/>
      <c r="WVN161" s="33"/>
      <c r="WVO161" s="33"/>
      <c r="WVP161" s="33"/>
      <c r="WVQ161" s="33"/>
      <c r="WVR161" s="33"/>
      <c r="WVS161" s="33"/>
      <c r="WVT161" s="33"/>
      <c r="WVU161" s="33"/>
      <c r="WVV161" s="33"/>
      <c r="WVW161" s="33"/>
      <c r="WVX161" s="33"/>
      <c r="WVY161" s="33"/>
      <c r="WVZ161" s="33"/>
      <c r="WWA161" s="33"/>
    </row>
    <row r="162" spans="2:16147" s="234" customFormat="1" x14ac:dyDescent="0.2">
      <c r="B162" s="257">
        <v>50</v>
      </c>
      <c r="C162" s="117" t="s">
        <v>512</v>
      </c>
      <c r="D162" s="234">
        <v>2011</v>
      </c>
      <c r="E162" s="234">
        <v>4</v>
      </c>
      <c r="F162" s="234">
        <v>0</v>
      </c>
      <c r="H162" s="234" t="s">
        <v>351</v>
      </c>
      <c r="I162" s="234">
        <v>8</v>
      </c>
      <c r="J162" s="233">
        <f t="shared" si="47"/>
        <v>2019</v>
      </c>
      <c r="K162" s="237">
        <f t="shared" si="48"/>
        <v>2019.3333333333333</v>
      </c>
      <c r="L162" s="245">
        <v>3487.33</v>
      </c>
      <c r="M162" s="239">
        <f t="shared" si="49"/>
        <v>3487.33</v>
      </c>
      <c r="N162" s="239">
        <f t="shared" si="50"/>
        <v>36.326354166666668</v>
      </c>
      <c r="O162" s="239">
        <f t="shared" si="51"/>
        <v>435.91624999999999</v>
      </c>
      <c r="P162" s="261">
        <f t="shared" si="52"/>
        <v>0</v>
      </c>
      <c r="Q162" s="261">
        <f t="shared" si="53"/>
        <v>3487.33</v>
      </c>
      <c r="R162" s="261">
        <f t="shared" si="54"/>
        <v>3487.33</v>
      </c>
      <c r="S162" s="261">
        <f t="shared" si="55"/>
        <v>0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3"/>
      <c r="KY162" s="33"/>
      <c r="KZ162" s="33"/>
      <c r="LA162" s="33"/>
      <c r="LB162" s="33"/>
      <c r="LC162" s="33"/>
      <c r="LD162" s="33"/>
      <c r="LE162" s="33"/>
      <c r="LF162" s="33"/>
      <c r="LG162" s="33"/>
      <c r="LH162" s="33"/>
      <c r="LI162" s="33"/>
      <c r="LJ162" s="33"/>
      <c r="LK162" s="33"/>
      <c r="LL162" s="33"/>
      <c r="LM162" s="33"/>
      <c r="LN162" s="33"/>
      <c r="LO162" s="33"/>
      <c r="LP162" s="33"/>
      <c r="LQ162" s="33"/>
      <c r="LR162" s="33"/>
      <c r="LS162" s="33"/>
      <c r="LT162" s="33"/>
      <c r="LU162" s="33"/>
      <c r="LV162" s="33"/>
      <c r="LW162" s="33"/>
      <c r="LX162" s="33"/>
      <c r="LY162" s="33"/>
      <c r="LZ162" s="33"/>
      <c r="MA162" s="33"/>
      <c r="MB162" s="33"/>
      <c r="MC162" s="33"/>
      <c r="MD162" s="33"/>
      <c r="ME162" s="33"/>
      <c r="MF162" s="33"/>
      <c r="MG162" s="33"/>
      <c r="MH162" s="33"/>
      <c r="MI162" s="33"/>
      <c r="MJ162" s="33"/>
      <c r="MK162" s="33"/>
      <c r="ML162" s="33"/>
      <c r="MM162" s="33"/>
      <c r="MN162" s="33"/>
      <c r="MO162" s="33"/>
      <c r="MP162" s="33"/>
      <c r="MQ162" s="33"/>
      <c r="MR162" s="33"/>
      <c r="MS162" s="33"/>
      <c r="MT162" s="33"/>
      <c r="MU162" s="33"/>
      <c r="MV162" s="33"/>
      <c r="MW162" s="33"/>
      <c r="MX162" s="33"/>
      <c r="MY162" s="33"/>
      <c r="MZ162" s="33"/>
      <c r="NA162" s="33"/>
      <c r="NB162" s="33"/>
      <c r="NC162" s="33"/>
      <c r="ND162" s="33"/>
      <c r="NE162" s="33"/>
      <c r="NF162" s="33"/>
      <c r="NG162" s="33"/>
      <c r="NH162" s="33"/>
      <c r="NI162" s="33"/>
      <c r="NJ162" s="33"/>
      <c r="NK162" s="33"/>
      <c r="NL162" s="33"/>
      <c r="NM162" s="33"/>
      <c r="NN162" s="33"/>
      <c r="NO162" s="33"/>
      <c r="NP162" s="33"/>
      <c r="NQ162" s="33"/>
      <c r="NR162" s="33"/>
      <c r="NS162" s="33"/>
      <c r="NT162" s="33"/>
      <c r="NU162" s="33"/>
      <c r="NV162" s="33"/>
      <c r="NW162" s="33"/>
      <c r="NX162" s="33"/>
      <c r="NY162" s="33"/>
      <c r="NZ162" s="33"/>
      <c r="OA162" s="33"/>
      <c r="OB162" s="33"/>
      <c r="OC162" s="33"/>
      <c r="OD162" s="33"/>
      <c r="OE162" s="33"/>
      <c r="OF162" s="33"/>
      <c r="OG162" s="33"/>
      <c r="OH162" s="33"/>
      <c r="OI162" s="33"/>
      <c r="OJ162" s="33"/>
      <c r="OK162" s="33"/>
      <c r="OL162" s="33"/>
      <c r="OM162" s="33"/>
      <c r="ON162" s="33"/>
      <c r="OO162" s="33"/>
      <c r="OP162" s="33"/>
      <c r="OQ162" s="33"/>
      <c r="OR162" s="33"/>
      <c r="OS162" s="33"/>
      <c r="OT162" s="33"/>
      <c r="OU162" s="33"/>
      <c r="OV162" s="33"/>
      <c r="OW162" s="33"/>
      <c r="OX162" s="33"/>
      <c r="OY162" s="33"/>
      <c r="OZ162" s="33"/>
      <c r="PA162" s="33"/>
      <c r="PB162" s="33"/>
      <c r="PC162" s="33"/>
      <c r="PD162" s="33"/>
      <c r="PE162" s="33"/>
      <c r="PF162" s="33"/>
      <c r="PG162" s="33"/>
      <c r="PH162" s="33"/>
      <c r="PI162" s="33"/>
      <c r="PJ162" s="33"/>
      <c r="PK162" s="33"/>
      <c r="PL162" s="33"/>
      <c r="PM162" s="33"/>
      <c r="PN162" s="33"/>
      <c r="PO162" s="33"/>
      <c r="PP162" s="33"/>
      <c r="PQ162" s="33"/>
      <c r="PR162" s="33"/>
      <c r="PS162" s="33"/>
      <c r="PT162" s="33"/>
      <c r="PU162" s="33"/>
      <c r="PV162" s="33"/>
      <c r="PW162" s="33"/>
      <c r="PX162" s="33"/>
      <c r="PY162" s="33"/>
      <c r="PZ162" s="33"/>
      <c r="QA162" s="33"/>
      <c r="QB162" s="33"/>
      <c r="QC162" s="33"/>
      <c r="QD162" s="33"/>
      <c r="QE162" s="33"/>
      <c r="QF162" s="33"/>
      <c r="QG162" s="33"/>
      <c r="QH162" s="33"/>
      <c r="QI162" s="33"/>
      <c r="QJ162" s="33"/>
      <c r="QK162" s="33"/>
      <c r="QL162" s="33"/>
      <c r="QM162" s="33"/>
      <c r="QN162" s="33"/>
      <c r="QO162" s="33"/>
      <c r="QP162" s="33"/>
      <c r="QQ162" s="33"/>
      <c r="QR162" s="33"/>
      <c r="QS162" s="33"/>
      <c r="QT162" s="33"/>
      <c r="QU162" s="33"/>
      <c r="QV162" s="33"/>
      <c r="QW162" s="33"/>
      <c r="QX162" s="33"/>
      <c r="QY162" s="33"/>
      <c r="QZ162" s="33"/>
      <c r="RA162" s="33"/>
      <c r="RB162" s="33"/>
      <c r="RC162" s="33"/>
      <c r="RD162" s="33"/>
      <c r="RE162" s="33"/>
      <c r="RF162" s="33"/>
      <c r="RG162" s="33"/>
      <c r="RH162" s="33"/>
      <c r="RI162" s="33"/>
      <c r="RJ162" s="33"/>
      <c r="RK162" s="33"/>
      <c r="RL162" s="33"/>
      <c r="RM162" s="33"/>
      <c r="RN162" s="33"/>
      <c r="RO162" s="33"/>
      <c r="RP162" s="33"/>
      <c r="RQ162" s="33"/>
      <c r="RR162" s="33"/>
      <c r="RS162" s="33"/>
      <c r="RT162" s="33"/>
      <c r="RU162" s="33"/>
      <c r="RV162" s="33"/>
      <c r="RW162" s="33"/>
      <c r="RX162" s="33"/>
      <c r="RY162" s="33"/>
      <c r="RZ162" s="33"/>
      <c r="SA162" s="33"/>
      <c r="SB162" s="33"/>
      <c r="SC162" s="33"/>
      <c r="SD162" s="33"/>
      <c r="SE162" s="33"/>
      <c r="SF162" s="33"/>
      <c r="SG162" s="33"/>
      <c r="SH162" s="33"/>
      <c r="SI162" s="33"/>
      <c r="SJ162" s="33"/>
      <c r="SK162" s="33"/>
      <c r="SL162" s="33"/>
      <c r="SM162" s="33"/>
      <c r="SN162" s="33"/>
      <c r="SO162" s="33"/>
      <c r="SP162" s="33"/>
      <c r="SQ162" s="33"/>
      <c r="SR162" s="33"/>
      <c r="SS162" s="33"/>
      <c r="ST162" s="33"/>
      <c r="SU162" s="33"/>
      <c r="SV162" s="33"/>
      <c r="SW162" s="33"/>
      <c r="SX162" s="33"/>
      <c r="SY162" s="33"/>
      <c r="SZ162" s="33"/>
      <c r="TA162" s="33"/>
      <c r="TB162" s="33"/>
      <c r="TC162" s="33"/>
      <c r="TD162" s="33"/>
      <c r="TE162" s="33"/>
      <c r="TF162" s="33"/>
      <c r="TG162" s="33"/>
      <c r="TH162" s="33"/>
      <c r="TI162" s="33"/>
      <c r="TJ162" s="33"/>
      <c r="TK162" s="33"/>
      <c r="TL162" s="33"/>
      <c r="TM162" s="33"/>
      <c r="TN162" s="33"/>
      <c r="TO162" s="33"/>
      <c r="TP162" s="33"/>
      <c r="TQ162" s="33"/>
      <c r="TR162" s="33"/>
      <c r="TS162" s="33"/>
      <c r="TT162" s="33"/>
      <c r="TU162" s="33"/>
      <c r="TV162" s="33"/>
      <c r="TW162" s="33"/>
      <c r="TX162" s="33"/>
      <c r="TY162" s="33"/>
      <c r="TZ162" s="33"/>
      <c r="UA162" s="33"/>
      <c r="UB162" s="33"/>
      <c r="UC162" s="33"/>
      <c r="UD162" s="33"/>
      <c r="UE162" s="33"/>
      <c r="UF162" s="33"/>
      <c r="UG162" s="33"/>
      <c r="UH162" s="33"/>
      <c r="UI162" s="33"/>
      <c r="UJ162" s="33"/>
      <c r="UK162" s="33"/>
      <c r="UL162" s="33"/>
      <c r="UM162" s="33"/>
      <c r="UN162" s="33"/>
      <c r="UO162" s="33"/>
      <c r="UP162" s="33"/>
      <c r="UQ162" s="33"/>
      <c r="UR162" s="33"/>
      <c r="US162" s="33"/>
      <c r="UT162" s="33"/>
      <c r="UU162" s="33"/>
      <c r="UV162" s="33"/>
      <c r="UW162" s="33"/>
      <c r="UX162" s="33"/>
      <c r="UY162" s="33"/>
      <c r="UZ162" s="33"/>
      <c r="VA162" s="33"/>
      <c r="VB162" s="33"/>
      <c r="VC162" s="33"/>
      <c r="VD162" s="33"/>
      <c r="VE162" s="33"/>
      <c r="VF162" s="33"/>
      <c r="VG162" s="33"/>
      <c r="VH162" s="33"/>
      <c r="VI162" s="33"/>
      <c r="VJ162" s="33"/>
      <c r="VK162" s="33"/>
      <c r="VL162" s="33"/>
      <c r="VM162" s="33"/>
      <c r="VN162" s="33"/>
      <c r="VO162" s="33"/>
      <c r="VP162" s="33"/>
      <c r="VQ162" s="33"/>
      <c r="VR162" s="33"/>
      <c r="VS162" s="33"/>
      <c r="VT162" s="33"/>
      <c r="VU162" s="33"/>
      <c r="VV162" s="33"/>
      <c r="VW162" s="33"/>
      <c r="VX162" s="33"/>
      <c r="VY162" s="33"/>
      <c r="VZ162" s="33"/>
      <c r="WA162" s="33"/>
      <c r="WB162" s="33"/>
      <c r="WC162" s="33"/>
      <c r="WD162" s="33"/>
      <c r="WE162" s="33"/>
      <c r="WF162" s="33"/>
      <c r="WG162" s="33"/>
      <c r="WH162" s="33"/>
      <c r="WI162" s="33"/>
      <c r="WJ162" s="33"/>
      <c r="WK162" s="33"/>
      <c r="WL162" s="33"/>
      <c r="WM162" s="33"/>
      <c r="WN162" s="33"/>
      <c r="WO162" s="33"/>
      <c r="WP162" s="33"/>
      <c r="WQ162" s="33"/>
      <c r="WR162" s="33"/>
      <c r="WS162" s="33"/>
      <c r="WT162" s="33"/>
      <c r="WU162" s="33"/>
      <c r="WV162" s="33"/>
      <c r="WW162" s="33"/>
      <c r="WX162" s="33"/>
      <c r="WY162" s="33"/>
      <c r="WZ162" s="33"/>
      <c r="XA162" s="33"/>
      <c r="XB162" s="33"/>
      <c r="XC162" s="33"/>
      <c r="XD162" s="33"/>
      <c r="XE162" s="33"/>
      <c r="XF162" s="33"/>
      <c r="XG162" s="33"/>
      <c r="XH162" s="33"/>
      <c r="XI162" s="33"/>
      <c r="XJ162" s="33"/>
      <c r="XK162" s="33"/>
      <c r="XL162" s="33"/>
      <c r="XM162" s="33"/>
      <c r="XN162" s="33"/>
      <c r="XO162" s="33"/>
      <c r="XP162" s="33"/>
      <c r="XQ162" s="33"/>
      <c r="XR162" s="33"/>
      <c r="XS162" s="33"/>
      <c r="XT162" s="33"/>
      <c r="XU162" s="33"/>
      <c r="XV162" s="33"/>
      <c r="XW162" s="33"/>
      <c r="XX162" s="33"/>
      <c r="XY162" s="33"/>
      <c r="XZ162" s="33"/>
      <c r="YA162" s="33"/>
      <c r="YB162" s="33"/>
      <c r="YC162" s="33"/>
      <c r="YD162" s="33"/>
      <c r="YE162" s="33"/>
      <c r="YF162" s="33"/>
      <c r="YG162" s="33"/>
      <c r="YH162" s="33"/>
      <c r="YI162" s="33"/>
      <c r="YJ162" s="33"/>
      <c r="YK162" s="33"/>
      <c r="YL162" s="33"/>
      <c r="YM162" s="33"/>
      <c r="YN162" s="33"/>
      <c r="YO162" s="33"/>
      <c r="YP162" s="33"/>
      <c r="YQ162" s="33"/>
      <c r="YR162" s="33"/>
      <c r="YS162" s="33"/>
      <c r="YT162" s="33"/>
      <c r="YU162" s="33"/>
      <c r="YV162" s="33"/>
      <c r="YW162" s="33"/>
      <c r="YX162" s="33"/>
      <c r="YY162" s="33"/>
      <c r="YZ162" s="33"/>
      <c r="ZA162" s="33"/>
      <c r="ZB162" s="33"/>
      <c r="ZC162" s="33"/>
      <c r="ZD162" s="33"/>
      <c r="ZE162" s="33"/>
      <c r="ZF162" s="33"/>
      <c r="ZG162" s="33"/>
      <c r="ZH162" s="33"/>
      <c r="ZI162" s="33"/>
      <c r="ZJ162" s="33"/>
      <c r="ZK162" s="33"/>
      <c r="ZL162" s="33"/>
      <c r="ZM162" s="33"/>
      <c r="ZN162" s="33"/>
      <c r="ZO162" s="33"/>
      <c r="ZP162" s="33"/>
      <c r="ZQ162" s="33"/>
      <c r="ZR162" s="33"/>
      <c r="ZS162" s="33"/>
      <c r="ZT162" s="33"/>
      <c r="ZU162" s="33"/>
      <c r="ZV162" s="33"/>
      <c r="ZW162" s="33"/>
      <c r="ZX162" s="33"/>
      <c r="ZY162" s="33"/>
      <c r="ZZ162" s="33"/>
      <c r="AAA162" s="33"/>
      <c r="AAB162" s="33"/>
      <c r="AAC162" s="33"/>
      <c r="AAD162" s="33"/>
      <c r="AAE162" s="33"/>
      <c r="AAF162" s="33"/>
      <c r="AAG162" s="33"/>
      <c r="AAH162" s="33"/>
      <c r="AAI162" s="33"/>
      <c r="AAJ162" s="33"/>
      <c r="AAK162" s="33"/>
      <c r="AAL162" s="33"/>
      <c r="AAM162" s="33"/>
      <c r="AAN162" s="33"/>
      <c r="AAO162" s="33"/>
      <c r="AAP162" s="33"/>
      <c r="AAQ162" s="33"/>
      <c r="AAR162" s="33"/>
      <c r="AAS162" s="33"/>
      <c r="AAT162" s="33"/>
      <c r="AAU162" s="33"/>
      <c r="AAV162" s="33"/>
      <c r="AAW162" s="33"/>
      <c r="AAX162" s="33"/>
      <c r="AAY162" s="33"/>
      <c r="AAZ162" s="33"/>
      <c r="ABA162" s="33"/>
      <c r="ABB162" s="33"/>
      <c r="ABC162" s="33"/>
      <c r="ABD162" s="33"/>
      <c r="ABE162" s="33"/>
      <c r="ABF162" s="33"/>
      <c r="ABG162" s="33"/>
      <c r="ABH162" s="33"/>
      <c r="ABI162" s="33"/>
      <c r="ABJ162" s="33"/>
      <c r="ABK162" s="33"/>
      <c r="ABL162" s="33"/>
      <c r="ABM162" s="33"/>
      <c r="ABN162" s="33"/>
      <c r="ABO162" s="33"/>
      <c r="ABP162" s="33"/>
      <c r="ABQ162" s="33"/>
      <c r="ABR162" s="33"/>
      <c r="ABS162" s="33"/>
      <c r="ABT162" s="33"/>
      <c r="ABU162" s="33"/>
      <c r="ABV162" s="33"/>
      <c r="ABW162" s="33"/>
      <c r="ABX162" s="33"/>
      <c r="ABY162" s="33"/>
      <c r="ABZ162" s="33"/>
      <c r="ACA162" s="33"/>
      <c r="ACB162" s="33"/>
      <c r="ACC162" s="33"/>
      <c r="ACD162" s="33"/>
      <c r="ACE162" s="33"/>
      <c r="ACF162" s="33"/>
      <c r="ACG162" s="33"/>
      <c r="ACH162" s="33"/>
      <c r="ACI162" s="33"/>
      <c r="ACJ162" s="33"/>
      <c r="ACK162" s="33"/>
      <c r="ACL162" s="33"/>
      <c r="ACM162" s="33"/>
      <c r="ACN162" s="33"/>
      <c r="ACO162" s="33"/>
      <c r="ACP162" s="33"/>
      <c r="ACQ162" s="33"/>
      <c r="ACR162" s="33"/>
      <c r="ACS162" s="33"/>
      <c r="ACT162" s="33"/>
      <c r="ACU162" s="33"/>
      <c r="ACV162" s="33"/>
      <c r="ACW162" s="33"/>
      <c r="ACX162" s="33"/>
      <c r="ACY162" s="33"/>
      <c r="ACZ162" s="33"/>
      <c r="ADA162" s="33"/>
      <c r="ADB162" s="33"/>
      <c r="ADC162" s="33"/>
      <c r="ADD162" s="33"/>
      <c r="ADE162" s="33"/>
      <c r="ADF162" s="33"/>
      <c r="ADG162" s="33"/>
      <c r="ADH162" s="33"/>
      <c r="ADI162" s="33"/>
      <c r="ADJ162" s="33"/>
      <c r="ADK162" s="33"/>
      <c r="ADL162" s="33"/>
      <c r="ADM162" s="33"/>
      <c r="ADN162" s="33"/>
      <c r="ADO162" s="33"/>
      <c r="ADP162" s="33"/>
      <c r="ADQ162" s="33"/>
      <c r="ADR162" s="33"/>
      <c r="ADS162" s="33"/>
      <c r="ADT162" s="33"/>
      <c r="ADU162" s="33"/>
      <c r="ADV162" s="33"/>
      <c r="ADW162" s="33"/>
      <c r="ADX162" s="33"/>
      <c r="ADY162" s="33"/>
      <c r="ADZ162" s="33"/>
      <c r="AEA162" s="33"/>
      <c r="AEB162" s="33"/>
      <c r="AEC162" s="33"/>
      <c r="AED162" s="33"/>
      <c r="AEE162" s="33"/>
      <c r="AEF162" s="33"/>
      <c r="AEG162" s="33"/>
      <c r="AEH162" s="33"/>
      <c r="AEI162" s="33"/>
      <c r="AEJ162" s="33"/>
      <c r="AEK162" s="33"/>
      <c r="AEL162" s="33"/>
      <c r="AEM162" s="33"/>
      <c r="AEN162" s="33"/>
      <c r="AEO162" s="33"/>
      <c r="AEP162" s="33"/>
      <c r="AEQ162" s="33"/>
      <c r="AER162" s="33"/>
      <c r="AES162" s="33"/>
      <c r="AET162" s="33"/>
      <c r="AEU162" s="33"/>
      <c r="AEV162" s="33"/>
      <c r="AEW162" s="33"/>
      <c r="AEX162" s="33"/>
      <c r="AEY162" s="33"/>
      <c r="AEZ162" s="33"/>
      <c r="AFA162" s="33"/>
      <c r="AFB162" s="33"/>
      <c r="AFC162" s="33"/>
      <c r="AFD162" s="33"/>
      <c r="AFE162" s="33"/>
      <c r="AFF162" s="33"/>
      <c r="AFG162" s="33"/>
      <c r="AFH162" s="33"/>
      <c r="AFI162" s="33"/>
      <c r="AFJ162" s="33"/>
      <c r="AFK162" s="33"/>
      <c r="AFL162" s="33"/>
      <c r="AFM162" s="33"/>
      <c r="AFN162" s="33"/>
      <c r="AFO162" s="33"/>
      <c r="AFP162" s="33"/>
      <c r="AFQ162" s="33"/>
      <c r="AFR162" s="33"/>
      <c r="AFS162" s="33"/>
      <c r="AFT162" s="33"/>
      <c r="AFU162" s="33"/>
      <c r="AFV162" s="33"/>
      <c r="AFW162" s="33"/>
      <c r="AFX162" s="33"/>
      <c r="AFY162" s="33"/>
      <c r="AFZ162" s="33"/>
      <c r="AGA162" s="33"/>
      <c r="AGB162" s="33"/>
      <c r="AGC162" s="33"/>
      <c r="AGD162" s="33"/>
      <c r="AGE162" s="33"/>
      <c r="AGF162" s="33"/>
      <c r="AGG162" s="33"/>
      <c r="AGH162" s="33"/>
      <c r="AGI162" s="33"/>
      <c r="AGJ162" s="33"/>
      <c r="AGK162" s="33"/>
      <c r="AGL162" s="33"/>
      <c r="AGM162" s="33"/>
      <c r="AGN162" s="33"/>
      <c r="AGO162" s="33"/>
      <c r="AGP162" s="33"/>
      <c r="AGQ162" s="33"/>
      <c r="AGR162" s="33"/>
      <c r="AGS162" s="33"/>
      <c r="AGT162" s="33"/>
      <c r="AGU162" s="33"/>
      <c r="AGV162" s="33"/>
      <c r="AGW162" s="33"/>
      <c r="AGX162" s="33"/>
      <c r="AGY162" s="33"/>
      <c r="AGZ162" s="33"/>
      <c r="AHA162" s="33"/>
      <c r="AHB162" s="33"/>
      <c r="AHC162" s="33"/>
      <c r="AHD162" s="33"/>
      <c r="AHE162" s="33"/>
      <c r="AHF162" s="33"/>
      <c r="AHG162" s="33"/>
      <c r="AHH162" s="33"/>
      <c r="AHI162" s="33"/>
      <c r="AHJ162" s="33"/>
      <c r="AHK162" s="33"/>
      <c r="AHL162" s="33"/>
      <c r="AHM162" s="33"/>
      <c r="AHN162" s="33"/>
      <c r="AHO162" s="33"/>
      <c r="AHP162" s="33"/>
      <c r="AHQ162" s="33"/>
      <c r="AHR162" s="33"/>
      <c r="AHS162" s="33"/>
      <c r="AHT162" s="33"/>
      <c r="AHU162" s="33"/>
      <c r="AHV162" s="33"/>
      <c r="AHW162" s="33"/>
      <c r="AHX162" s="33"/>
      <c r="AHY162" s="33"/>
      <c r="AHZ162" s="33"/>
      <c r="AIA162" s="33"/>
      <c r="AIB162" s="33"/>
      <c r="AIC162" s="33"/>
      <c r="AID162" s="33"/>
      <c r="AIE162" s="33"/>
      <c r="AIF162" s="33"/>
      <c r="AIG162" s="33"/>
      <c r="AIH162" s="33"/>
      <c r="AII162" s="33"/>
      <c r="AIJ162" s="33"/>
      <c r="AIK162" s="33"/>
      <c r="AIL162" s="33"/>
      <c r="AIM162" s="33"/>
      <c r="AIN162" s="33"/>
      <c r="AIO162" s="33"/>
      <c r="AIP162" s="33"/>
      <c r="AIQ162" s="33"/>
      <c r="AIR162" s="33"/>
      <c r="AIS162" s="33"/>
      <c r="AIT162" s="33"/>
      <c r="AIU162" s="33"/>
      <c r="AIV162" s="33"/>
      <c r="AIW162" s="33"/>
      <c r="AIX162" s="33"/>
      <c r="AIY162" s="33"/>
      <c r="AIZ162" s="33"/>
      <c r="AJA162" s="33"/>
      <c r="AJB162" s="33"/>
      <c r="AJC162" s="33"/>
      <c r="AJD162" s="33"/>
      <c r="AJE162" s="33"/>
      <c r="AJF162" s="33"/>
      <c r="AJG162" s="33"/>
      <c r="AJH162" s="33"/>
      <c r="AJI162" s="33"/>
      <c r="AJJ162" s="33"/>
      <c r="AJK162" s="33"/>
      <c r="AJL162" s="33"/>
      <c r="AJM162" s="33"/>
      <c r="AJN162" s="33"/>
      <c r="AJO162" s="33"/>
      <c r="AJP162" s="33"/>
      <c r="AJQ162" s="33"/>
      <c r="AJR162" s="33"/>
      <c r="AJS162" s="33"/>
      <c r="AJT162" s="33"/>
      <c r="AJU162" s="33"/>
      <c r="AJV162" s="33"/>
      <c r="AJW162" s="33"/>
      <c r="AJX162" s="33"/>
      <c r="AJY162" s="33"/>
      <c r="AJZ162" s="33"/>
      <c r="AKA162" s="33"/>
      <c r="AKB162" s="33"/>
      <c r="AKC162" s="33"/>
      <c r="AKD162" s="33"/>
      <c r="AKE162" s="33"/>
      <c r="AKF162" s="33"/>
      <c r="AKG162" s="33"/>
      <c r="AKH162" s="33"/>
      <c r="AKI162" s="33"/>
      <c r="AKJ162" s="33"/>
      <c r="AKK162" s="33"/>
      <c r="AKL162" s="33"/>
      <c r="AKM162" s="33"/>
      <c r="AKN162" s="33"/>
      <c r="AKO162" s="33"/>
      <c r="AKP162" s="33"/>
      <c r="AKQ162" s="33"/>
      <c r="AKR162" s="33"/>
      <c r="AKS162" s="33"/>
      <c r="AKT162" s="33"/>
      <c r="AKU162" s="33"/>
      <c r="AKV162" s="33"/>
      <c r="AKW162" s="33"/>
      <c r="AKX162" s="33"/>
      <c r="AKY162" s="33"/>
      <c r="AKZ162" s="33"/>
      <c r="ALA162" s="33"/>
      <c r="ALB162" s="33"/>
      <c r="ALC162" s="33"/>
      <c r="ALD162" s="33"/>
      <c r="ALE162" s="33"/>
      <c r="ALF162" s="33"/>
      <c r="ALG162" s="33"/>
      <c r="ALH162" s="33"/>
      <c r="ALI162" s="33"/>
      <c r="ALJ162" s="33"/>
      <c r="ALK162" s="33"/>
      <c r="ALL162" s="33"/>
      <c r="ALM162" s="33"/>
      <c r="ALN162" s="33"/>
      <c r="ALO162" s="33"/>
      <c r="ALP162" s="33"/>
      <c r="ALQ162" s="33"/>
      <c r="ALR162" s="33"/>
      <c r="ALS162" s="33"/>
      <c r="ALT162" s="33"/>
      <c r="ALU162" s="33"/>
      <c r="ALV162" s="33"/>
      <c r="ALW162" s="33"/>
      <c r="ALX162" s="33"/>
      <c r="ALY162" s="33"/>
      <c r="ALZ162" s="33"/>
      <c r="AMA162" s="33"/>
      <c r="AMB162" s="33"/>
      <c r="AMC162" s="33"/>
      <c r="AMD162" s="33"/>
      <c r="AME162" s="33"/>
      <c r="AMF162" s="33"/>
      <c r="AMG162" s="33"/>
      <c r="AMH162" s="33"/>
      <c r="AMI162" s="33"/>
      <c r="AMJ162" s="33"/>
      <c r="AMK162" s="33"/>
      <c r="AML162" s="33"/>
      <c r="AMM162" s="33"/>
      <c r="AMN162" s="33"/>
      <c r="AMO162" s="33"/>
      <c r="AMP162" s="33"/>
      <c r="AMQ162" s="33"/>
      <c r="AMR162" s="33"/>
      <c r="AMS162" s="33"/>
      <c r="AMT162" s="33"/>
      <c r="AMU162" s="33"/>
      <c r="AMV162" s="33"/>
      <c r="AMW162" s="33"/>
      <c r="AMX162" s="33"/>
      <c r="AMY162" s="33"/>
      <c r="AMZ162" s="33"/>
      <c r="ANA162" s="33"/>
      <c r="ANB162" s="33"/>
      <c r="ANC162" s="33"/>
      <c r="AND162" s="33"/>
      <c r="ANE162" s="33"/>
      <c r="ANF162" s="33"/>
      <c r="ANG162" s="33"/>
      <c r="ANH162" s="33"/>
      <c r="ANI162" s="33"/>
      <c r="ANJ162" s="33"/>
      <c r="ANK162" s="33"/>
      <c r="ANL162" s="33"/>
      <c r="ANM162" s="33"/>
      <c r="ANN162" s="33"/>
      <c r="ANO162" s="33"/>
      <c r="ANP162" s="33"/>
      <c r="ANQ162" s="33"/>
      <c r="ANR162" s="33"/>
      <c r="ANS162" s="33"/>
      <c r="ANT162" s="33"/>
      <c r="ANU162" s="33"/>
      <c r="ANV162" s="33"/>
      <c r="ANW162" s="33"/>
      <c r="ANX162" s="33"/>
      <c r="ANY162" s="33"/>
      <c r="ANZ162" s="33"/>
      <c r="AOA162" s="33"/>
      <c r="AOB162" s="33"/>
      <c r="AOC162" s="33"/>
      <c r="AOD162" s="33"/>
      <c r="AOE162" s="33"/>
      <c r="AOF162" s="33"/>
      <c r="AOG162" s="33"/>
      <c r="AOH162" s="33"/>
      <c r="AOI162" s="33"/>
      <c r="AOJ162" s="33"/>
      <c r="AOK162" s="33"/>
      <c r="AOL162" s="33"/>
      <c r="AOM162" s="33"/>
      <c r="AON162" s="33"/>
      <c r="AOO162" s="33"/>
      <c r="AOP162" s="33"/>
      <c r="AOQ162" s="33"/>
      <c r="AOR162" s="33"/>
      <c r="AOS162" s="33"/>
      <c r="AOT162" s="33"/>
      <c r="AOU162" s="33"/>
      <c r="AOV162" s="33"/>
      <c r="AOW162" s="33"/>
      <c r="AOX162" s="33"/>
      <c r="AOY162" s="33"/>
      <c r="AOZ162" s="33"/>
      <c r="APA162" s="33"/>
      <c r="APB162" s="33"/>
      <c r="APC162" s="33"/>
      <c r="APD162" s="33"/>
      <c r="APE162" s="33"/>
      <c r="APF162" s="33"/>
      <c r="APG162" s="33"/>
      <c r="APH162" s="33"/>
      <c r="API162" s="33"/>
      <c r="APJ162" s="33"/>
      <c r="APK162" s="33"/>
      <c r="APL162" s="33"/>
      <c r="APM162" s="33"/>
      <c r="APN162" s="33"/>
      <c r="APO162" s="33"/>
      <c r="APP162" s="33"/>
      <c r="APQ162" s="33"/>
      <c r="APR162" s="33"/>
      <c r="APS162" s="33"/>
      <c r="APT162" s="33"/>
      <c r="APU162" s="33"/>
      <c r="APV162" s="33"/>
      <c r="APW162" s="33"/>
      <c r="APX162" s="33"/>
      <c r="APY162" s="33"/>
      <c r="APZ162" s="33"/>
      <c r="AQA162" s="33"/>
      <c r="AQB162" s="33"/>
      <c r="AQC162" s="33"/>
      <c r="AQD162" s="33"/>
      <c r="AQE162" s="33"/>
      <c r="AQF162" s="33"/>
      <c r="AQG162" s="33"/>
      <c r="AQH162" s="33"/>
      <c r="AQI162" s="33"/>
      <c r="AQJ162" s="33"/>
      <c r="AQK162" s="33"/>
      <c r="AQL162" s="33"/>
      <c r="AQM162" s="33"/>
      <c r="AQN162" s="33"/>
      <c r="AQO162" s="33"/>
      <c r="AQP162" s="33"/>
      <c r="AQQ162" s="33"/>
      <c r="AQR162" s="33"/>
      <c r="AQS162" s="33"/>
      <c r="AQT162" s="33"/>
      <c r="AQU162" s="33"/>
      <c r="AQV162" s="33"/>
      <c r="AQW162" s="33"/>
      <c r="AQX162" s="33"/>
      <c r="AQY162" s="33"/>
      <c r="AQZ162" s="33"/>
      <c r="ARA162" s="33"/>
      <c r="ARB162" s="33"/>
      <c r="ARC162" s="33"/>
      <c r="ARD162" s="33"/>
      <c r="ARE162" s="33"/>
      <c r="ARF162" s="33"/>
      <c r="ARG162" s="33"/>
      <c r="ARH162" s="33"/>
      <c r="ARI162" s="33"/>
      <c r="ARJ162" s="33"/>
      <c r="ARK162" s="33"/>
      <c r="ARL162" s="33"/>
      <c r="ARM162" s="33"/>
      <c r="ARN162" s="33"/>
      <c r="ARO162" s="33"/>
      <c r="ARP162" s="33"/>
      <c r="ARQ162" s="33"/>
      <c r="ARR162" s="33"/>
      <c r="ARS162" s="33"/>
      <c r="ART162" s="33"/>
      <c r="ARU162" s="33"/>
      <c r="ARV162" s="33"/>
      <c r="ARW162" s="33"/>
      <c r="ARX162" s="33"/>
      <c r="ARY162" s="33"/>
      <c r="ARZ162" s="33"/>
      <c r="ASA162" s="33"/>
      <c r="ASB162" s="33"/>
      <c r="ASC162" s="33"/>
      <c r="ASD162" s="33"/>
      <c r="ASE162" s="33"/>
      <c r="ASF162" s="33"/>
      <c r="ASG162" s="33"/>
      <c r="ASH162" s="33"/>
      <c r="ASI162" s="33"/>
      <c r="ASJ162" s="33"/>
      <c r="ASK162" s="33"/>
      <c r="ASL162" s="33"/>
      <c r="ASM162" s="33"/>
      <c r="ASN162" s="33"/>
      <c r="ASO162" s="33"/>
      <c r="ASP162" s="33"/>
      <c r="ASQ162" s="33"/>
      <c r="ASR162" s="33"/>
      <c r="ASS162" s="33"/>
      <c r="AST162" s="33"/>
      <c r="ASU162" s="33"/>
      <c r="ASV162" s="33"/>
      <c r="ASW162" s="33"/>
      <c r="ASX162" s="33"/>
      <c r="ASY162" s="33"/>
      <c r="ASZ162" s="33"/>
      <c r="ATA162" s="33"/>
      <c r="ATB162" s="33"/>
      <c r="ATC162" s="33"/>
      <c r="ATD162" s="33"/>
      <c r="ATE162" s="33"/>
      <c r="ATF162" s="33"/>
      <c r="ATG162" s="33"/>
      <c r="ATH162" s="33"/>
      <c r="ATI162" s="33"/>
      <c r="ATJ162" s="33"/>
      <c r="ATK162" s="33"/>
      <c r="ATL162" s="33"/>
      <c r="ATM162" s="33"/>
      <c r="ATN162" s="33"/>
      <c r="ATO162" s="33"/>
      <c r="ATP162" s="33"/>
      <c r="ATQ162" s="33"/>
      <c r="ATR162" s="33"/>
      <c r="ATS162" s="33"/>
      <c r="ATT162" s="33"/>
      <c r="ATU162" s="33"/>
      <c r="ATV162" s="33"/>
      <c r="ATW162" s="33"/>
      <c r="ATX162" s="33"/>
      <c r="ATY162" s="33"/>
      <c r="ATZ162" s="33"/>
      <c r="AUA162" s="33"/>
      <c r="AUB162" s="33"/>
      <c r="AUC162" s="33"/>
      <c r="AUD162" s="33"/>
      <c r="AUE162" s="33"/>
      <c r="AUF162" s="33"/>
      <c r="AUG162" s="33"/>
      <c r="AUH162" s="33"/>
      <c r="AUI162" s="33"/>
      <c r="AUJ162" s="33"/>
      <c r="AUK162" s="33"/>
      <c r="AUL162" s="33"/>
      <c r="AUM162" s="33"/>
      <c r="AUN162" s="33"/>
      <c r="AUO162" s="33"/>
      <c r="AUP162" s="33"/>
      <c r="AUQ162" s="33"/>
      <c r="AUR162" s="33"/>
      <c r="AUS162" s="33"/>
      <c r="AUT162" s="33"/>
      <c r="AUU162" s="33"/>
      <c r="AUV162" s="33"/>
      <c r="AUW162" s="33"/>
      <c r="AUX162" s="33"/>
      <c r="AUY162" s="33"/>
      <c r="AUZ162" s="33"/>
      <c r="AVA162" s="33"/>
      <c r="AVB162" s="33"/>
      <c r="AVC162" s="33"/>
      <c r="AVD162" s="33"/>
      <c r="AVE162" s="33"/>
      <c r="AVF162" s="33"/>
      <c r="AVG162" s="33"/>
      <c r="AVH162" s="33"/>
      <c r="AVI162" s="33"/>
      <c r="AVJ162" s="33"/>
      <c r="AVK162" s="33"/>
      <c r="AVL162" s="33"/>
      <c r="AVM162" s="33"/>
      <c r="AVN162" s="33"/>
      <c r="AVO162" s="33"/>
      <c r="AVP162" s="33"/>
      <c r="AVQ162" s="33"/>
      <c r="AVR162" s="33"/>
      <c r="AVS162" s="33"/>
      <c r="AVT162" s="33"/>
      <c r="AVU162" s="33"/>
      <c r="AVV162" s="33"/>
      <c r="AVW162" s="33"/>
      <c r="AVX162" s="33"/>
      <c r="AVY162" s="33"/>
      <c r="AVZ162" s="33"/>
      <c r="AWA162" s="33"/>
      <c r="AWB162" s="33"/>
      <c r="AWC162" s="33"/>
      <c r="AWD162" s="33"/>
      <c r="AWE162" s="33"/>
      <c r="AWF162" s="33"/>
      <c r="AWG162" s="33"/>
      <c r="AWH162" s="33"/>
      <c r="AWI162" s="33"/>
      <c r="AWJ162" s="33"/>
      <c r="AWK162" s="33"/>
      <c r="AWL162" s="33"/>
      <c r="AWM162" s="33"/>
      <c r="AWN162" s="33"/>
      <c r="AWO162" s="33"/>
      <c r="AWP162" s="33"/>
      <c r="AWQ162" s="33"/>
      <c r="AWR162" s="33"/>
      <c r="AWS162" s="33"/>
      <c r="AWT162" s="33"/>
      <c r="AWU162" s="33"/>
      <c r="AWV162" s="33"/>
      <c r="AWW162" s="33"/>
      <c r="AWX162" s="33"/>
      <c r="AWY162" s="33"/>
      <c r="AWZ162" s="33"/>
      <c r="AXA162" s="33"/>
      <c r="AXB162" s="33"/>
      <c r="AXC162" s="33"/>
      <c r="AXD162" s="33"/>
      <c r="AXE162" s="33"/>
      <c r="AXF162" s="33"/>
      <c r="AXG162" s="33"/>
      <c r="AXH162" s="33"/>
      <c r="AXI162" s="33"/>
      <c r="AXJ162" s="33"/>
      <c r="AXK162" s="33"/>
      <c r="AXL162" s="33"/>
      <c r="AXM162" s="33"/>
      <c r="AXN162" s="33"/>
      <c r="AXO162" s="33"/>
      <c r="AXP162" s="33"/>
      <c r="AXQ162" s="33"/>
      <c r="AXR162" s="33"/>
      <c r="AXS162" s="33"/>
      <c r="AXT162" s="33"/>
      <c r="AXU162" s="33"/>
      <c r="AXV162" s="33"/>
      <c r="AXW162" s="33"/>
      <c r="AXX162" s="33"/>
      <c r="AXY162" s="33"/>
      <c r="AXZ162" s="33"/>
      <c r="AYA162" s="33"/>
      <c r="AYB162" s="33"/>
      <c r="AYC162" s="33"/>
      <c r="AYD162" s="33"/>
      <c r="AYE162" s="33"/>
      <c r="AYF162" s="33"/>
      <c r="AYG162" s="33"/>
      <c r="AYH162" s="33"/>
      <c r="AYI162" s="33"/>
      <c r="AYJ162" s="33"/>
      <c r="AYK162" s="33"/>
      <c r="AYL162" s="33"/>
      <c r="AYM162" s="33"/>
      <c r="AYN162" s="33"/>
      <c r="AYO162" s="33"/>
      <c r="AYP162" s="33"/>
      <c r="AYQ162" s="33"/>
      <c r="AYR162" s="33"/>
      <c r="AYS162" s="33"/>
      <c r="AYT162" s="33"/>
      <c r="AYU162" s="33"/>
      <c r="AYV162" s="33"/>
      <c r="AYW162" s="33"/>
      <c r="AYX162" s="33"/>
      <c r="AYY162" s="33"/>
      <c r="AYZ162" s="33"/>
      <c r="AZA162" s="33"/>
      <c r="AZB162" s="33"/>
      <c r="AZC162" s="33"/>
      <c r="AZD162" s="33"/>
      <c r="AZE162" s="33"/>
      <c r="AZF162" s="33"/>
      <c r="AZG162" s="33"/>
      <c r="AZH162" s="33"/>
      <c r="AZI162" s="33"/>
      <c r="AZJ162" s="33"/>
      <c r="AZK162" s="33"/>
      <c r="AZL162" s="33"/>
      <c r="AZM162" s="33"/>
      <c r="AZN162" s="33"/>
      <c r="AZO162" s="33"/>
      <c r="AZP162" s="33"/>
      <c r="AZQ162" s="33"/>
      <c r="AZR162" s="33"/>
      <c r="AZS162" s="33"/>
      <c r="AZT162" s="33"/>
      <c r="AZU162" s="33"/>
      <c r="AZV162" s="33"/>
      <c r="AZW162" s="33"/>
      <c r="AZX162" s="33"/>
      <c r="AZY162" s="33"/>
      <c r="AZZ162" s="33"/>
      <c r="BAA162" s="33"/>
      <c r="BAB162" s="33"/>
      <c r="BAC162" s="33"/>
      <c r="BAD162" s="33"/>
      <c r="BAE162" s="33"/>
      <c r="BAF162" s="33"/>
      <c r="BAG162" s="33"/>
      <c r="BAH162" s="33"/>
      <c r="BAI162" s="33"/>
      <c r="BAJ162" s="33"/>
      <c r="BAK162" s="33"/>
      <c r="BAL162" s="33"/>
      <c r="BAM162" s="33"/>
      <c r="BAN162" s="33"/>
      <c r="BAO162" s="33"/>
      <c r="BAP162" s="33"/>
      <c r="BAQ162" s="33"/>
      <c r="BAR162" s="33"/>
      <c r="BAS162" s="33"/>
      <c r="BAT162" s="33"/>
      <c r="BAU162" s="33"/>
      <c r="BAV162" s="33"/>
      <c r="BAW162" s="33"/>
      <c r="BAX162" s="33"/>
      <c r="BAY162" s="33"/>
      <c r="BAZ162" s="33"/>
      <c r="BBA162" s="33"/>
      <c r="BBB162" s="33"/>
      <c r="BBC162" s="33"/>
      <c r="BBD162" s="33"/>
      <c r="BBE162" s="33"/>
      <c r="BBF162" s="33"/>
      <c r="BBG162" s="33"/>
      <c r="BBH162" s="33"/>
      <c r="BBI162" s="33"/>
      <c r="BBJ162" s="33"/>
      <c r="BBK162" s="33"/>
      <c r="BBL162" s="33"/>
      <c r="BBM162" s="33"/>
      <c r="BBN162" s="33"/>
      <c r="BBO162" s="33"/>
      <c r="BBP162" s="33"/>
      <c r="BBQ162" s="33"/>
      <c r="BBR162" s="33"/>
      <c r="BBS162" s="33"/>
      <c r="BBT162" s="33"/>
      <c r="BBU162" s="33"/>
      <c r="BBV162" s="33"/>
      <c r="BBW162" s="33"/>
      <c r="BBX162" s="33"/>
      <c r="BBY162" s="33"/>
      <c r="BBZ162" s="33"/>
      <c r="BCA162" s="33"/>
      <c r="BCB162" s="33"/>
      <c r="BCC162" s="33"/>
      <c r="BCD162" s="33"/>
      <c r="BCE162" s="33"/>
      <c r="BCF162" s="33"/>
      <c r="BCG162" s="33"/>
      <c r="BCH162" s="33"/>
      <c r="BCI162" s="33"/>
      <c r="BCJ162" s="33"/>
      <c r="BCK162" s="33"/>
      <c r="BCL162" s="33"/>
      <c r="BCM162" s="33"/>
      <c r="BCN162" s="33"/>
      <c r="BCO162" s="33"/>
      <c r="BCP162" s="33"/>
      <c r="BCQ162" s="33"/>
      <c r="BCR162" s="33"/>
      <c r="BCS162" s="33"/>
      <c r="BCT162" s="33"/>
      <c r="BCU162" s="33"/>
      <c r="BCV162" s="33"/>
      <c r="BCW162" s="33"/>
      <c r="BCX162" s="33"/>
      <c r="BCY162" s="33"/>
      <c r="BCZ162" s="33"/>
      <c r="BDA162" s="33"/>
      <c r="BDB162" s="33"/>
      <c r="BDC162" s="33"/>
      <c r="BDD162" s="33"/>
      <c r="BDE162" s="33"/>
      <c r="BDF162" s="33"/>
      <c r="BDG162" s="33"/>
      <c r="BDH162" s="33"/>
      <c r="BDI162" s="33"/>
      <c r="BDJ162" s="33"/>
      <c r="BDK162" s="33"/>
      <c r="BDL162" s="33"/>
      <c r="BDM162" s="33"/>
      <c r="BDN162" s="33"/>
      <c r="BDO162" s="33"/>
      <c r="BDP162" s="33"/>
      <c r="BDQ162" s="33"/>
      <c r="BDR162" s="33"/>
      <c r="BDS162" s="33"/>
      <c r="BDT162" s="33"/>
      <c r="BDU162" s="33"/>
      <c r="BDV162" s="33"/>
      <c r="BDW162" s="33"/>
      <c r="BDX162" s="33"/>
      <c r="BDY162" s="33"/>
      <c r="BDZ162" s="33"/>
      <c r="BEA162" s="33"/>
      <c r="BEB162" s="33"/>
      <c r="BEC162" s="33"/>
      <c r="BED162" s="33"/>
      <c r="BEE162" s="33"/>
      <c r="BEF162" s="33"/>
      <c r="BEG162" s="33"/>
      <c r="BEH162" s="33"/>
      <c r="BEI162" s="33"/>
      <c r="BEJ162" s="33"/>
      <c r="BEK162" s="33"/>
      <c r="BEL162" s="33"/>
      <c r="BEM162" s="33"/>
      <c r="BEN162" s="33"/>
      <c r="BEO162" s="33"/>
      <c r="BEP162" s="33"/>
      <c r="BEQ162" s="33"/>
      <c r="BER162" s="33"/>
      <c r="BES162" s="33"/>
      <c r="BET162" s="33"/>
      <c r="BEU162" s="33"/>
      <c r="BEV162" s="33"/>
      <c r="BEW162" s="33"/>
      <c r="BEX162" s="33"/>
      <c r="BEY162" s="33"/>
      <c r="BEZ162" s="33"/>
      <c r="BFA162" s="33"/>
      <c r="BFB162" s="33"/>
      <c r="BFC162" s="33"/>
      <c r="BFD162" s="33"/>
      <c r="BFE162" s="33"/>
      <c r="BFF162" s="33"/>
      <c r="BFG162" s="33"/>
      <c r="BFH162" s="33"/>
      <c r="BFI162" s="33"/>
      <c r="BFJ162" s="33"/>
      <c r="BFK162" s="33"/>
      <c r="BFL162" s="33"/>
      <c r="BFM162" s="33"/>
      <c r="BFN162" s="33"/>
      <c r="BFO162" s="33"/>
      <c r="BFP162" s="33"/>
      <c r="BFQ162" s="33"/>
      <c r="BFR162" s="33"/>
      <c r="BFS162" s="33"/>
      <c r="BFT162" s="33"/>
      <c r="BFU162" s="33"/>
      <c r="BFV162" s="33"/>
      <c r="BFW162" s="33"/>
      <c r="BFX162" s="33"/>
      <c r="BFY162" s="33"/>
      <c r="BFZ162" s="33"/>
      <c r="BGA162" s="33"/>
      <c r="BGB162" s="33"/>
      <c r="BGC162" s="33"/>
      <c r="BGD162" s="33"/>
      <c r="BGE162" s="33"/>
      <c r="BGF162" s="33"/>
      <c r="BGG162" s="33"/>
      <c r="BGH162" s="33"/>
      <c r="BGI162" s="33"/>
      <c r="BGJ162" s="33"/>
      <c r="BGK162" s="33"/>
      <c r="BGL162" s="33"/>
      <c r="BGM162" s="33"/>
      <c r="BGN162" s="33"/>
      <c r="BGO162" s="33"/>
      <c r="BGP162" s="33"/>
      <c r="BGQ162" s="33"/>
      <c r="BGR162" s="33"/>
      <c r="BGS162" s="33"/>
      <c r="BGT162" s="33"/>
      <c r="BGU162" s="33"/>
      <c r="BGV162" s="33"/>
      <c r="BGW162" s="33"/>
      <c r="BGX162" s="33"/>
      <c r="BGY162" s="33"/>
      <c r="BGZ162" s="33"/>
      <c r="BHA162" s="33"/>
      <c r="BHB162" s="33"/>
      <c r="BHC162" s="33"/>
      <c r="BHD162" s="33"/>
      <c r="BHE162" s="33"/>
      <c r="BHF162" s="33"/>
      <c r="BHG162" s="33"/>
      <c r="BHH162" s="33"/>
      <c r="BHI162" s="33"/>
      <c r="BHJ162" s="33"/>
      <c r="BHK162" s="33"/>
      <c r="BHL162" s="33"/>
      <c r="BHM162" s="33"/>
      <c r="BHN162" s="33"/>
      <c r="BHO162" s="33"/>
      <c r="BHP162" s="33"/>
      <c r="BHQ162" s="33"/>
      <c r="BHR162" s="33"/>
      <c r="BHS162" s="33"/>
      <c r="BHT162" s="33"/>
      <c r="BHU162" s="33"/>
      <c r="BHV162" s="33"/>
      <c r="BHW162" s="33"/>
      <c r="BHX162" s="33"/>
      <c r="BHY162" s="33"/>
      <c r="BHZ162" s="33"/>
      <c r="BIA162" s="33"/>
      <c r="BIB162" s="33"/>
      <c r="BIC162" s="33"/>
      <c r="BID162" s="33"/>
      <c r="BIE162" s="33"/>
      <c r="BIF162" s="33"/>
      <c r="BIG162" s="33"/>
      <c r="BIH162" s="33"/>
      <c r="BII162" s="33"/>
      <c r="BIJ162" s="33"/>
      <c r="BIK162" s="33"/>
      <c r="BIL162" s="33"/>
      <c r="BIM162" s="33"/>
      <c r="BIN162" s="33"/>
      <c r="BIO162" s="33"/>
      <c r="BIP162" s="33"/>
      <c r="BIQ162" s="33"/>
      <c r="BIR162" s="33"/>
      <c r="BIS162" s="33"/>
      <c r="BIT162" s="33"/>
      <c r="BIU162" s="33"/>
      <c r="BIV162" s="33"/>
      <c r="BIW162" s="33"/>
      <c r="BIX162" s="33"/>
      <c r="BIY162" s="33"/>
      <c r="BIZ162" s="33"/>
      <c r="BJA162" s="33"/>
      <c r="BJB162" s="33"/>
      <c r="BJC162" s="33"/>
      <c r="BJD162" s="33"/>
      <c r="BJE162" s="33"/>
      <c r="BJF162" s="33"/>
      <c r="BJG162" s="33"/>
      <c r="BJH162" s="33"/>
      <c r="BJI162" s="33"/>
      <c r="BJJ162" s="33"/>
      <c r="BJK162" s="33"/>
      <c r="BJL162" s="33"/>
      <c r="BJM162" s="33"/>
      <c r="BJN162" s="33"/>
      <c r="BJO162" s="33"/>
      <c r="BJP162" s="33"/>
      <c r="BJQ162" s="33"/>
      <c r="BJR162" s="33"/>
      <c r="BJS162" s="33"/>
      <c r="BJT162" s="33"/>
      <c r="BJU162" s="33"/>
      <c r="BJV162" s="33"/>
      <c r="BJW162" s="33"/>
      <c r="BJX162" s="33"/>
      <c r="BJY162" s="33"/>
      <c r="BJZ162" s="33"/>
      <c r="BKA162" s="33"/>
      <c r="BKB162" s="33"/>
      <c r="BKC162" s="33"/>
      <c r="BKD162" s="33"/>
      <c r="BKE162" s="33"/>
      <c r="BKF162" s="33"/>
      <c r="BKG162" s="33"/>
      <c r="BKH162" s="33"/>
      <c r="BKI162" s="33"/>
      <c r="BKJ162" s="33"/>
      <c r="BKK162" s="33"/>
      <c r="BKL162" s="33"/>
      <c r="BKM162" s="33"/>
      <c r="BKN162" s="33"/>
      <c r="BKO162" s="33"/>
      <c r="BKP162" s="33"/>
      <c r="BKQ162" s="33"/>
      <c r="BKR162" s="33"/>
      <c r="BKS162" s="33"/>
      <c r="BKT162" s="33"/>
      <c r="BKU162" s="33"/>
      <c r="BKV162" s="33"/>
      <c r="BKW162" s="33"/>
      <c r="BKX162" s="33"/>
      <c r="BKY162" s="33"/>
      <c r="BKZ162" s="33"/>
      <c r="BLA162" s="33"/>
      <c r="BLB162" s="33"/>
      <c r="BLC162" s="33"/>
      <c r="BLD162" s="33"/>
      <c r="BLE162" s="33"/>
      <c r="BLF162" s="33"/>
      <c r="BLG162" s="33"/>
      <c r="BLH162" s="33"/>
      <c r="BLI162" s="33"/>
      <c r="BLJ162" s="33"/>
      <c r="BLK162" s="33"/>
      <c r="BLL162" s="33"/>
      <c r="BLM162" s="33"/>
      <c r="BLN162" s="33"/>
      <c r="BLO162" s="33"/>
      <c r="BLP162" s="33"/>
      <c r="BLQ162" s="33"/>
      <c r="BLR162" s="33"/>
      <c r="BLS162" s="33"/>
      <c r="BLT162" s="33"/>
      <c r="BLU162" s="33"/>
      <c r="BLV162" s="33"/>
      <c r="BLW162" s="33"/>
      <c r="BLX162" s="33"/>
      <c r="BLY162" s="33"/>
      <c r="BLZ162" s="33"/>
      <c r="BMA162" s="33"/>
      <c r="BMB162" s="33"/>
      <c r="BMC162" s="33"/>
      <c r="BMD162" s="33"/>
      <c r="BME162" s="33"/>
      <c r="BMF162" s="33"/>
      <c r="BMG162" s="33"/>
      <c r="BMH162" s="33"/>
      <c r="BMI162" s="33"/>
      <c r="BMJ162" s="33"/>
      <c r="BMK162" s="33"/>
      <c r="BML162" s="33"/>
      <c r="BMM162" s="33"/>
      <c r="BMN162" s="33"/>
      <c r="BMO162" s="33"/>
      <c r="BMP162" s="33"/>
      <c r="BMQ162" s="33"/>
      <c r="BMR162" s="33"/>
      <c r="BMS162" s="33"/>
      <c r="BMT162" s="33"/>
      <c r="BMU162" s="33"/>
      <c r="BMV162" s="33"/>
      <c r="BMW162" s="33"/>
      <c r="BMX162" s="33"/>
      <c r="BMY162" s="33"/>
      <c r="BMZ162" s="33"/>
      <c r="BNA162" s="33"/>
      <c r="BNB162" s="33"/>
      <c r="BNC162" s="33"/>
      <c r="BND162" s="33"/>
      <c r="BNE162" s="33"/>
      <c r="BNF162" s="33"/>
      <c r="BNG162" s="33"/>
      <c r="BNH162" s="33"/>
      <c r="BNI162" s="33"/>
      <c r="BNJ162" s="33"/>
      <c r="BNK162" s="33"/>
      <c r="BNL162" s="33"/>
      <c r="BNM162" s="33"/>
      <c r="BNN162" s="33"/>
      <c r="BNO162" s="33"/>
      <c r="BNP162" s="33"/>
      <c r="BNQ162" s="33"/>
      <c r="BNR162" s="33"/>
      <c r="BNS162" s="33"/>
      <c r="BNT162" s="33"/>
      <c r="BNU162" s="33"/>
      <c r="BNV162" s="33"/>
      <c r="BNW162" s="33"/>
      <c r="BNX162" s="33"/>
      <c r="BNY162" s="33"/>
      <c r="BNZ162" s="33"/>
      <c r="BOA162" s="33"/>
      <c r="BOB162" s="33"/>
      <c r="BOC162" s="33"/>
      <c r="BOD162" s="33"/>
      <c r="BOE162" s="33"/>
      <c r="BOF162" s="33"/>
      <c r="BOG162" s="33"/>
      <c r="BOH162" s="33"/>
      <c r="BOI162" s="33"/>
      <c r="BOJ162" s="33"/>
      <c r="BOK162" s="33"/>
      <c r="BOL162" s="33"/>
      <c r="BOM162" s="33"/>
      <c r="BON162" s="33"/>
      <c r="BOO162" s="33"/>
      <c r="BOP162" s="33"/>
      <c r="BOQ162" s="33"/>
      <c r="BOR162" s="33"/>
      <c r="BOS162" s="33"/>
      <c r="BOT162" s="33"/>
      <c r="BOU162" s="33"/>
      <c r="BOV162" s="33"/>
      <c r="BOW162" s="33"/>
      <c r="BOX162" s="33"/>
      <c r="BOY162" s="33"/>
      <c r="BOZ162" s="33"/>
      <c r="BPA162" s="33"/>
      <c r="BPB162" s="33"/>
      <c r="BPC162" s="33"/>
      <c r="BPD162" s="33"/>
      <c r="BPE162" s="33"/>
      <c r="BPF162" s="33"/>
      <c r="BPG162" s="33"/>
      <c r="BPH162" s="33"/>
      <c r="BPI162" s="33"/>
      <c r="BPJ162" s="33"/>
      <c r="BPK162" s="33"/>
      <c r="BPL162" s="33"/>
      <c r="BPM162" s="33"/>
      <c r="BPN162" s="33"/>
      <c r="BPO162" s="33"/>
      <c r="BPP162" s="33"/>
      <c r="BPQ162" s="33"/>
      <c r="BPR162" s="33"/>
      <c r="BPS162" s="33"/>
      <c r="BPT162" s="33"/>
      <c r="BPU162" s="33"/>
      <c r="BPV162" s="33"/>
      <c r="BPW162" s="33"/>
      <c r="BPX162" s="33"/>
      <c r="BPY162" s="33"/>
      <c r="BPZ162" s="33"/>
      <c r="BQA162" s="33"/>
      <c r="BQB162" s="33"/>
      <c r="BQC162" s="33"/>
      <c r="BQD162" s="33"/>
      <c r="BQE162" s="33"/>
      <c r="BQF162" s="33"/>
      <c r="BQG162" s="33"/>
      <c r="BQH162" s="33"/>
      <c r="BQI162" s="33"/>
      <c r="BQJ162" s="33"/>
      <c r="BQK162" s="33"/>
      <c r="BQL162" s="33"/>
      <c r="BQM162" s="33"/>
      <c r="BQN162" s="33"/>
      <c r="BQO162" s="33"/>
      <c r="BQP162" s="33"/>
      <c r="BQQ162" s="33"/>
      <c r="BQR162" s="33"/>
      <c r="BQS162" s="33"/>
      <c r="BQT162" s="33"/>
      <c r="BQU162" s="33"/>
      <c r="BQV162" s="33"/>
      <c r="BQW162" s="33"/>
      <c r="BQX162" s="33"/>
      <c r="BQY162" s="33"/>
      <c r="BQZ162" s="33"/>
      <c r="BRA162" s="33"/>
      <c r="BRB162" s="33"/>
      <c r="BRC162" s="33"/>
      <c r="BRD162" s="33"/>
      <c r="BRE162" s="33"/>
      <c r="BRF162" s="33"/>
      <c r="BRG162" s="33"/>
      <c r="BRH162" s="33"/>
      <c r="BRI162" s="33"/>
      <c r="BRJ162" s="33"/>
      <c r="BRK162" s="33"/>
      <c r="BRL162" s="33"/>
      <c r="BRM162" s="33"/>
      <c r="BRN162" s="33"/>
      <c r="BRO162" s="33"/>
      <c r="BRP162" s="33"/>
      <c r="BRQ162" s="33"/>
      <c r="BRR162" s="33"/>
      <c r="BRS162" s="33"/>
      <c r="BRT162" s="33"/>
      <c r="BRU162" s="33"/>
      <c r="BRV162" s="33"/>
      <c r="BRW162" s="33"/>
      <c r="BRX162" s="33"/>
      <c r="BRY162" s="33"/>
      <c r="BRZ162" s="33"/>
      <c r="BSA162" s="33"/>
      <c r="BSB162" s="33"/>
      <c r="BSC162" s="33"/>
      <c r="BSD162" s="33"/>
      <c r="BSE162" s="33"/>
      <c r="BSF162" s="33"/>
      <c r="BSG162" s="33"/>
      <c r="BSH162" s="33"/>
      <c r="BSI162" s="33"/>
      <c r="BSJ162" s="33"/>
      <c r="BSK162" s="33"/>
      <c r="BSL162" s="33"/>
      <c r="BSM162" s="33"/>
      <c r="BSN162" s="33"/>
      <c r="BSO162" s="33"/>
      <c r="BSP162" s="33"/>
      <c r="BSQ162" s="33"/>
      <c r="BSR162" s="33"/>
      <c r="BSS162" s="33"/>
      <c r="BST162" s="33"/>
      <c r="BSU162" s="33"/>
      <c r="BSV162" s="33"/>
      <c r="BSW162" s="33"/>
      <c r="BSX162" s="33"/>
      <c r="BSY162" s="33"/>
      <c r="BSZ162" s="33"/>
      <c r="BTA162" s="33"/>
      <c r="BTB162" s="33"/>
      <c r="BTC162" s="33"/>
      <c r="BTD162" s="33"/>
      <c r="BTE162" s="33"/>
      <c r="BTF162" s="33"/>
      <c r="BTG162" s="33"/>
      <c r="BTH162" s="33"/>
      <c r="BTI162" s="33"/>
      <c r="BTJ162" s="33"/>
      <c r="BTK162" s="33"/>
      <c r="BTL162" s="33"/>
      <c r="BTM162" s="33"/>
      <c r="BTN162" s="33"/>
      <c r="BTO162" s="33"/>
      <c r="BTP162" s="33"/>
      <c r="BTQ162" s="33"/>
      <c r="BTR162" s="33"/>
      <c r="BTS162" s="33"/>
      <c r="BTT162" s="33"/>
      <c r="BTU162" s="33"/>
      <c r="BTV162" s="33"/>
      <c r="BTW162" s="33"/>
      <c r="BTX162" s="33"/>
      <c r="BTY162" s="33"/>
      <c r="BTZ162" s="33"/>
      <c r="BUA162" s="33"/>
      <c r="BUB162" s="33"/>
      <c r="BUC162" s="33"/>
      <c r="BUD162" s="33"/>
      <c r="BUE162" s="33"/>
      <c r="BUF162" s="33"/>
      <c r="BUG162" s="33"/>
      <c r="BUH162" s="33"/>
      <c r="BUI162" s="33"/>
      <c r="BUJ162" s="33"/>
      <c r="BUK162" s="33"/>
      <c r="BUL162" s="33"/>
      <c r="BUM162" s="33"/>
      <c r="BUN162" s="33"/>
      <c r="BUO162" s="33"/>
      <c r="BUP162" s="33"/>
      <c r="BUQ162" s="33"/>
      <c r="BUR162" s="33"/>
      <c r="BUS162" s="33"/>
      <c r="BUT162" s="33"/>
      <c r="BUU162" s="33"/>
      <c r="BUV162" s="33"/>
      <c r="BUW162" s="33"/>
      <c r="BUX162" s="33"/>
      <c r="BUY162" s="33"/>
      <c r="BUZ162" s="33"/>
      <c r="BVA162" s="33"/>
      <c r="BVB162" s="33"/>
      <c r="BVC162" s="33"/>
      <c r="BVD162" s="33"/>
      <c r="BVE162" s="33"/>
      <c r="BVF162" s="33"/>
      <c r="BVG162" s="33"/>
      <c r="BVH162" s="33"/>
      <c r="BVI162" s="33"/>
      <c r="BVJ162" s="33"/>
      <c r="BVK162" s="33"/>
      <c r="BVL162" s="33"/>
      <c r="BVM162" s="33"/>
      <c r="BVN162" s="33"/>
      <c r="BVO162" s="33"/>
      <c r="BVP162" s="33"/>
      <c r="BVQ162" s="33"/>
      <c r="BVR162" s="33"/>
      <c r="BVS162" s="33"/>
      <c r="BVT162" s="33"/>
      <c r="BVU162" s="33"/>
      <c r="BVV162" s="33"/>
      <c r="BVW162" s="33"/>
      <c r="BVX162" s="33"/>
      <c r="BVY162" s="33"/>
      <c r="BVZ162" s="33"/>
      <c r="BWA162" s="33"/>
      <c r="BWB162" s="33"/>
      <c r="BWC162" s="33"/>
      <c r="BWD162" s="33"/>
      <c r="BWE162" s="33"/>
      <c r="BWF162" s="33"/>
      <c r="BWG162" s="33"/>
      <c r="BWH162" s="33"/>
      <c r="BWI162" s="33"/>
      <c r="BWJ162" s="33"/>
      <c r="BWK162" s="33"/>
      <c r="BWL162" s="33"/>
      <c r="BWM162" s="33"/>
      <c r="BWN162" s="33"/>
      <c r="BWO162" s="33"/>
      <c r="BWP162" s="33"/>
      <c r="BWQ162" s="33"/>
      <c r="BWR162" s="33"/>
      <c r="BWS162" s="33"/>
      <c r="BWT162" s="33"/>
      <c r="BWU162" s="33"/>
      <c r="BWV162" s="33"/>
      <c r="BWW162" s="33"/>
      <c r="BWX162" s="33"/>
      <c r="BWY162" s="33"/>
      <c r="BWZ162" s="33"/>
      <c r="BXA162" s="33"/>
      <c r="BXB162" s="33"/>
      <c r="BXC162" s="33"/>
      <c r="BXD162" s="33"/>
      <c r="BXE162" s="33"/>
      <c r="BXF162" s="33"/>
      <c r="BXG162" s="33"/>
      <c r="BXH162" s="33"/>
      <c r="BXI162" s="33"/>
      <c r="BXJ162" s="33"/>
      <c r="BXK162" s="33"/>
      <c r="BXL162" s="33"/>
      <c r="BXM162" s="33"/>
      <c r="BXN162" s="33"/>
      <c r="BXO162" s="33"/>
      <c r="BXP162" s="33"/>
      <c r="BXQ162" s="33"/>
      <c r="BXR162" s="33"/>
      <c r="BXS162" s="33"/>
      <c r="BXT162" s="33"/>
      <c r="BXU162" s="33"/>
      <c r="BXV162" s="33"/>
      <c r="BXW162" s="33"/>
      <c r="BXX162" s="33"/>
      <c r="BXY162" s="33"/>
      <c r="BXZ162" s="33"/>
      <c r="BYA162" s="33"/>
      <c r="BYB162" s="33"/>
      <c r="BYC162" s="33"/>
      <c r="BYD162" s="33"/>
      <c r="BYE162" s="33"/>
      <c r="BYF162" s="33"/>
      <c r="BYG162" s="33"/>
      <c r="BYH162" s="33"/>
      <c r="BYI162" s="33"/>
      <c r="BYJ162" s="33"/>
      <c r="BYK162" s="33"/>
      <c r="BYL162" s="33"/>
      <c r="BYM162" s="33"/>
      <c r="BYN162" s="33"/>
      <c r="BYO162" s="33"/>
      <c r="BYP162" s="33"/>
      <c r="BYQ162" s="33"/>
      <c r="BYR162" s="33"/>
      <c r="BYS162" s="33"/>
      <c r="BYT162" s="33"/>
      <c r="BYU162" s="33"/>
      <c r="BYV162" s="33"/>
      <c r="BYW162" s="33"/>
      <c r="BYX162" s="33"/>
      <c r="BYY162" s="33"/>
      <c r="BYZ162" s="33"/>
      <c r="BZA162" s="33"/>
      <c r="BZB162" s="33"/>
      <c r="BZC162" s="33"/>
      <c r="BZD162" s="33"/>
      <c r="BZE162" s="33"/>
      <c r="BZF162" s="33"/>
      <c r="BZG162" s="33"/>
      <c r="BZH162" s="33"/>
      <c r="BZI162" s="33"/>
      <c r="BZJ162" s="33"/>
      <c r="BZK162" s="33"/>
      <c r="BZL162" s="33"/>
      <c r="BZM162" s="33"/>
      <c r="BZN162" s="33"/>
      <c r="BZO162" s="33"/>
      <c r="BZP162" s="33"/>
      <c r="BZQ162" s="33"/>
      <c r="BZR162" s="33"/>
      <c r="BZS162" s="33"/>
      <c r="BZT162" s="33"/>
      <c r="BZU162" s="33"/>
      <c r="BZV162" s="33"/>
      <c r="BZW162" s="33"/>
      <c r="BZX162" s="33"/>
      <c r="BZY162" s="33"/>
      <c r="BZZ162" s="33"/>
      <c r="CAA162" s="33"/>
      <c r="CAB162" s="33"/>
      <c r="CAC162" s="33"/>
      <c r="CAD162" s="33"/>
      <c r="CAE162" s="33"/>
      <c r="CAF162" s="33"/>
      <c r="CAG162" s="33"/>
      <c r="CAH162" s="33"/>
      <c r="CAI162" s="33"/>
      <c r="CAJ162" s="33"/>
      <c r="CAK162" s="33"/>
      <c r="CAL162" s="33"/>
      <c r="CAM162" s="33"/>
      <c r="CAN162" s="33"/>
      <c r="CAO162" s="33"/>
      <c r="CAP162" s="33"/>
      <c r="CAQ162" s="33"/>
      <c r="CAR162" s="33"/>
      <c r="CAS162" s="33"/>
      <c r="CAT162" s="33"/>
      <c r="CAU162" s="33"/>
      <c r="CAV162" s="33"/>
      <c r="CAW162" s="33"/>
      <c r="CAX162" s="33"/>
      <c r="CAY162" s="33"/>
      <c r="CAZ162" s="33"/>
      <c r="CBA162" s="33"/>
      <c r="CBB162" s="33"/>
      <c r="CBC162" s="33"/>
      <c r="CBD162" s="33"/>
      <c r="CBE162" s="33"/>
      <c r="CBF162" s="33"/>
      <c r="CBG162" s="33"/>
      <c r="CBH162" s="33"/>
      <c r="CBI162" s="33"/>
      <c r="CBJ162" s="33"/>
      <c r="CBK162" s="33"/>
      <c r="CBL162" s="33"/>
      <c r="CBM162" s="33"/>
      <c r="CBN162" s="33"/>
      <c r="CBO162" s="33"/>
      <c r="CBP162" s="33"/>
      <c r="CBQ162" s="33"/>
      <c r="CBR162" s="33"/>
      <c r="CBS162" s="33"/>
      <c r="CBT162" s="33"/>
      <c r="CBU162" s="33"/>
      <c r="CBV162" s="33"/>
      <c r="CBW162" s="33"/>
      <c r="CBX162" s="33"/>
      <c r="CBY162" s="33"/>
      <c r="CBZ162" s="33"/>
      <c r="CCA162" s="33"/>
      <c r="CCB162" s="33"/>
      <c r="CCC162" s="33"/>
      <c r="CCD162" s="33"/>
      <c r="CCE162" s="33"/>
      <c r="CCF162" s="33"/>
      <c r="CCG162" s="33"/>
      <c r="CCH162" s="33"/>
      <c r="CCI162" s="33"/>
      <c r="CCJ162" s="33"/>
      <c r="CCK162" s="33"/>
      <c r="CCL162" s="33"/>
      <c r="CCM162" s="33"/>
      <c r="CCN162" s="33"/>
      <c r="CCO162" s="33"/>
      <c r="CCP162" s="33"/>
      <c r="CCQ162" s="33"/>
      <c r="CCR162" s="33"/>
      <c r="CCS162" s="33"/>
      <c r="CCT162" s="33"/>
      <c r="CCU162" s="33"/>
      <c r="CCV162" s="33"/>
      <c r="CCW162" s="33"/>
      <c r="CCX162" s="33"/>
      <c r="CCY162" s="33"/>
      <c r="CCZ162" s="33"/>
      <c r="CDA162" s="33"/>
      <c r="CDB162" s="33"/>
      <c r="CDC162" s="33"/>
      <c r="CDD162" s="33"/>
      <c r="CDE162" s="33"/>
      <c r="CDF162" s="33"/>
      <c r="CDG162" s="33"/>
      <c r="CDH162" s="33"/>
      <c r="CDI162" s="33"/>
      <c r="CDJ162" s="33"/>
      <c r="CDK162" s="33"/>
      <c r="CDL162" s="33"/>
      <c r="CDM162" s="33"/>
      <c r="CDN162" s="33"/>
      <c r="CDO162" s="33"/>
      <c r="CDP162" s="33"/>
      <c r="CDQ162" s="33"/>
      <c r="CDR162" s="33"/>
      <c r="CDS162" s="33"/>
      <c r="CDT162" s="33"/>
      <c r="CDU162" s="33"/>
      <c r="CDV162" s="33"/>
      <c r="CDW162" s="33"/>
      <c r="CDX162" s="33"/>
      <c r="CDY162" s="33"/>
      <c r="CDZ162" s="33"/>
      <c r="CEA162" s="33"/>
      <c r="CEB162" s="33"/>
      <c r="CEC162" s="33"/>
      <c r="CED162" s="33"/>
      <c r="CEE162" s="33"/>
      <c r="CEF162" s="33"/>
      <c r="CEG162" s="33"/>
      <c r="CEH162" s="33"/>
      <c r="CEI162" s="33"/>
      <c r="CEJ162" s="33"/>
      <c r="CEK162" s="33"/>
      <c r="CEL162" s="33"/>
      <c r="CEM162" s="33"/>
      <c r="CEN162" s="33"/>
      <c r="CEO162" s="33"/>
      <c r="CEP162" s="33"/>
      <c r="CEQ162" s="33"/>
      <c r="CER162" s="33"/>
      <c r="CES162" s="33"/>
      <c r="CET162" s="33"/>
      <c r="CEU162" s="33"/>
      <c r="CEV162" s="33"/>
      <c r="CEW162" s="33"/>
      <c r="CEX162" s="33"/>
      <c r="CEY162" s="33"/>
      <c r="CEZ162" s="33"/>
      <c r="CFA162" s="33"/>
      <c r="CFB162" s="33"/>
      <c r="CFC162" s="33"/>
      <c r="CFD162" s="33"/>
      <c r="CFE162" s="33"/>
      <c r="CFF162" s="33"/>
      <c r="CFG162" s="33"/>
      <c r="CFH162" s="33"/>
      <c r="CFI162" s="33"/>
      <c r="CFJ162" s="33"/>
      <c r="CFK162" s="33"/>
      <c r="CFL162" s="33"/>
      <c r="CFM162" s="33"/>
      <c r="CFN162" s="33"/>
      <c r="CFO162" s="33"/>
      <c r="CFP162" s="33"/>
      <c r="CFQ162" s="33"/>
      <c r="CFR162" s="33"/>
      <c r="CFS162" s="33"/>
      <c r="CFT162" s="33"/>
      <c r="CFU162" s="33"/>
      <c r="CFV162" s="33"/>
      <c r="CFW162" s="33"/>
      <c r="CFX162" s="33"/>
      <c r="CFY162" s="33"/>
      <c r="CFZ162" s="33"/>
      <c r="CGA162" s="33"/>
      <c r="CGB162" s="33"/>
      <c r="CGC162" s="33"/>
      <c r="CGD162" s="33"/>
      <c r="CGE162" s="33"/>
      <c r="CGF162" s="33"/>
      <c r="CGG162" s="33"/>
      <c r="CGH162" s="33"/>
      <c r="CGI162" s="33"/>
      <c r="CGJ162" s="33"/>
      <c r="CGK162" s="33"/>
      <c r="CGL162" s="33"/>
      <c r="CGM162" s="33"/>
      <c r="CGN162" s="33"/>
      <c r="CGO162" s="33"/>
      <c r="CGP162" s="33"/>
      <c r="CGQ162" s="33"/>
      <c r="CGR162" s="33"/>
      <c r="CGS162" s="33"/>
      <c r="CGT162" s="33"/>
      <c r="CGU162" s="33"/>
      <c r="CGV162" s="33"/>
      <c r="CGW162" s="33"/>
      <c r="CGX162" s="33"/>
      <c r="CGY162" s="33"/>
      <c r="CGZ162" s="33"/>
      <c r="CHA162" s="33"/>
      <c r="CHB162" s="33"/>
      <c r="CHC162" s="33"/>
      <c r="CHD162" s="33"/>
      <c r="CHE162" s="33"/>
      <c r="CHF162" s="33"/>
      <c r="CHG162" s="33"/>
      <c r="CHH162" s="33"/>
      <c r="CHI162" s="33"/>
      <c r="CHJ162" s="33"/>
      <c r="CHK162" s="33"/>
      <c r="CHL162" s="33"/>
      <c r="CHM162" s="33"/>
      <c r="CHN162" s="33"/>
      <c r="CHO162" s="33"/>
      <c r="CHP162" s="33"/>
      <c r="CHQ162" s="33"/>
      <c r="CHR162" s="33"/>
      <c r="CHS162" s="33"/>
      <c r="CHT162" s="33"/>
      <c r="CHU162" s="33"/>
      <c r="CHV162" s="33"/>
      <c r="CHW162" s="33"/>
      <c r="CHX162" s="33"/>
      <c r="CHY162" s="33"/>
      <c r="CHZ162" s="33"/>
      <c r="CIA162" s="33"/>
      <c r="CIB162" s="33"/>
      <c r="CIC162" s="33"/>
      <c r="CID162" s="33"/>
      <c r="CIE162" s="33"/>
      <c r="CIF162" s="33"/>
      <c r="CIG162" s="33"/>
      <c r="CIH162" s="33"/>
      <c r="CII162" s="33"/>
      <c r="CIJ162" s="33"/>
      <c r="CIK162" s="33"/>
      <c r="CIL162" s="33"/>
      <c r="CIM162" s="33"/>
      <c r="CIN162" s="33"/>
      <c r="CIO162" s="33"/>
      <c r="CIP162" s="33"/>
      <c r="CIQ162" s="33"/>
      <c r="CIR162" s="33"/>
      <c r="CIS162" s="33"/>
      <c r="CIT162" s="33"/>
      <c r="CIU162" s="33"/>
      <c r="CIV162" s="33"/>
      <c r="CIW162" s="33"/>
      <c r="CIX162" s="33"/>
      <c r="CIY162" s="33"/>
      <c r="CIZ162" s="33"/>
      <c r="CJA162" s="33"/>
      <c r="CJB162" s="33"/>
      <c r="CJC162" s="33"/>
      <c r="CJD162" s="33"/>
      <c r="CJE162" s="33"/>
      <c r="CJF162" s="33"/>
      <c r="CJG162" s="33"/>
      <c r="CJH162" s="33"/>
      <c r="CJI162" s="33"/>
      <c r="CJJ162" s="33"/>
      <c r="CJK162" s="33"/>
      <c r="CJL162" s="33"/>
      <c r="CJM162" s="33"/>
      <c r="CJN162" s="33"/>
      <c r="CJO162" s="33"/>
      <c r="CJP162" s="33"/>
      <c r="CJQ162" s="33"/>
      <c r="CJR162" s="33"/>
      <c r="CJS162" s="33"/>
      <c r="CJT162" s="33"/>
      <c r="CJU162" s="33"/>
      <c r="CJV162" s="33"/>
      <c r="CJW162" s="33"/>
      <c r="CJX162" s="33"/>
      <c r="CJY162" s="33"/>
      <c r="CJZ162" s="33"/>
      <c r="CKA162" s="33"/>
      <c r="CKB162" s="33"/>
      <c r="CKC162" s="33"/>
      <c r="CKD162" s="33"/>
      <c r="CKE162" s="33"/>
      <c r="CKF162" s="33"/>
      <c r="CKG162" s="33"/>
      <c r="CKH162" s="33"/>
      <c r="CKI162" s="33"/>
      <c r="CKJ162" s="33"/>
      <c r="CKK162" s="33"/>
      <c r="CKL162" s="33"/>
      <c r="CKM162" s="33"/>
      <c r="CKN162" s="33"/>
      <c r="CKO162" s="33"/>
      <c r="CKP162" s="33"/>
      <c r="CKQ162" s="33"/>
      <c r="CKR162" s="33"/>
      <c r="CKS162" s="33"/>
      <c r="CKT162" s="33"/>
      <c r="CKU162" s="33"/>
      <c r="CKV162" s="33"/>
      <c r="CKW162" s="33"/>
      <c r="CKX162" s="33"/>
      <c r="CKY162" s="33"/>
      <c r="CKZ162" s="33"/>
      <c r="CLA162" s="33"/>
      <c r="CLB162" s="33"/>
      <c r="CLC162" s="33"/>
      <c r="CLD162" s="33"/>
      <c r="CLE162" s="33"/>
      <c r="CLF162" s="33"/>
      <c r="CLG162" s="33"/>
      <c r="CLH162" s="33"/>
      <c r="CLI162" s="33"/>
      <c r="CLJ162" s="33"/>
      <c r="CLK162" s="33"/>
      <c r="CLL162" s="33"/>
      <c r="CLM162" s="33"/>
      <c r="CLN162" s="33"/>
      <c r="CLO162" s="33"/>
      <c r="CLP162" s="33"/>
      <c r="CLQ162" s="33"/>
      <c r="CLR162" s="33"/>
      <c r="CLS162" s="33"/>
      <c r="CLT162" s="33"/>
      <c r="CLU162" s="33"/>
      <c r="CLV162" s="33"/>
      <c r="CLW162" s="33"/>
      <c r="CLX162" s="33"/>
      <c r="CLY162" s="33"/>
      <c r="CLZ162" s="33"/>
      <c r="CMA162" s="33"/>
      <c r="CMB162" s="33"/>
      <c r="CMC162" s="33"/>
      <c r="CMD162" s="33"/>
      <c r="CME162" s="33"/>
      <c r="CMF162" s="33"/>
      <c r="CMG162" s="33"/>
      <c r="CMH162" s="33"/>
      <c r="CMI162" s="33"/>
      <c r="CMJ162" s="33"/>
      <c r="CMK162" s="33"/>
      <c r="CML162" s="33"/>
      <c r="CMM162" s="33"/>
      <c r="CMN162" s="33"/>
      <c r="CMO162" s="33"/>
      <c r="CMP162" s="33"/>
      <c r="CMQ162" s="33"/>
      <c r="CMR162" s="33"/>
      <c r="CMS162" s="33"/>
      <c r="CMT162" s="33"/>
      <c r="CMU162" s="33"/>
      <c r="CMV162" s="33"/>
      <c r="CMW162" s="33"/>
      <c r="CMX162" s="33"/>
      <c r="CMY162" s="33"/>
      <c r="CMZ162" s="33"/>
      <c r="CNA162" s="33"/>
      <c r="CNB162" s="33"/>
      <c r="CNC162" s="33"/>
      <c r="CND162" s="33"/>
      <c r="CNE162" s="33"/>
      <c r="CNF162" s="33"/>
      <c r="CNG162" s="33"/>
      <c r="CNH162" s="33"/>
      <c r="CNI162" s="33"/>
      <c r="CNJ162" s="33"/>
      <c r="CNK162" s="33"/>
      <c r="CNL162" s="33"/>
      <c r="CNM162" s="33"/>
      <c r="CNN162" s="33"/>
      <c r="CNO162" s="33"/>
      <c r="CNP162" s="33"/>
      <c r="CNQ162" s="33"/>
      <c r="CNR162" s="33"/>
      <c r="CNS162" s="33"/>
      <c r="CNT162" s="33"/>
      <c r="CNU162" s="33"/>
      <c r="CNV162" s="33"/>
      <c r="CNW162" s="33"/>
      <c r="CNX162" s="33"/>
      <c r="CNY162" s="33"/>
      <c r="CNZ162" s="33"/>
      <c r="COA162" s="33"/>
      <c r="COB162" s="33"/>
      <c r="COC162" s="33"/>
      <c r="COD162" s="33"/>
      <c r="COE162" s="33"/>
      <c r="COF162" s="33"/>
      <c r="COG162" s="33"/>
      <c r="COH162" s="33"/>
      <c r="COI162" s="33"/>
      <c r="COJ162" s="33"/>
      <c r="COK162" s="33"/>
      <c r="COL162" s="33"/>
      <c r="COM162" s="33"/>
      <c r="CON162" s="33"/>
      <c r="COO162" s="33"/>
      <c r="COP162" s="33"/>
      <c r="COQ162" s="33"/>
      <c r="COR162" s="33"/>
      <c r="COS162" s="33"/>
      <c r="COT162" s="33"/>
      <c r="COU162" s="33"/>
      <c r="COV162" s="33"/>
      <c r="COW162" s="33"/>
      <c r="COX162" s="33"/>
      <c r="COY162" s="33"/>
      <c r="COZ162" s="33"/>
      <c r="CPA162" s="33"/>
      <c r="CPB162" s="33"/>
      <c r="CPC162" s="33"/>
      <c r="CPD162" s="33"/>
      <c r="CPE162" s="33"/>
      <c r="CPF162" s="33"/>
      <c r="CPG162" s="33"/>
      <c r="CPH162" s="33"/>
      <c r="CPI162" s="33"/>
      <c r="CPJ162" s="33"/>
      <c r="CPK162" s="33"/>
      <c r="CPL162" s="33"/>
      <c r="CPM162" s="33"/>
      <c r="CPN162" s="33"/>
      <c r="CPO162" s="33"/>
      <c r="CPP162" s="33"/>
      <c r="CPQ162" s="33"/>
      <c r="CPR162" s="33"/>
      <c r="CPS162" s="33"/>
      <c r="CPT162" s="33"/>
      <c r="CPU162" s="33"/>
      <c r="CPV162" s="33"/>
      <c r="CPW162" s="33"/>
      <c r="CPX162" s="33"/>
      <c r="CPY162" s="33"/>
      <c r="CPZ162" s="33"/>
      <c r="CQA162" s="33"/>
      <c r="CQB162" s="33"/>
      <c r="CQC162" s="33"/>
      <c r="CQD162" s="33"/>
      <c r="CQE162" s="33"/>
      <c r="CQF162" s="33"/>
      <c r="CQG162" s="33"/>
      <c r="CQH162" s="33"/>
      <c r="CQI162" s="33"/>
      <c r="CQJ162" s="33"/>
      <c r="CQK162" s="33"/>
      <c r="CQL162" s="33"/>
      <c r="CQM162" s="33"/>
      <c r="CQN162" s="33"/>
      <c r="CQO162" s="33"/>
      <c r="CQP162" s="33"/>
      <c r="CQQ162" s="33"/>
      <c r="CQR162" s="33"/>
      <c r="CQS162" s="33"/>
      <c r="CQT162" s="33"/>
      <c r="CQU162" s="33"/>
      <c r="CQV162" s="33"/>
      <c r="CQW162" s="33"/>
      <c r="CQX162" s="33"/>
      <c r="CQY162" s="33"/>
      <c r="CQZ162" s="33"/>
      <c r="CRA162" s="33"/>
      <c r="CRB162" s="33"/>
      <c r="CRC162" s="33"/>
      <c r="CRD162" s="33"/>
      <c r="CRE162" s="33"/>
      <c r="CRF162" s="33"/>
      <c r="CRG162" s="33"/>
      <c r="CRH162" s="33"/>
      <c r="CRI162" s="33"/>
      <c r="CRJ162" s="33"/>
      <c r="CRK162" s="33"/>
      <c r="CRL162" s="33"/>
      <c r="CRM162" s="33"/>
      <c r="CRN162" s="33"/>
      <c r="CRO162" s="33"/>
      <c r="CRP162" s="33"/>
      <c r="CRQ162" s="33"/>
      <c r="CRR162" s="33"/>
      <c r="CRS162" s="33"/>
      <c r="CRT162" s="33"/>
      <c r="CRU162" s="33"/>
      <c r="CRV162" s="33"/>
      <c r="CRW162" s="33"/>
      <c r="CRX162" s="33"/>
      <c r="CRY162" s="33"/>
      <c r="CRZ162" s="33"/>
      <c r="CSA162" s="33"/>
      <c r="CSB162" s="33"/>
      <c r="CSC162" s="33"/>
      <c r="CSD162" s="33"/>
      <c r="CSE162" s="33"/>
      <c r="CSF162" s="33"/>
      <c r="CSG162" s="33"/>
      <c r="CSH162" s="33"/>
      <c r="CSI162" s="33"/>
      <c r="CSJ162" s="33"/>
      <c r="CSK162" s="33"/>
      <c r="CSL162" s="33"/>
      <c r="CSM162" s="33"/>
      <c r="CSN162" s="33"/>
      <c r="CSO162" s="33"/>
      <c r="CSP162" s="33"/>
      <c r="CSQ162" s="33"/>
      <c r="CSR162" s="33"/>
      <c r="CSS162" s="33"/>
      <c r="CST162" s="33"/>
      <c r="CSU162" s="33"/>
      <c r="CSV162" s="33"/>
      <c r="CSW162" s="33"/>
      <c r="CSX162" s="33"/>
      <c r="CSY162" s="33"/>
      <c r="CSZ162" s="33"/>
      <c r="CTA162" s="33"/>
      <c r="CTB162" s="33"/>
      <c r="CTC162" s="33"/>
      <c r="CTD162" s="33"/>
      <c r="CTE162" s="33"/>
      <c r="CTF162" s="33"/>
      <c r="CTG162" s="33"/>
      <c r="CTH162" s="33"/>
      <c r="CTI162" s="33"/>
      <c r="CTJ162" s="33"/>
      <c r="CTK162" s="33"/>
      <c r="CTL162" s="33"/>
      <c r="CTM162" s="33"/>
      <c r="CTN162" s="33"/>
      <c r="CTO162" s="33"/>
      <c r="CTP162" s="33"/>
      <c r="CTQ162" s="33"/>
      <c r="CTR162" s="33"/>
      <c r="CTS162" s="33"/>
      <c r="CTT162" s="33"/>
      <c r="CTU162" s="33"/>
      <c r="CTV162" s="33"/>
      <c r="CTW162" s="33"/>
      <c r="CTX162" s="33"/>
      <c r="CTY162" s="33"/>
      <c r="CTZ162" s="33"/>
      <c r="CUA162" s="33"/>
      <c r="CUB162" s="33"/>
      <c r="CUC162" s="33"/>
      <c r="CUD162" s="33"/>
      <c r="CUE162" s="33"/>
      <c r="CUF162" s="33"/>
      <c r="CUG162" s="33"/>
      <c r="CUH162" s="33"/>
      <c r="CUI162" s="33"/>
      <c r="CUJ162" s="33"/>
      <c r="CUK162" s="33"/>
      <c r="CUL162" s="33"/>
      <c r="CUM162" s="33"/>
      <c r="CUN162" s="33"/>
      <c r="CUO162" s="33"/>
      <c r="CUP162" s="33"/>
      <c r="CUQ162" s="33"/>
      <c r="CUR162" s="33"/>
      <c r="CUS162" s="33"/>
      <c r="CUT162" s="33"/>
      <c r="CUU162" s="33"/>
      <c r="CUV162" s="33"/>
      <c r="CUW162" s="33"/>
      <c r="CUX162" s="33"/>
      <c r="CUY162" s="33"/>
      <c r="CUZ162" s="33"/>
      <c r="CVA162" s="33"/>
      <c r="CVB162" s="33"/>
      <c r="CVC162" s="33"/>
      <c r="CVD162" s="33"/>
      <c r="CVE162" s="33"/>
      <c r="CVF162" s="33"/>
      <c r="CVG162" s="33"/>
      <c r="CVH162" s="33"/>
      <c r="CVI162" s="33"/>
      <c r="CVJ162" s="33"/>
      <c r="CVK162" s="33"/>
      <c r="CVL162" s="33"/>
      <c r="CVM162" s="33"/>
      <c r="CVN162" s="33"/>
      <c r="CVO162" s="33"/>
      <c r="CVP162" s="33"/>
      <c r="CVQ162" s="33"/>
      <c r="CVR162" s="33"/>
      <c r="CVS162" s="33"/>
      <c r="CVT162" s="33"/>
      <c r="CVU162" s="33"/>
      <c r="CVV162" s="33"/>
      <c r="CVW162" s="33"/>
      <c r="CVX162" s="33"/>
      <c r="CVY162" s="33"/>
      <c r="CVZ162" s="33"/>
      <c r="CWA162" s="33"/>
      <c r="CWB162" s="33"/>
      <c r="CWC162" s="33"/>
      <c r="CWD162" s="33"/>
      <c r="CWE162" s="33"/>
      <c r="CWF162" s="33"/>
      <c r="CWG162" s="33"/>
      <c r="CWH162" s="33"/>
      <c r="CWI162" s="33"/>
      <c r="CWJ162" s="33"/>
      <c r="CWK162" s="33"/>
      <c r="CWL162" s="33"/>
      <c r="CWM162" s="33"/>
      <c r="CWN162" s="33"/>
      <c r="CWO162" s="33"/>
      <c r="CWP162" s="33"/>
      <c r="CWQ162" s="33"/>
      <c r="CWR162" s="33"/>
      <c r="CWS162" s="33"/>
      <c r="CWT162" s="33"/>
      <c r="CWU162" s="33"/>
      <c r="CWV162" s="33"/>
      <c r="CWW162" s="33"/>
      <c r="CWX162" s="33"/>
      <c r="CWY162" s="33"/>
      <c r="CWZ162" s="33"/>
      <c r="CXA162" s="33"/>
      <c r="CXB162" s="33"/>
      <c r="CXC162" s="33"/>
      <c r="CXD162" s="33"/>
      <c r="CXE162" s="33"/>
      <c r="CXF162" s="33"/>
      <c r="CXG162" s="33"/>
      <c r="CXH162" s="33"/>
      <c r="CXI162" s="33"/>
      <c r="CXJ162" s="33"/>
      <c r="CXK162" s="33"/>
      <c r="CXL162" s="33"/>
      <c r="CXM162" s="33"/>
      <c r="CXN162" s="33"/>
      <c r="CXO162" s="33"/>
      <c r="CXP162" s="33"/>
      <c r="CXQ162" s="33"/>
      <c r="CXR162" s="33"/>
      <c r="CXS162" s="33"/>
      <c r="CXT162" s="33"/>
      <c r="CXU162" s="33"/>
      <c r="CXV162" s="33"/>
      <c r="CXW162" s="33"/>
      <c r="CXX162" s="33"/>
      <c r="CXY162" s="33"/>
      <c r="CXZ162" s="33"/>
      <c r="CYA162" s="33"/>
      <c r="CYB162" s="33"/>
      <c r="CYC162" s="33"/>
      <c r="CYD162" s="33"/>
      <c r="CYE162" s="33"/>
      <c r="CYF162" s="33"/>
      <c r="CYG162" s="33"/>
      <c r="CYH162" s="33"/>
      <c r="CYI162" s="33"/>
      <c r="CYJ162" s="33"/>
      <c r="CYK162" s="33"/>
      <c r="CYL162" s="33"/>
      <c r="CYM162" s="33"/>
      <c r="CYN162" s="33"/>
      <c r="CYO162" s="33"/>
      <c r="CYP162" s="33"/>
      <c r="CYQ162" s="33"/>
      <c r="CYR162" s="33"/>
      <c r="CYS162" s="33"/>
      <c r="CYT162" s="33"/>
      <c r="CYU162" s="33"/>
      <c r="CYV162" s="33"/>
      <c r="CYW162" s="33"/>
      <c r="CYX162" s="33"/>
      <c r="CYY162" s="33"/>
      <c r="CYZ162" s="33"/>
      <c r="CZA162" s="33"/>
      <c r="CZB162" s="33"/>
      <c r="CZC162" s="33"/>
      <c r="CZD162" s="33"/>
      <c r="CZE162" s="33"/>
      <c r="CZF162" s="33"/>
      <c r="CZG162" s="33"/>
      <c r="CZH162" s="33"/>
      <c r="CZI162" s="33"/>
      <c r="CZJ162" s="33"/>
      <c r="CZK162" s="33"/>
      <c r="CZL162" s="33"/>
      <c r="CZM162" s="33"/>
      <c r="CZN162" s="33"/>
      <c r="CZO162" s="33"/>
      <c r="CZP162" s="33"/>
      <c r="CZQ162" s="33"/>
      <c r="CZR162" s="33"/>
      <c r="CZS162" s="33"/>
      <c r="CZT162" s="33"/>
      <c r="CZU162" s="33"/>
      <c r="CZV162" s="33"/>
      <c r="CZW162" s="33"/>
      <c r="CZX162" s="33"/>
      <c r="CZY162" s="33"/>
      <c r="CZZ162" s="33"/>
      <c r="DAA162" s="33"/>
      <c r="DAB162" s="33"/>
      <c r="DAC162" s="33"/>
      <c r="DAD162" s="33"/>
      <c r="DAE162" s="33"/>
      <c r="DAF162" s="33"/>
      <c r="DAG162" s="33"/>
      <c r="DAH162" s="33"/>
      <c r="DAI162" s="33"/>
      <c r="DAJ162" s="33"/>
      <c r="DAK162" s="33"/>
      <c r="DAL162" s="33"/>
      <c r="DAM162" s="33"/>
      <c r="DAN162" s="33"/>
      <c r="DAO162" s="33"/>
      <c r="DAP162" s="33"/>
      <c r="DAQ162" s="33"/>
      <c r="DAR162" s="33"/>
      <c r="DAS162" s="33"/>
      <c r="DAT162" s="33"/>
      <c r="DAU162" s="33"/>
      <c r="DAV162" s="33"/>
      <c r="DAW162" s="33"/>
      <c r="DAX162" s="33"/>
      <c r="DAY162" s="33"/>
      <c r="DAZ162" s="33"/>
      <c r="DBA162" s="33"/>
      <c r="DBB162" s="33"/>
      <c r="DBC162" s="33"/>
      <c r="DBD162" s="33"/>
      <c r="DBE162" s="33"/>
      <c r="DBF162" s="33"/>
      <c r="DBG162" s="33"/>
      <c r="DBH162" s="33"/>
      <c r="DBI162" s="33"/>
      <c r="DBJ162" s="33"/>
      <c r="DBK162" s="33"/>
      <c r="DBL162" s="33"/>
      <c r="DBM162" s="33"/>
      <c r="DBN162" s="33"/>
      <c r="DBO162" s="33"/>
      <c r="DBP162" s="33"/>
      <c r="DBQ162" s="33"/>
      <c r="DBR162" s="33"/>
      <c r="DBS162" s="33"/>
      <c r="DBT162" s="33"/>
      <c r="DBU162" s="33"/>
      <c r="DBV162" s="33"/>
      <c r="DBW162" s="33"/>
      <c r="DBX162" s="33"/>
      <c r="DBY162" s="33"/>
      <c r="DBZ162" s="33"/>
      <c r="DCA162" s="33"/>
      <c r="DCB162" s="33"/>
      <c r="DCC162" s="33"/>
      <c r="DCD162" s="33"/>
      <c r="DCE162" s="33"/>
      <c r="DCF162" s="33"/>
      <c r="DCG162" s="33"/>
      <c r="DCH162" s="33"/>
      <c r="DCI162" s="33"/>
      <c r="DCJ162" s="33"/>
      <c r="DCK162" s="33"/>
      <c r="DCL162" s="33"/>
      <c r="DCM162" s="33"/>
      <c r="DCN162" s="33"/>
      <c r="DCO162" s="33"/>
      <c r="DCP162" s="33"/>
      <c r="DCQ162" s="33"/>
      <c r="DCR162" s="33"/>
      <c r="DCS162" s="33"/>
      <c r="DCT162" s="33"/>
      <c r="DCU162" s="33"/>
      <c r="DCV162" s="33"/>
      <c r="DCW162" s="33"/>
      <c r="DCX162" s="33"/>
      <c r="DCY162" s="33"/>
      <c r="DCZ162" s="33"/>
      <c r="DDA162" s="33"/>
      <c r="DDB162" s="33"/>
      <c r="DDC162" s="33"/>
      <c r="DDD162" s="33"/>
      <c r="DDE162" s="33"/>
      <c r="DDF162" s="33"/>
      <c r="DDG162" s="33"/>
      <c r="DDH162" s="33"/>
      <c r="DDI162" s="33"/>
      <c r="DDJ162" s="33"/>
      <c r="DDK162" s="33"/>
      <c r="DDL162" s="33"/>
      <c r="DDM162" s="33"/>
      <c r="DDN162" s="33"/>
      <c r="DDO162" s="33"/>
      <c r="DDP162" s="33"/>
      <c r="DDQ162" s="33"/>
      <c r="DDR162" s="33"/>
      <c r="DDS162" s="33"/>
      <c r="DDT162" s="33"/>
      <c r="DDU162" s="33"/>
      <c r="DDV162" s="33"/>
      <c r="DDW162" s="33"/>
      <c r="DDX162" s="33"/>
      <c r="DDY162" s="33"/>
      <c r="DDZ162" s="33"/>
      <c r="DEA162" s="33"/>
      <c r="DEB162" s="33"/>
      <c r="DEC162" s="33"/>
      <c r="DED162" s="33"/>
      <c r="DEE162" s="33"/>
      <c r="DEF162" s="33"/>
      <c r="DEG162" s="33"/>
      <c r="DEH162" s="33"/>
      <c r="DEI162" s="33"/>
      <c r="DEJ162" s="33"/>
      <c r="DEK162" s="33"/>
      <c r="DEL162" s="33"/>
      <c r="DEM162" s="33"/>
      <c r="DEN162" s="33"/>
      <c r="DEO162" s="33"/>
      <c r="DEP162" s="33"/>
      <c r="DEQ162" s="33"/>
      <c r="DER162" s="33"/>
      <c r="DES162" s="33"/>
      <c r="DET162" s="33"/>
      <c r="DEU162" s="33"/>
      <c r="DEV162" s="33"/>
      <c r="DEW162" s="33"/>
      <c r="DEX162" s="33"/>
      <c r="DEY162" s="33"/>
      <c r="DEZ162" s="33"/>
      <c r="DFA162" s="33"/>
      <c r="DFB162" s="33"/>
      <c r="DFC162" s="33"/>
      <c r="DFD162" s="33"/>
      <c r="DFE162" s="33"/>
      <c r="DFF162" s="33"/>
      <c r="DFG162" s="33"/>
      <c r="DFH162" s="33"/>
      <c r="DFI162" s="33"/>
      <c r="DFJ162" s="33"/>
      <c r="DFK162" s="33"/>
      <c r="DFL162" s="33"/>
      <c r="DFM162" s="33"/>
      <c r="DFN162" s="33"/>
      <c r="DFO162" s="33"/>
      <c r="DFP162" s="33"/>
      <c r="DFQ162" s="33"/>
      <c r="DFR162" s="33"/>
      <c r="DFS162" s="33"/>
      <c r="DFT162" s="33"/>
      <c r="DFU162" s="33"/>
      <c r="DFV162" s="33"/>
      <c r="DFW162" s="33"/>
      <c r="DFX162" s="33"/>
      <c r="DFY162" s="33"/>
      <c r="DFZ162" s="33"/>
      <c r="DGA162" s="33"/>
      <c r="DGB162" s="33"/>
      <c r="DGC162" s="33"/>
      <c r="DGD162" s="33"/>
      <c r="DGE162" s="33"/>
      <c r="DGF162" s="33"/>
      <c r="DGG162" s="33"/>
      <c r="DGH162" s="33"/>
      <c r="DGI162" s="33"/>
      <c r="DGJ162" s="33"/>
      <c r="DGK162" s="33"/>
      <c r="DGL162" s="33"/>
      <c r="DGM162" s="33"/>
      <c r="DGN162" s="33"/>
      <c r="DGO162" s="33"/>
      <c r="DGP162" s="33"/>
      <c r="DGQ162" s="33"/>
      <c r="DGR162" s="33"/>
      <c r="DGS162" s="33"/>
      <c r="DGT162" s="33"/>
      <c r="DGU162" s="33"/>
      <c r="DGV162" s="33"/>
      <c r="DGW162" s="33"/>
      <c r="DGX162" s="33"/>
      <c r="DGY162" s="33"/>
      <c r="DGZ162" s="33"/>
      <c r="DHA162" s="33"/>
      <c r="DHB162" s="33"/>
      <c r="DHC162" s="33"/>
      <c r="DHD162" s="33"/>
      <c r="DHE162" s="33"/>
      <c r="DHF162" s="33"/>
      <c r="DHG162" s="33"/>
      <c r="DHH162" s="33"/>
      <c r="DHI162" s="33"/>
      <c r="DHJ162" s="33"/>
      <c r="DHK162" s="33"/>
      <c r="DHL162" s="33"/>
      <c r="DHM162" s="33"/>
      <c r="DHN162" s="33"/>
      <c r="DHO162" s="33"/>
      <c r="DHP162" s="33"/>
      <c r="DHQ162" s="33"/>
      <c r="DHR162" s="33"/>
      <c r="DHS162" s="33"/>
      <c r="DHT162" s="33"/>
      <c r="DHU162" s="33"/>
      <c r="DHV162" s="33"/>
      <c r="DHW162" s="33"/>
      <c r="DHX162" s="33"/>
      <c r="DHY162" s="33"/>
      <c r="DHZ162" s="33"/>
      <c r="DIA162" s="33"/>
      <c r="DIB162" s="33"/>
      <c r="DIC162" s="33"/>
      <c r="DID162" s="33"/>
      <c r="DIE162" s="33"/>
      <c r="DIF162" s="33"/>
      <c r="DIG162" s="33"/>
      <c r="DIH162" s="33"/>
      <c r="DII162" s="33"/>
      <c r="DIJ162" s="33"/>
      <c r="DIK162" s="33"/>
      <c r="DIL162" s="33"/>
      <c r="DIM162" s="33"/>
      <c r="DIN162" s="33"/>
      <c r="DIO162" s="33"/>
      <c r="DIP162" s="33"/>
      <c r="DIQ162" s="33"/>
      <c r="DIR162" s="33"/>
      <c r="DIS162" s="33"/>
      <c r="DIT162" s="33"/>
      <c r="DIU162" s="33"/>
      <c r="DIV162" s="33"/>
      <c r="DIW162" s="33"/>
      <c r="DIX162" s="33"/>
      <c r="DIY162" s="33"/>
      <c r="DIZ162" s="33"/>
      <c r="DJA162" s="33"/>
      <c r="DJB162" s="33"/>
      <c r="DJC162" s="33"/>
      <c r="DJD162" s="33"/>
      <c r="DJE162" s="33"/>
      <c r="DJF162" s="33"/>
      <c r="DJG162" s="33"/>
      <c r="DJH162" s="33"/>
      <c r="DJI162" s="33"/>
      <c r="DJJ162" s="33"/>
      <c r="DJK162" s="33"/>
      <c r="DJL162" s="33"/>
      <c r="DJM162" s="33"/>
      <c r="DJN162" s="33"/>
      <c r="DJO162" s="33"/>
      <c r="DJP162" s="33"/>
      <c r="DJQ162" s="33"/>
      <c r="DJR162" s="33"/>
      <c r="DJS162" s="33"/>
      <c r="DJT162" s="33"/>
      <c r="DJU162" s="33"/>
      <c r="DJV162" s="33"/>
      <c r="DJW162" s="33"/>
      <c r="DJX162" s="33"/>
      <c r="DJY162" s="33"/>
      <c r="DJZ162" s="33"/>
      <c r="DKA162" s="33"/>
      <c r="DKB162" s="33"/>
      <c r="DKC162" s="33"/>
      <c r="DKD162" s="33"/>
      <c r="DKE162" s="33"/>
      <c r="DKF162" s="33"/>
      <c r="DKG162" s="33"/>
      <c r="DKH162" s="33"/>
      <c r="DKI162" s="33"/>
      <c r="DKJ162" s="33"/>
      <c r="DKK162" s="33"/>
      <c r="DKL162" s="33"/>
      <c r="DKM162" s="33"/>
      <c r="DKN162" s="33"/>
      <c r="DKO162" s="33"/>
      <c r="DKP162" s="33"/>
      <c r="DKQ162" s="33"/>
      <c r="DKR162" s="33"/>
      <c r="DKS162" s="33"/>
      <c r="DKT162" s="33"/>
      <c r="DKU162" s="33"/>
      <c r="DKV162" s="33"/>
      <c r="DKW162" s="33"/>
      <c r="DKX162" s="33"/>
      <c r="DKY162" s="33"/>
      <c r="DKZ162" s="33"/>
      <c r="DLA162" s="33"/>
      <c r="DLB162" s="33"/>
      <c r="DLC162" s="33"/>
      <c r="DLD162" s="33"/>
      <c r="DLE162" s="33"/>
      <c r="DLF162" s="33"/>
      <c r="DLG162" s="33"/>
      <c r="DLH162" s="33"/>
      <c r="DLI162" s="33"/>
      <c r="DLJ162" s="33"/>
      <c r="DLK162" s="33"/>
      <c r="DLL162" s="33"/>
      <c r="DLM162" s="33"/>
      <c r="DLN162" s="33"/>
      <c r="DLO162" s="33"/>
      <c r="DLP162" s="33"/>
      <c r="DLQ162" s="33"/>
      <c r="DLR162" s="33"/>
      <c r="DLS162" s="33"/>
      <c r="DLT162" s="33"/>
      <c r="DLU162" s="33"/>
      <c r="DLV162" s="33"/>
      <c r="DLW162" s="33"/>
      <c r="DLX162" s="33"/>
      <c r="DLY162" s="33"/>
      <c r="DLZ162" s="33"/>
      <c r="DMA162" s="33"/>
      <c r="DMB162" s="33"/>
      <c r="DMC162" s="33"/>
      <c r="DMD162" s="33"/>
      <c r="DME162" s="33"/>
      <c r="DMF162" s="33"/>
      <c r="DMG162" s="33"/>
      <c r="DMH162" s="33"/>
      <c r="DMI162" s="33"/>
      <c r="DMJ162" s="33"/>
      <c r="DMK162" s="33"/>
      <c r="DML162" s="33"/>
      <c r="DMM162" s="33"/>
      <c r="DMN162" s="33"/>
      <c r="DMO162" s="33"/>
      <c r="DMP162" s="33"/>
      <c r="DMQ162" s="33"/>
      <c r="DMR162" s="33"/>
      <c r="DMS162" s="33"/>
      <c r="DMT162" s="33"/>
      <c r="DMU162" s="33"/>
      <c r="DMV162" s="33"/>
      <c r="DMW162" s="33"/>
      <c r="DMX162" s="33"/>
      <c r="DMY162" s="33"/>
      <c r="DMZ162" s="33"/>
      <c r="DNA162" s="33"/>
      <c r="DNB162" s="33"/>
      <c r="DNC162" s="33"/>
      <c r="DND162" s="33"/>
      <c r="DNE162" s="33"/>
      <c r="DNF162" s="33"/>
      <c r="DNG162" s="33"/>
      <c r="DNH162" s="33"/>
      <c r="DNI162" s="33"/>
      <c r="DNJ162" s="33"/>
      <c r="DNK162" s="33"/>
      <c r="DNL162" s="33"/>
      <c r="DNM162" s="33"/>
      <c r="DNN162" s="33"/>
      <c r="DNO162" s="33"/>
      <c r="DNP162" s="33"/>
      <c r="DNQ162" s="33"/>
      <c r="DNR162" s="33"/>
      <c r="DNS162" s="33"/>
      <c r="DNT162" s="33"/>
      <c r="DNU162" s="33"/>
      <c r="DNV162" s="33"/>
      <c r="DNW162" s="33"/>
      <c r="DNX162" s="33"/>
      <c r="DNY162" s="33"/>
      <c r="DNZ162" s="33"/>
      <c r="DOA162" s="33"/>
      <c r="DOB162" s="33"/>
      <c r="DOC162" s="33"/>
      <c r="DOD162" s="33"/>
      <c r="DOE162" s="33"/>
      <c r="DOF162" s="33"/>
      <c r="DOG162" s="33"/>
      <c r="DOH162" s="33"/>
      <c r="DOI162" s="33"/>
      <c r="DOJ162" s="33"/>
      <c r="DOK162" s="33"/>
      <c r="DOL162" s="33"/>
      <c r="DOM162" s="33"/>
      <c r="DON162" s="33"/>
      <c r="DOO162" s="33"/>
      <c r="DOP162" s="33"/>
      <c r="DOQ162" s="33"/>
      <c r="DOR162" s="33"/>
      <c r="DOS162" s="33"/>
      <c r="DOT162" s="33"/>
      <c r="DOU162" s="33"/>
      <c r="DOV162" s="33"/>
      <c r="DOW162" s="33"/>
      <c r="DOX162" s="33"/>
      <c r="DOY162" s="33"/>
      <c r="DOZ162" s="33"/>
      <c r="DPA162" s="33"/>
      <c r="DPB162" s="33"/>
      <c r="DPC162" s="33"/>
      <c r="DPD162" s="33"/>
      <c r="DPE162" s="33"/>
      <c r="DPF162" s="33"/>
      <c r="DPG162" s="33"/>
      <c r="DPH162" s="33"/>
      <c r="DPI162" s="33"/>
      <c r="DPJ162" s="33"/>
      <c r="DPK162" s="33"/>
      <c r="DPL162" s="33"/>
      <c r="DPM162" s="33"/>
      <c r="DPN162" s="33"/>
      <c r="DPO162" s="33"/>
      <c r="DPP162" s="33"/>
      <c r="DPQ162" s="33"/>
      <c r="DPR162" s="33"/>
      <c r="DPS162" s="33"/>
      <c r="DPT162" s="33"/>
      <c r="DPU162" s="33"/>
      <c r="DPV162" s="33"/>
      <c r="DPW162" s="33"/>
      <c r="DPX162" s="33"/>
      <c r="DPY162" s="33"/>
      <c r="DPZ162" s="33"/>
      <c r="DQA162" s="33"/>
      <c r="DQB162" s="33"/>
      <c r="DQC162" s="33"/>
      <c r="DQD162" s="33"/>
      <c r="DQE162" s="33"/>
      <c r="DQF162" s="33"/>
      <c r="DQG162" s="33"/>
      <c r="DQH162" s="33"/>
      <c r="DQI162" s="33"/>
      <c r="DQJ162" s="33"/>
      <c r="DQK162" s="33"/>
      <c r="DQL162" s="33"/>
      <c r="DQM162" s="33"/>
      <c r="DQN162" s="33"/>
      <c r="DQO162" s="33"/>
      <c r="DQP162" s="33"/>
      <c r="DQQ162" s="33"/>
      <c r="DQR162" s="33"/>
      <c r="DQS162" s="33"/>
      <c r="DQT162" s="33"/>
      <c r="DQU162" s="33"/>
      <c r="DQV162" s="33"/>
      <c r="DQW162" s="33"/>
      <c r="DQX162" s="33"/>
      <c r="DQY162" s="33"/>
      <c r="DQZ162" s="33"/>
      <c r="DRA162" s="33"/>
      <c r="DRB162" s="33"/>
      <c r="DRC162" s="33"/>
      <c r="DRD162" s="33"/>
      <c r="DRE162" s="33"/>
      <c r="DRF162" s="33"/>
      <c r="DRG162" s="33"/>
      <c r="DRH162" s="33"/>
      <c r="DRI162" s="33"/>
      <c r="DRJ162" s="33"/>
      <c r="DRK162" s="33"/>
      <c r="DRL162" s="33"/>
      <c r="DRM162" s="33"/>
      <c r="DRN162" s="33"/>
      <c r="DRO162" s="33"/>
      <c r="DRP162" s="33"/>
      <c r="DRQ162" s="33"/>
      <c r="DRR162" s="33"/>
      <c r="DRS162" s="33"/>
      <c r="DRT162" s="33"/>
      <c r="DRU162" s="33"/>
      <c r="DRV162" s="33"/>
      <c r="DRW162" s="33"/>
      <c r="DRX162" s="33"/>
      <c r="DRY162" s="33"/>
      <c r="DRZ162" s="33"/>
      <c r="DSA162" s="33"/>
      <c r="DSB162" s="33"/>
      <c r="DSC162" s="33"/>
      <c r="DSD162" s="33"/>
      <c r="DSE162" s="33"/>
      <c r="DSF162" s="33"/>
      <c r="DSG162" s="33"/>
      <c r="DSH162" s="33"/>
      <c r="DSI162" s="33"/>
      <c r="DSJ162" s="33"/>
      <c r="DSK162" s="33"/>
      <c r="DSL162" s="33"/>
      <c r="DSM162" s="33"/>
      <c r="DSN162" s="33"/>
      <c r="DSO162" s="33"/>
      <c r="DSP162" s="33"/>
      <c r="DSQ162" s="33"/>
      <c r="DSR162" s="33"/>
      <c r="DSS162" s="33"/>
      <c r="DST162" s="33"/>
      <c r="DSU162" s="33"/>
      <c r="DSV162" s="33"/>
      <c r="DSW162" s="33"/>
      <c r="DSX162" s="33"/>
      <c r="DSY162" s="33"/>
      <c r="DSZ162" s="33"/>
      <c r="DTA162" s="33"/>
      <c r="DTB162" s="33"/>
      <c r="DTC162" s="33"/>
      <c r="DTD162" s="33"/>
      <c r="DTE162" s="33"/>
      <c r="DTF162" s="33"/>
      <c r="DTG162" s="33"/>
      <c r="DTH162" s="33"/>
      <c r="DTI162" s="33"/>
      <c r="DTJ162" s="33"/>
      <c r="DTK162" s="33"/>
      <c r="DTL162" s="33"/>
      <c r="DTM162" s="33"/>
      <c r="DTN162" s="33"/>
      <c r="DTO162" s="33"/>
      <c r="DTP162" s="33"/>
      <c r="DTQ162" s="33"/>
      <c r="DTR162" s="33"/>
      <c r="DTS162" s="33"/>
      <c r="DTT162" s="33"/>
      <c r="DTU162" s="33"/>
      <c r="DTV162" s="33"/>
      <c r="DTW162" s="33"/>
      <c r="DTX162" s="33"/>
      <c r="DTY162" s="33"/>
      <c r="DTZ162" s="33"/>
      <c r="DUA162" s="33"/>
      <c r="DUB162" s="33"/>
      <c r="DUC162" s="33"/>
      <c r="DUD162" s="33"/>
      <c r="DUE162" s="33"/>
      <c r="DUF162" s="33"/>
      <c r="DUG162" s="33"/>
      <c r="DUH162" s="33"/>
      <c r="DUI162" s="33"/>
      <c r="DUJ162" s="33"/>
      <c r="DUK162" s="33"/>
      <c r="DUL162" s="33"/>
      <c r="DUM162" s="33"/>
      <c r="DUN162" s="33"/>
      <c r="DUO162" s="33"/>
      <c r="DUP162" s="33"/>
      <c r="DUQ162" s="33"/>
      <c r="DUR162" s="33"/>
      <c r="DUS162" s="33"/>
      <c r="DUT162" s="33"/>
      <c r="DUU162" s="33"/>
      <c r="DUV162" s="33"/>
      <c r="DUW162" s="33"/>
      <c r="DUX162" s="33"/>
      <c r="DUY162" s="33"/>
      <c r="DUZ162" s="33"/>
      <c r="DVA162" s="33"/>
      <c r="DVB162" s="33"/>
      <c r="DVC162" s="33"/>
      <c r="DVD162" s="33"/>
      <c r="DVE162" s="33"/>
      <c r="DVF162" s="33"/>
      <c r="DVG162" s="33"/>
      <c r="DVH162" s="33"/>
      <c r="DVI162" s="33"/>
      <c r="DVJ162" s="33"/>
      <c r="DVK162" s="33"/>
      <c r="DVL162" s="33"/>
      <c r="DVM162" s="33"/>
      <c r="DVN162" s="33"/>
      <c r="DVO162" s="33"/>
      <c r="DVP162" s="33"/>
      <c r="DVQ162" s="33"/>
      <c r="DVR162" s="33"/>
      <c r="DVS162" s="33"/>
      <c r="DVT162" s="33"/>
      <c r="DVU162" s="33"/>
      <c r="DVV162" s="33"/>
      <c r="DVW162" s="33"/>
      <c r="DVX162" s="33"/>
      <c r="DVY162" s="33"/>
      <c r="DVZ162" s="33"/>
      <c r="DWA162" s="33"/>
      <c r="DWB162" s="33"/>
      <c r="DWC162" s="33"/>
      <c r="DWD162" s="33"/>
      <c r="DWE162" s="33"/>
      <c r="DWF162" s="33"/>
      <c r="DWG162" s="33"/>
      <c r="DWH162" s="33"/>
      <c r="DWI162" s="33"/>
      <c r="DWJ162" s="33"/>
      <c r="DWK162" s="33"/>
      <c r="DWL162" s="33"/>
      <c r="DWM162" s="33"/>
      <c r="DWN162" s="33"/>
      <c r="DWO162" s="33"/>
      <c r="DWP162" s="33"/>
      <c r="DWQ162" s="33"/>
      <c r="DWR162" s="33"/>
      <c r="DWS162" s="33"/>
      <c r="DWT162" s="33"/>
      <c r="DWU162" s="33"/>
      <c r="DWV162" s="33"/>
      <c r="DWW162" s="33"/>
      <c r="DWX162" s="33"/>
      <c r="DWY162" s="33"/>
      <c r="DWZ162" s="33"/>
      <c r="DXA162" s="33"/>
      <c r="DXB162" s="33"/>
      <c r="DXC162" s="33"/>
      <c r="DXD162" s="33"/>
      <c r="DXE162" s="33"/>
      <c r="DXF162" s="33"/>
      <c r="DXG162" s="33"/>
      <c r="DXH162" s="33"/>
      <c r="DXI162" s="33"/>
      <c r="DXJ162" s="33"/>
      <c r="DXK162" s="33"/>
      <c r="DXL162" s="33"/>
      <c r="DXM162" s="33"/>
      <c r="DXN162" s="33"/>
      <c r="DXO162" s="33"/>
      <c r="DXP162" s="33"/>
      <c r="DXQ162" s="33"/>
      <c r="DXR162" s="33"/>
      <c r="DXS162" s="33"/>
      <c r="DXT162" s="33"/>
      <c r="DXU162" s="33"/>
      <c r="DXV162" s="33"/>
      <c r="DXW162" s="33"/>
      <c r="DXX162" s="33"/>
      <c r="DXY162" s="33"/>
      <c r="DXZ162" s="33"/>
      <c r="DYA162" s="33"/>
      <c r="DYB162" s="33"/>
      <c r="DYC162" s="33"/>
      <c r="DYD162" s="33"/>
      <c r="DYE162" s="33"/>
      <c r="DYF162" s="33"/>
      <c r="DYG162" s="33"/>
      <c r="DYH162" s="33"/>
      <c r="DYI162" s="33"/>
      <c r="DYJ162" s="33"/>
      <c r="DYK162" s="33"/>
      <c r="DYL162" s="33"/>
      <c r="DYM162" s="33"/>
      <c r="DYN162" s="33"/>
      <c r="DYO162" s="33"/>
      <c r="DYP162" s="33"/>
      <c r="DYQ162" s="33"/>
      <c r="DYR162" s="33"/>
      <c r="DYS162" s="33"/>
      <c r="DYT162" s="33"/>
      <c r="DYU162" s="33"/>
      <c r="DYV162" s="33"/>
      <c r="DYW162" s="33"/>
      <c r="DYX162" s="33"/>
      <c r="DYY162" s="33"/>
      <c r="DYZ162" s="33"/>
      <c r="DZA162" s="33"/>
      <c r="DZB162" s="33"/>
      <c r="DZC162" s="33"/>
      <c r="DZD162" s="33"/>
      <c r="DZE162" s="33"/>
      <c r="DZF162" s="33"/>
      <c r="DZG162" s="33"/>
      <c r="DZH162" s="33"/>
      <c r="DZI162" s="33"/>
      <c r="DZJ162" s="33"/>
      <c r="DZK162" s="33"/>
      <c r="DZL162" s="33"/>
      <c r="DZM162" s="33"/>
      <c r="DZN162" s="33"/>
      <c r="DZO162" s="33"/>
      <c r="DZP162" s="33"/>
      <c r="DZQ162" s="33"/>
      <c r="DZR162" s="33"/>
      <c r="DZS162" s="33"/>
      <c r="DZT162" s="33"/>
      <c r="DZU162" s="33"/>
      <c r="DZV162" s="33"/>
      <c r="DZW162" s="33"/>
      <c r="DZX162" s="33"/>
      <c r="DZY162" s="33"/>
      <c r="DZZ162" s="33"/>
      <c r="EAA162" s="33"/>
      <c r="EAB162" s="33"/>
      <c r="EAC162" s="33"/>
      <c r="EAD162" s="33"/>
      <c r="EAE162" s="33"/>
      <c r="EAF162" s="33"/>
      <c r="EAG162" s="33"/>
      <c r="EAH162" s="33"/>
      <c r="EAI162" s="33"/>
      <c r="EAJ162" s="33"/>
      <c r="EAK162" s="33"/>
      <c r="EAL162" s="33"/>
      <c r="EAM162" s="33"/>
      <c r="EAN162" s="33"/>
      <c r="EAO162" s="33"/>
      <c r="EAP162" s="33"/>
      <c r="EAQ162" s="33"/>
      <c r="EAR162" s="33"/>
      <c r="EAS162" s="33"/>
      <c r="EAT162" s="33"/>
      <c r="EAU162" s="33"/>
      <c r="EAV162" s="33"/>
      <c r="EAW162" s="33"/>
      <c r="EAX162" s="33"/>
      <c r="EAY162" s="33"/>
      <c r="EAZ162" s="33"/>
      <c r="EBA162" s="33"/>
      <c r="EBB162" s="33"/>
      <c r="EBC162" s="33"/>
      <c r="EBD162" s="33"/>
      <c r="EBE162" s="33"/>
      <c r="EBF162" s="33"/>
      <c r="EBG162" s="33"/>
      <c r="EBH162" s="33"/>
      <c r="EBI162" s="33"/>
      <c r="EBJ162" s="33"/>
      <c r="EBK162" s="33"/>
      <c r="EBL162" s="33"/>
      <c r="EBM162" s="33"/>
      <c r="EBN162" s="33"/>
      <c r="EBO162" s="33"/>
      <c r="EBP162" s="33"/>
      <c r="EBQ162" s="33"/>
      <c r="EBR162" s="33"/>
      <c r="EBS162" s="33"/>
      <c r="EBT162" s="33"/>
      <c r="EBU162" s="33"/>
      <c r="EBV162" s="33"/>
      <c r="EBW162" s="33"/>
      <c r="EBX162" s="33"/>
      <c r="EBY162" s="33"/>
      <c r="EBZ162" s="33"/>
      <c r="ECA162" s="33"/>
      <c r="ECB162" s="33"/>
      <c r="ECC162" s="33"/>
      <c r="ECD162" s="33"/>
      <c r="ECE162" s="33"/>
      <c r="ECF162" s="33"/>
      <c r="ECG162" s="33"/>
      <c r="ECH162" s="33"/>
      <c r="ECI162" s="33"/>
      <c r="ECJ162" s="33"/>
      <c r="ECK162" s="33"/>
      <c r="ECL162" s="33"/>
      <c r="ECM162" s="33"/>
      <c r="ECN162" s="33"/>
      <c r="ECO162" s="33"/>
      <c r="ECP162" s="33"/>
      <c r="ECQ162" s="33"/>
      <c r="ECR162" s="33"/>
      <c r="ECS162" s="33"/>
      <c r="ECT162" s="33"/>
      <c r="ECU162" s="33"/>
      <c r="ECV162" s="33"/>
      <c r="ECW162" s="33"/>
      <c r="ECX162" s="33"/>
      <c r="ECY162" s="33"/>
      <c r="ECZ162" s="33"/>
      <c r="EDA162" s="33"/>
      <c r="EDB162" s="33"/>
      <c r="EDC162" s="33"/>
      <c r="EDD162" s="33"/>
      <c r="EDE162" s="33"/>
      <c r="EDF162" s="33"/>
      <c r="EDG162" s="33"/>
      <c r="EDH162" s="33"/>
      <c r="EDI162" s="33"/>
      <c r="EDJ162" s="33"/>
      <c r="EDK162" s="33"/>
      <c r="EDL162" s="33"/>
      <c r="EDM162" s="33"/>
      <c r="EDN162" s="33"/>
      <c r="EDO162" s="33"/>
      <c r="EDP162" s="33"/>
      <c r="EDQ162" s="33"/>
      <c r="EDR162" s="33"/>
      <c r="EDS162" s="33"/>
      <c r="EDT162" s="33"/>
      <c r="EDU162" s="33"/>
      <c r="EDV162" s="33"/>
      <c r="EDW162" s="33"/>
      <c r="EDX162" s="33"/>
      <c r="EDY162" s="33"/>
      <c r="EDZ162" s="33"/>
      <c r="EEA162" s="33"/>
      <c r="EEB162" s="33"/>
      <c r="EEC162" s="33"/>
      <c r="EED162" s="33"/>
      <c r="EEE162" s="33"/>
      <c r="EEF162" s="33"/>
      <c r="EEG162" s="33"/>
      <c r="EEH162" s="33"/>
      <c r="EEI162" s="33"/>
      <c r="EEJ162" s="33"/>
      <c r="EEK162" s="33"/>
      <c r="EEL162" s="33"/>
      <c r="EEM162" s="33"/>
      <c r="EEN162" s="33"/>
      <c r="EEO162" s="33"/>
      <c r="EEP162" s="33"/>
      <c r="EEQ162" s="33"/>
      <c r="EER162" s="33"/>
      <c r="EES162" s="33"/>
      <c r="EET162" s="33"/>
      <c r="EEU162" s="33"/>
      <c r="EEV162" s="33"/>
      <c r="EEW162" s="33"/>
      <c r="EEX162" s="33"/>
      <c r="EEY162" s="33"/>
      <c r="EEZ162" s="33"/>
      <c r="EFA162" s="33"/>
      <c r="EFB162" s="33"/>
      <c r="EFC162" s="33"/>
      <c r="EFD162" s="33"/>
      <c r="EFE162" s="33"/>
      <c r="EFF162" s="33"/>
      <c r="EFG162" s="33"/>
      <c r="EFH162" s="33"/>
      <c r="EFI162" s="33"/>
      <c r="EFJ162" s="33"/>
      <c r="EFK162" s="33"/>
      <c r="EFL162" s="33"/>
      <c r="EFM162" s="33"/>
      <c r="EFN162" s="33"/>
      <c r="EFO162" s="33"/>
      <c r="EFP162" s="33"/>
      <c r="EFQ162" s="33"/>
      <c r="EFR162" s="33"/>
      <c r="EFS162" s="33"/>
      <c r="EFT162" s="33"/>
      <c r="EFU162" s="33"/>
      <c r="EFV162" s="33"/>
      <c r="EFW162" s="33"/>
      <c r="EFX162" s="33"/>
      <c r="EFY162" s="33"/>
      <c r="EFZ162" s="33"/>
      <c r="EGA162" s="33"/>
      <c r="EGB162" s="33"/>
      <c r="EGC162" s="33"/>
      <c r="EGD162" s="33"/>
      <c r="EGE162" s="33"/>
      <c r="EGF162" s="33"/>
      <c r="EGG162" s="33"/>
      <c r="EGH162" s="33"/>
      <c r="EGI162" s="33"/>
      <c r="EGJ162" s="33"/>
      <c r="EGK162" s="33"/>
      <c r="EGL162" s="33"/>
      <c r="EGM162" s="33"/>
      <c r="EGN162" s="33"/>
      <c r="EGO162" s="33"/>
      <c r="EGP162" s="33"/>
      <c r="EGQ162" s="33"/>
      <c r="EGR162" s="33"/>
      <c r="EGS162" s="33"/>
      <c r="EGT162" s="33"/>
      <c r="EGU162" s="33"/>
      <c r="EGV162" s="33"/>
      <c r="EGW162" s="33"/>
      <c r="EGX162" s="33"/>
      <c r="EGY162" s="33"/>
      <c r="EGZ162" s="33"/>
      <c r="EHA162" s="33"/>
      <c r="EHB162" s="33"/>
      <c r="EHC162" s="33"/>
      <c r="EHD162" s="33"/>
      <c r="EHE162" s="33"/>
      <c r="EHF162" s="33"/>
      <c r="EHG162" s="33"/>
      <c r="EHH162" s="33"/>
      <c r="EHI162" s="33"/>
      <c r="EHJ162" s="33"/>
      <c r="EHK162" s="33"/>
      <c r="EHL162" s="33"/>
      <c r="EHM162" s="33"/>
      <c r="EHN162" s="33"/>
      <c r="EHO162" s="33"/>
      <c r="EHP162" s="33"/>
      <c r="EHQ162" s="33"/>
      <c r="EHR162" s="33"/>
      <c r="EHS162" s="33"/>
      <c r="EHT162" s="33"/>
      <c r="EHU162" s="33"/>
      <c r="EHV162" s="33"/>
      <c r="EHW162" s="33"/>
      <c r="EHX162" s="33"/>
      <c r="EHY162" s="33"/>
      <c r="EHZ162" s="33"/>
      <c r="EIA162" s="33"/>
      <c r="EIB162" s="33"/>
      <c r="EIC162" s="33"/>
      <c r="EID162" s="33"/>
      <c r="EIE162" s="33"/>
      <c r="EIF162" s="33"/>
      <c r="EIG162" s="33"/>
      <c r="EIH162" s="33"/>
      <c r="EII162" s="33"/>
      <c r="EIJ162" s="33"/>
      <c r="EIK162" s="33"/>
      <c r="EIL162" s="33"/>
      <c r="EIM162" s="33"/>
      <c r="EIN162" s="33"/>
      <c r="EIO162" s="33"/>
      <c r="EIP162" s="33"/>
      <c r="EIQ162" s="33"/>
      <c r="EIR162" s="33"/>
      <c r="EIS162" s="33"/>
      <c r="EIT162" s="33"/>
      <c r="EIU162" s="33"/>
      <c r="EIV162" s="33"/>
      <c r="EIW162" s="33"/>
      <c r="EIX162" s="33"/>
      <c r="EIY162" s="33"/>
      <c r="EIZ162" s="33"/>
      <c r="EJA162" s="33"/>
      <c r="EJB162" s="33"/>
      <c r="EJC162" s="33"/>
      <c r="EJD162" s="33"/>
      <c r="EJE162" s="33"/>
      <c r="EJF162" s="33"/>
      <c r="EJG162" s="33"/>
      <c r="EJH162" s="33"/>
      <c r="EJI162" s="33"/>
      <c r="EJJ162" s="33"/>
      <c r="EJK162" s="33"/>
      <c r="EJL162" s="33"/>
      <c r="EJM162" s="33"/>
      <c r="EJN162" s="33"/>
      <c r="EJO162" s="33"/>
      <c r="EJP162" s="33"/>
      <c r="EJQ162" s="33"/>
      <c r="EJR162" s="33"/>
      <c r="EJS162" s="33"/>
      <c r="EJT162" s="33"/>
      <c r="EJU162" s="33"/>
      <c r="EJV162" s="33"/>
      <c r="EJW162" s="33"/>
      <c r="EJX162" s="33"/>
      <c r="EJY162" s="33"/>
      <c r="EJZ162" s="33"/>
      <c r="EKA162" s="33"/>
      <c r="EKB162" s="33"/>
      <c r="EKC162" s="33"/>
      <c r="EKD162" s="33"/>
      <c r="EKE162" s="33"/>
      <c r="EKF162" s="33"/>
      <c r="EKG162" s="33"/>
      <c r="EKH162" s="33"/>
      <c r="EKI162" s="33"/>
      <c r="EKJ162" s="33"/>
      <c r="EKK162" s="33"/>
      <c r="EKL162" s="33"/>
      <c r="EKM162" s="33"/>
      <c r="EKN162" s="33"/>
      <c r="EKO162" s="33"/>
      <c r="EKP162" s="33"/>
      <c r="EKQ162" s="33"/>
      <c r="EKR162" s="33"/>
      <c r="EKS162" s="33"/>
      <c r="EKT162" s="33"/>
      <c r="EKU162" s="33"/>
      <c r="EKV162" s="33"/>
      <c r="EKW162" s="33"/>
      <c r="EKX162" s="33"/>
      <c r="EKY162" s="33"/>
      <c r="EKZ162" s="33"/>
      <c r="ELA162" s="33"/>
      <c r="ELB162" s="33"/>
      <c r="ELC162" s="33"/>
      <c r="ELD162" s="33"/>
      <c r="ELE162" s="33"/>
      <c r="ELF162" s="33"/>
      <c r="ELG162" s="33"/>
      <c r="ELH162" s="33"/>
      <c r="ELI162" s="33"/>
      <c r="ELJ162" s="33"/>
      <c r="ELK162" s="33"/>
      <c r="ELL162" s="33"/>
      <c r="ELM162" s="33"/>
      <c r="ELN162" s="33"/>
      <c r="ELO162" s="33"/>
      <c r="ELP162" s="33"/>
      <c r="ELQ162" s="33"/>
      <c r="ELR162" s="33"/>
      <c r="ELS162" s="33"/>
      <c r="ELT162" s="33"/>
      <c r="ELU162" s="33"/>
      <c r="ELV162" s="33"/>
      <c r="ELW162" s="33"/>
      <c r="ELX162" s="33"/>
      <c r="ELY162" s="33"/>
      <c r="ELZ162" s="33"/>
      <c r="EMA162" s="33"/>
      <c r="EMB162" s="33"/>
      <c r="EMC162" s="33"/>
      <c r="EMD162" s="33"/>
      <c r="EME162" s="33"/>
      <c r="EMF162" s="33"/>
      <c r="EMG162" s="33"/>
      <c r="EMH162" s="33"/>
      <c r="EMI162" s="33"/>
      <c r="EMJ162" s="33"/>
      <c r="EMK162" s="33"/>
      <c r="EML162" s="33"/>
      <c r="EMM162" s="33"/>
      <c r="EMN162" s="33"/>
      <c r="EMO162" s="33"/>
      <c r="EMP162" s="33"/>
      <c r="EMQ162" s="33"/>
      <c r="EMR162" s="33"/>
      <c r="EMS162" s="33"/>
      <c r="EMT162" s="33"/>
      <c r="EMU162" s="33"/>
      <c r="EMV162" s="33"/>
      <c r="EMW162" s="33"/>
      <c r="EMX162" s="33"/>
      <c r="EMY162" s="33"/>
      <c r="EMZ162" s="33"/>
      <c r="ENA162" s="33"/>
      <c r="ENB162" s="33"/>
      <c r="ENC162" s="33"/>
      <c r="END162" s="33"/>
      <c r="ENE162" s="33"/>
      <c r="ENF162" s="33"/>
      <c r="ENG162" s="33"/>
      <c r="ENH162" s="33"/>
      <c r="ENI162" s="33"/>
      <c r="ENJ162" s="33"/>
      <c r="ENK162" s="33"/>
      <c r="ENL162" s="33"/>
      <c r="ENM162" s="33"/>
      <c r="ENN162" s="33"/>
      <c r="ENO162" s="33"/>
      <c r="ENP162" s="33"/>
      <c r="ENQ162" s="33"/>
      <c r="ENR162" s="33"/>
      <c r="ENS162" s="33"/>
      <c r="ENT162" s="33"/>
      <c r="ENU162" s="33"/>
      <c r="ENV162" s="33"/>
      <c r="ENW162" s="33"/>
      <c r="ENX162" s="33"/>
      <c r="ENY162" s="33"/>
      <c r="ENZ162" s="33"/>
      <c r="EOA162" s="33"/>
      <c r="EOB162" s="33"/>
      <c r="EOC162" s="33"/>
      <c r="EOD162" s="33"/>
      <c r="EOE162" s="33"/>
      <c r="EOF162" s="33"/>
      <c r="EOG162" s="33"/>
      <c r="EOH162" s="33"/>
      <c r="EOI162" s="33"/>
      <c r="EOJ162" s="33"/>
      <c r="EOK162" s="33"/>
      <c r="EOL162" s="33"/>
      <c r="EOM162" s="33"/>
      <c r="EON162" s="33"/>
      <c r="EOO162" s="33"/>
      <c r="EOP162" s="33"/>
      <c r="EOQ162" s="33"/>
      <c r="EOR162" s="33"/>
      <c r="EOS162" s="33"/>
      <c r="EOT162" s="33"/>
      <c r="EOU162" s="33"/>
      <c r="EOV162" s="33"/>
      <c r="EOW162" s="33"/>
      <c r="EOX162" s="33"/>
      <c r="EOY162" s="33"/>
      <c r="EOZ162" s="33"/>
      <c r="EPA162" s="33"/>
      <c r="EPB162" s="33"/>
      <c r="EPC162" s="33"/>
      <c r="EPD162" s="33"/>
      <c r="EPE162" s="33"/>
      <c r="EPF162" s="33"/>
      <c r="EPG162" s="33"/>
      <c r="EPH162" s="33"/>
      <c r="EPI162" s="33"/>
      <c r="EPJ162" s="33"/>
      <c r="EPK162" s="33"/>
      <c r="EPL162" s="33"/>
      <c r="EPM162" s="33"/>
      <c r="EPN162" s="33"/>
      <c r="EPO162" s="33"/>
      <c r="EPP162" s="33"/>
      <c r="EPQ162" s="33"/>
      <c r="EPR162" s="33"/>
      <c r="EPS162" s="33"/>
      <c r="EPT162" s="33"/>
      <c r="EPU162" s="33"/>
      <c r="EPV162" s="33"/>
      <c r="EPW162" s="33"/>
      <c r="EPX162" s="33"/>
      <c r="EPY162" s="33"/>
      <c r="EPZ162" s="33"/>
      <c r="EQA162" s="33"/>
      <c r="EQB162" s="33"/>
      <c r="EQC162" s="33"/>
      <c r="EQD162" s="33"/>
      <c r="EQE162" s="33"/>
      <c r="EQF162" s="33"/>
      <c r="EQG162" s="33"/>
      <c r="EQH162" s="33"/>
      <c r="EQI162" s="33"/>
      <c r="EQJ162" s="33"/>
      <c r="EQK162" s="33"/>
      <c r="EQL162" s="33"/>
      <c r="EQM162" s="33"/>
      <c r="EQN162" s="33"/>
      <c r="EQO162" s="33"/>
      <c r="EQP162" s="33"/>
      <c r="EQQ162" s="33"/>
      <c r="EQR162" s="33"/>
      <c r="EQS162" s="33"/>
      <c r="EQT162" s="33"/>
      <c r="EQU162" s="33"/>
      <c r="EQV162" s="33"/>
      <c r="EQW162" s="33"/>
      <c r="EQX162" s="33"/>
      <c r="EQY162" s="33"/>
      <c r="EQZ162" s="33"/>
      <c r="ERA162" s="33"/>
      <c r="ERB162" s="33"/>
      <c r="ERC162" s="33"/>
      <c r="ERD162" s="33"/>
      <c r="ERE162" s="33"/>
      <c r="ERF162" s="33"/>
      <c r="ERG162" s="33"/>
      <c r="ERH162" s="33"/>
      <c r="ERI162" s="33"/>
      <c r="ERJ162" s="33"/>
      <c r="ERK162" s="33"/>
      <c r="ERL162" s="33"/>
      <c r="ERM162" s="33"/>
      <c r="ERN162" s="33"/>
      <c r="ERO162" s="33"/>
      <c r="ERP162" s="33"/>
      <c r="ERQ162" s="33"/>
      <c r="ERR162" s="33"/>
      <c r="ERS162" s="33"/>
      <c r="ERT162" s="33"/>
      <c r="ERU162" s="33"/>
      <c r="ERV162" s="33"/>
      <c r="ERW162" s="33"/>
      <c r="ERX162" s="33"/>
      <c r="ERY162" s="33"/>
      <c r="ERZ162" s="33"/>
      <c r="ESA162" s="33"/>
      <c r="ESB162" s="33"/>
      <c r="ESC162" s="33"/>
      <c r="ESD162" s="33"/>
      <c r="ESE162" s="33"/>
      <c r="ESF162" s="33"/>
      <c r="ESG162" s="33"/>
      <c r="ESH162" s="33"/>
      <c r="ESI162" s="33"/>
      <c r="ESJ162" s="33"/>
      <c r="ESK162" s="33"/>
      <c r="ESL162" s="33"/>
      <c r="ESM162" s="33"/>
      <c r="ESN162" s="33"/>
      <c r="ESO162" s="33"/>
      <c r="ESP162" s="33"/>
      <c r="ESQ162" s="33"/>
      <c r="ESR162" s="33"/>
      <c r="ESS162" s="33"/>
      <c r="EST162" s="33"/>
      <c r="ESU162" s="33"/>
      <c r="ESV162" s="33"/>
      <c r="ESW162" s="33"/>
      <c r="ESX162" s="33"/>
      <c r="ESY162" s="33"/>
      <c r="ESZ162" s="33"/>
      <c r="ETA162" s="33"/>
      <c r="ETB162" s="33"/>
      <c r="ETC162" s="33"/>
      <c r="ETD162" s="33"/>
      <c r="ETE162" s="33"/>
      <c r="ETF162" s="33"/>
      <c r="ETG162" s="33"/>
      <c r="ETH162" s="33"/>
      <c r="ETI162" s="33"/>
      <c r="ETJ162" s="33"/>
      <c r="ETK162" s="33"/>
      <c r="ETL162" s="33"/>
      <c r="ETM162" s="33"/>
      <c r="ETN162" s="33"/>
      <c r="ETO162" s="33"/>
      <c r="ETP162" s="33"/>
      <c r="ETQ162" s="33"/>
      <c r="ETR162" s="33"/>
      <c r="ETS162" s="33"/>
      <c r="ETT162" s="33"/>
      <c r="ETU162" s="33"/>
      <c r="ETV162" s="33"/>
      <c r="ETW162" s="33"/>
      <c r="ETX162" s="33"/>
      <c r="ETY162" s="33"/>
      <c r="ETZ162" s="33"/>
      <c r="EUA162" s="33"/>
      <c r="EUB162" s="33"/>
      <c r="EUC162" s="33"/>
      <c r="EUD162" s="33"/>
      <c r="EUE162" s="33"/>
      <c r="EUF162" s="33"/>
      <c r="EUG162" s="33"/>
      <c r="EUH162" s="33"/>
      <c r="EUI162" s="33"/>
      <c r="EUJ162" s="33"/>
      <c r="EUK162" s="33"/>
      <c r="EUL162" s="33"/>
      <c r="EUM162" s="33"/>
      <c r="EUN162" s="33"/>
      <c r="EUO162" s="33"/>
      <c r="EUP162" s="33"/>
      <c r="EUQ162" s="33"/>
      <c r="EUR162" s="33"/>
      <c r="EUS162" s="33"/>
      <c r="EUT162" s="33"/>
      <c r="EUU162" s="33"/>
      <c r="EUV162" s="33"/>
      <c r="EUW162" s="33"/>
      <c r="EUX162" s="33"/>
      <c r="EUY162" s="33"/>
      <c r="EUZ162" s="33"/>
      <c r="EVA162" s="33"/>
      <c r="EVB162" s="33"/>
      <c r="EVC162" s="33"/>
      <c r="EVD162" s="33"/>
      <c r="EVE162" s="33"/>
      <c r="EVF162" s="33"/>
      <c r="EVG162" s="33"/>
      <c r="EVH162" s="33"/>
      <c r="EVI162" s="33"/>
      <c r="EVJ162" s="33"/>
      <c r="EVK162" s="33"/>
      <c r="EVL162" s="33"/>
      <c r="EVM162" s="33"/>
      <c r="EVN162" s="33"/>
      <c r="EVO162" s="33"/>
      <c r="EVP162" s="33"/>
      <c r="EVQ162" s="33"/>
      <c r="EVR162" s="33"/>
      <c r="EVS162" s="33"/>
      <c r="EVT162" s="33"/>
      <c r="EVU162" s="33"/>
      <c r="EVV162" s="33"/>
      <c r="EVW162" s="33"/>
      <c r="EVX162" s="33"/>
      <c r="EVY162" s="33"/>
      <c r="EVZ162" s="33"/>
      <c r="EWA162" s="33"/>
      <c r="EWB162" s="33"/>
      <c r="EWC162" s="33"/>
      <c r="EWD162" s="33"/>
      <c r="EWE162" s="33"/>
      <c r="EWF162" s="33"/>
      <c r="EWG162" s="33"/>
      <c r="EWH162" s="33"/>
      <c r="EWI162" s="33"/>
      <c r="EWJ162" s="33"/>
      <c r="EWK162" s="33"/>
      <c r="EWL162" s="33"/>
      <c r="EWM162" s="33"/>
      <c r="EWN162" s="33"/>
      <c r="EWO162" s="33"/>
      <c r="EWP162" s="33"/>
      <c r="EWQ162" s="33"/>
      <c r="EWR162" s="33"/>
      <c r="EWS162" s="33"/>
      <c r="EWT162" s="33"/>
      <c r="EWU162" s="33"/>
      <c r="EWV162" s="33"/>
      <c r="EWW162" s="33"/>
      <c r="EWX162" s="33"/>
      <c r="EWY162" s="33"/>
      <c r="EWZ162" s="33"/>
      <c r="EXA162" s="33"/>
      <c r="EXB162" s="33"/>
      <c r="EXC162" s="33"/>
      <c r="EXD162" s="33"/>
      <c r="EXE162" s="33"/>
      <c r="EXF162" s="33"/>
      <c r="EXG162" s="33"/>
      <c r="EXH162" s="33"/>
      <c r="EXI162" s="33"/>
      <c r="EXJ162" s="33"/>
      <c r="EXK162" s="33"/>
      <c r="EXL162" s="33"/>
      <c r="EXM162" s="33"/>
      <c r="EXN162" s="33"/>
      <c r="EXO162" s="33"/>
      <c r="EXP162" s="33"/>
      <c r="EXQ162" s="33"/>
      <c r="EXR162" s="33"/>
      <c r="EXS162" s="33"/>
      <c r="EXT162" s="33"/>
      <c r="EXU162" s="33"/>
      <c r="EXV162" s="33"/>
      <c r="EXW162" s="33"/>
      <c r="EXX162" s="33"/>
      <c r="EXY162" s="33"/>
      <c r="EXZ162" s="33"/>
      <c r="EYA162" s="33"/>
      <c r="EYB162" s="33"/>
      <c r="EYC162" s="33"/>
      <c r="EYD162" s="33"/>
      <c r="EYE162" s="33"/>
      <c r="EYF162" s="33"/>
      <c r="EYG162" s="33"/>
      <c r="EYH162" s="33"/>
      <c r="EYI162" s="33"/>
      <c r="EYJ162" s="33"/>
      <c r="EYK162" s="33"/>
      <c r="EYL162" s="33"/>
      <c r="EYM162" s="33"/>
      <c r="EYN162" s="33"/>
      <c r="EYO162" s="33"/>
      <c r="EYP162" s="33"/>
      <c r="EYQ162" s="33"/>
      <c r="EYR162" s="33"/>
      <c r="EYS162" s="33"/>
      <c r="EYT162" s="33"/>
      <c r="EYU162" s="33"/>
      <c r="EYV162" s="33"/>
      <c r="EYW162" s="33"/>
      <c r="EYX162" s="33"/>
      <c r="EYY162" s="33"/>
      <c r="EYZ162" s="33"/>
      <c r="EZA162" s="33"/>
      <c r="EZB162" s="33"/>
      <c r="EZC162" s="33"/>
      <c r="EZD162" s="33"/>
      <c r="EZE162" s="33"/>
      <c r="EZF162" s="33"/>
      <c r="EZG162" s="33"/>
      <c r="EZH162" s="33"/>
      <c r="EZI162" s="33"/>
      <c r="EZJ162" s="33"/>
      <c r="EZK162" s="33"/>
      <c r="EZL162" s="33"/>
      <c r="EZM162" s="33"/>
      <c r="EZN162" s="33"/>
      <c r="EZO162" s="33"/>
      <c r="EZP162" s="33"/>
      <c r="EZQ162" s="33"/>
      <c r="EZR162" s="33"/>
      <c r="EZS162" s="33"/>
      <c r="EZT162" s="33"/>
      <c r="EZU162" s="33"/>
      <c r="EZV162" s="33"/>
      <c r="EZW162" s="33"/>
      <c r="EZX162" s="33"/>
      <c r="EZY162" s="33"/>
      <c r="EZZ162" s="33"/>
      <c r="FAA162" s="33"/>
      <c r="FAB162" s="33"/>
      <c r="FAC162" s="33"/>
      <c r="FAD162" s="33"/>
      <c r="FAE162" s="33"/>
      <c r="FAF162" s="33"/>
      <c r="FAG162" s="33"/>
      <c r="FAH162" s="33"/>
      <c r="FAI162" s="33"/>
      <c r="FAJ162" s="33"/>
      <c r="FAK162" s="33"/>
      <c r="FAL162" s="33"/>
      <c r="FAM162" s="33"/>
      <c r="FAN162" s="33"/>
      <c r="FAO162" s="33"/>
      <c r="FAP162" s="33"/>
      <c r="FAQ162" s="33"/>
      <c r="FAR162" s="33"/>
      <c r="FAS162" s="33"/>
      <c r="FAT162" s="33"/>
      <c r="FAU162" s="33"/>
      <c r="FAV162" s="33"/>
      <c r="FAW162" s="33"/>
      <c r="FAX162" s="33"/>
      <c r="FAY162" s="33"/>
      <c r="FAZ162" s="33"/>
      <c r="FBA162" s="33"/>
      <c r="FBB162" s="33"/>
      <c r="FBC162" s="33"/>
      <c r="FBD162" s="33"/>
      <c r="FBE162" s="33"/>
      <c r="FBF162" s="33"/>
      <c r="FBG162" s="33"/>
      <c r="FBH162" s="33"/>
      <c r="FBI162" s="33"/>
      <c r="FBJ162" s="33"/>
      <c r="FBK162" s="33"/>
      <c r="FBL162" s="33"/>
      <c r="FBM162" s="33"/>
      <c r="FBN162" s="33"/>
      <c r="FBO162" s="33"/>
      <c r="FBP162" s="33"/>
      <c r="FBQ162" s="33"/>
      <c r="FBR162" s="33"/>
      <c r="FBS162" s="33"/>
      <c r="FBT162" s="33"/>
      <c r="FBU162" s="33"/>
      <c r="FBV162" s="33"/>
      <c r="FBW162" s="33"/>
      <c r="FBX162" s="33"/>
      <c r="FBY162" s="33"/>
      <c r="FBZ162" s="33"/>
      <c r="FCA162" s="33"/>
      <c r="FCB162" s="33"/>
      <c r="FCC162" s="33"/>
      <c r="FCD162" s="33"/>
      <c r="FCE162" s="33"/>
      <c r="FCF162" s="33"/>
      <c r="FCG162" s="33"/>
      <c r="FCH162" s="33"/>
      <c r="FCI162" s="33"/>
      <c r="FCJ162" s="33"/>
      <c r="FCK162" s="33"/>
      <c r="FCL162" s="33"/>
      <c r="FCM162" s="33"/>
      <c r="FCN162" s="33"/>
      <c r="FCO162" s="33"/>
      <c r="FCP162" s="33"/>
      <c r="FCQ162" s="33"/>
      <c r="FCR162" s="33"/>
      <c r="FCS162" s="33"/>
      <c r="FCT162" s="33"/>
      <c r="FCU162" s="33"/>
      <c r="FCV162" s="33"/>
      <c r="FCW162" s="33"/>
      <c r="FCX162" s="33"/>
      <c r="FCY162" s="33"/>
      <c r="FCZ162" s="33"/>
      <c r="FDA162" s="33"/>
      <c r="FDB162" s="33"/>
      <c r="FDC162" s="33"/>
      <c r="FDD162" s="33"/>
      <c r="FDE162" s="33"/>
      <c r="FDF162" s="33"/>
      <c r="FDG162" s="33"/>
      <c r="FDH162" s="33"/>
      <c r="FDI162" s="33"/>
      <c r="FDJ162" s="33"/>
      <c r="FDK162" s="33"/>
      <c r="FDL162" s="33"/>
      <c r="FDM162" s="33"/>
      <c r="FDN162" s="33"/>
      <c r="FDO162" s="33"/>
      <c r="FDP162" s="33"/>
      <c r="FDQ162" s="33"/>
      <c r="FDR162" s="33"/>
      <c r="FDS162" s="33"/>
      <c r="FDT162" s="33"/>
      <c r="FDU162" s="33"/>
      <c r="FDV162" s="33"/>
      <c r="FDW162" s="33"/>
      <c r="FDX162" s="33"/>
      <c r="FDY162" s="33"/>
      <c r="FDZ162" s="33"/>
      <c r="FEA162" s="33"/>
      <c r="FEB162" s="33"/>
      <c r="FEC162" s="33"/>
      <c r="FED162" s="33"/>
      <c r="FEE162" s="33"/>
      <c r="FEF162" s="33"/>
      <c r="FEG162" s="33"/>
      <c r="FEH162" s="33"/>
      <c r="FEI162" s="33"/>
      <c r="FEJ162" s="33"/>
      <c r="FEK162" s="33"/>
      <c r="FEL162" s="33"/>
      <c r="FEM162" s="33"/>
      <c r="FEN162" s="33"/>
      <c r="FEO162" s="33"/>
      <c r="FEP162" s="33"/>
      <c r="FEQ162" s="33"/>
      <c r="FER162" s="33"/>
      <c r="FES162" s="33"/>
      <c r="FET162" s="33"/>
      <c r="FEU162" s="33"/>
      <c r="FEV162" s="33"/>
      <c r="FEW162" s="33"/>
      <c r="FEX162" s="33"/>
      <c r="FEY162" s="33"/>
      <c r="FEZ162" s="33"/>
      <c r="FFA162" s="33"/>
      <c r="FFB162" s="33"/>
      <c r="FFC162" s="33"/>
      <c r="FFD162" s="33"/>
      <c r="FFE162" s="33"/>
      <c r="FFF162" s="33"/>
      <c r="FFG162" s="33"/>
      <c r="FFH162" s="33"/>
      <c r="FFI162" s="33"/>
      <c r="FFJ162" s="33"/>
      <c r="FFK162" s="33"/>
      <c r="FFL162" s="33"/>
      <c r="FFM162" s="33"/>
      <c r="FFN162" s="33"/>
      <c r="FFO162" s="33"/>
      <c r="FFP162" s="33"/>
      <c r="FFQ162" s="33"/>
      <c r="FFR162" s="33"/>
      <c r="FFS162" s="33"/>
      <c r="FFT162" s="33"/>
      <c r="FFU162" s="33"/>
      <c r="FFV162" s="33"/>
      <c r="FFW162" s="33"/>
      <c r="FFX162" s="33"/>
      <c r="FFY162" s="33"/>
      <c r="FFZ162" s="33"/>
      <c r="FGA162" s="33"/>
      <c r="FGB162" s="33"/>
      <c r="FGC162" s="33"/>
      <c r="FGD162" s="33"/>
      <c r="FGE162" s="33"/>
      <c r="FGF162" s="33"/>
      <c r="FGG162" s="33"/>
      <c r="FGH162" s="33"/>
      <c r="FGI162" s="33"/>
      <c r="FGJ162" s="33"/>
      <c r="FGK162" s="33"/>
      <c r="FGL162" s="33"/>
      <c r="FGM162" s="33"/>
      <c r="FGN162" s="33"/>
      <c r="FGO162" s="33"/>
      <c r="FGP162" s="33"/>
      <c r="FGQ162" s="33"/>
      <c r="FGR162" s="33"/>
      <c r="FGS162" s="33"/>
      <c r="FGT162" s="33"/>
      <c r="FGU162" s="33"/>
      <c r="FGV162" s="33"/>
      <c r="FGW162" s="33"/>
      <c r="FGX162" s="33"/>
      <c r="FGY162" s="33"/>
      <c r="FGZ162" s="33"/>
      <c r="FHA162" s="33"/>
      <c r="FHB162" s="33"/>
      <c r="FHC162" s="33"/>
      <c r="FHD162" s="33"/>
      <c r="FHE162" s="33"/>
      <c r="FHF162" s="33"/>
      <c r="FHG162" s="33"/>
      <c r="FHH162" s="33"/>
      <c r="FHI162" s="33"/>
      <c r="FHJ162" s="33"/>
      <c r="FHK162" s="33"/>
      <c r="FHL162" s="33"/>
      <c r="FHM162" s="33"/>
      <c r="FHN162" s="33"/>
      <c r="FHO162" s="33"/>
      <c r="FHP162" s="33"/>
      <c r="FHQ162" s="33"/>
      <c r="FHR162" s="33"/>
      <c r="FHS162" s="33"/>
      <c r="FHT162" s="33"/>
      <c r="FHU162" s="33"/>
      <c r="FHV162" s="33"/>
      <c r="FHW162" s="33"/>
      <c r="FHX162" s="33"/>
      <c r="FHY162" s="33"/>
      <c r="FHZ162" s="33"/>
      <c r="FIA162" s="33"/>
      <c r="FIB162" s="33"/>
      <c r="FIC162" s="33"/>
      <c r="FID162" s="33"/>
      <c r="FIE162" s="33"/>
      <c r="FIF162" s="33"/>
      <c r="FIG162" s="33"/>
      <c r="FIH162" s="33"/>
      <c r="FII162" s="33"/>
      <c r="FIJ162" s="33"/>
      <c r="FIK162" s="33"/>
      <c r="FIL162" s="33"/>
      <c r="FIM162" s="33"/>
      <c r="FIN162" s="33"/>
      <c r="FIO162" s="33"/>
      <c r="FIP162" s="33"/>
      <c r="FIQ162" s="33"/>
      <c r="FIR162" s="33"/>
      <c r="FIS162" s="33"/>
      <c r="FIT162" s="33"/>
      <c r="FIU162" s="33"/>
      <c r="FIV162" s="33"/>
      <c r="FIW162" s="33"/>
      <c r="FIX162" s="33"/>
      <c r="FIY162" s="33"/>
      <c r="FIZ162" s="33"/>
      <c r="FJA162" s="33"/>
      <c r="FJB162" s="33"/>
      <c r="FJC162" s="33"/>
      <c r="FJD162" s="33"/>
      <c r="FJE162" s="33"/>
      <c r="FJF162" s="33"/>
      <c r="FJG162" s="33"/>
      <c r="FJH162" s="33"/>
      <c r="FJI162" s="33"/>
      <c r="FJJ162" s="33"/>
      <c r="FJK162" s="33"/>
      <c r="FJL162" s="33"/>
      <c r="FJM162" s="33"/>
      <c r="FJN162" s="33"/>
      <c r="FJO162" s="33"/>
      <c r="FJP162" s="33"/>
      <c r="FJQ162" s="33"/>
      <c r="FJR162" s="33"/>
      <c r="FJS162" s="33"/>
      <c r="FJT162" s="33"/>
      <c r="FJU162" s="33"/>
      <c r="FJV162" s="33"/>
      <c r="FJW162" s="33"/>
      <c r="FJX162" s="33"/>
      <c r="FJY162" s="33"/>
      <c r="FJZ162" s="33"/>
      <c r="FKA162" s="33"/>
      <c r="FKB162" s="33"/>
      <c r="FKC162" s="33"/>
      <c r="FKD162" s="33"/>
      <c r="FKE162" s="33"/>
      <c r="FKF162" s="33"/>
      <c r="FKG162" s="33"/>
      <c r="FKH162" s="33"/>
      <c r="FKI162" s="33"/>
      <c r="FKJ162" s="33"/>
      <c r="FKK162" s="33"/>
      <c r="FKL162" s="33"/>
      <c r="FKM162" s="33"/>
      <c r="FKN162" s="33"/>
      <c r="FKO162" s="33"/>
      <c r="FKP162" s="33"/>
      <c r="FKQ162" s="33"/>
      <c r="FKR162" s="33"/>
      <c r="FKS162" s="33"/>
      <c r="FKT162" s="33"/>
      <c r="FKU162" s="33"/>
      <c r="FKV162" s="33"/>
      <c r="FKW162" s="33"/>
      <c r="FKX162" s="33"/>
      <c r="FKY162" s="33"/>
      <c r="FKZ162" s="33"/>
      <c r="FLA162" s="33"/>
      <c r="FLB162" s="33"/>
      <c r="FLC162" s="33"/>
      <c r="FLD162" s="33"/>
      <c r="FLE162" s="33"/>
      <c r="FLF162" s="33"/>
      <c r="FLG162" s="33"/>
      <c r="FLH162" s="33"/>
      <c r="FLI162" s="33"/>
      <c r="FLJ162" s="33"/>
      <c r="FLK162" s="33"/>
      <c r="FLL162" s="33"/>
      <c r="FLM162" s="33"/>
      <c r="FLN162" s="33"/>
      <c r="FLO162" s="33"/>
      <c r="FLP162" s="33"/>
      <c r="FLQ162" s="33"/>
      <c r="FLR162" s="33"/>
      <c r="FLS162" s="33"/>
      <c r="FLT162" s="33"/>
      <c r="FLU162" s="33"/>
      <c r="FLV162" s="33"/>
      <c r="FLW162" s="33"/>
      <c r="FLX162" s="33"/>
      <c r="FLY162" s="33"/>
      <c r="FLZ162" s="33"/>
      <c r="FMA162" s="33"/>
      <c r="FMB162" s="33"/>
      <c r="FMC162" s="33"/>
      <c r="FMD162" s="33"/>
      <c r="FME162" s="33"/>
      <c r="FMF162" s="33"/>
      <c r="FMG162" s="33"/>
      <c r="FMH162" s="33"/>
      <c r="FMI162" s="33"/>
      <c r="FMJ162" s="33"/>
      <c r="FMK162" s="33"/>
      <c r="FML162" s="33"/>
      <c r="FMM162" s="33"/>
      <c r="FMN162" s="33"/>
      <c r="FMO162" s="33"/>
      <c r="FMP162" s="33"/>
      <c r="FMQ162" s="33"/>
      <c r="FMR162" s="33"/>
      <c r="FMS162" s="33"/>
      <c r="FMT162" s="33"/>
      <c r="FMU162" s="33"/>
      <c r="FMV162" s="33"/>
      <c r="FMW162" s="33"/>
      <c r="FMX162" s="33"/>
      <c r="FMY162" s="33"/>
      <c r="FMZ162" s="33"/>
      <c r="FNA162" s="33"/>
      <c r="FNB162" s="33"/>
      <c r="FNC162" s="33"/>
      <c r="FND162" s="33"/>
      <c r="FNE162" s="33"/>
      <c r="FNF162" s="33"/>
      <c r="FNG162" s="33"/>
      <c r="FNH162" s="33"/>
      <c r="FNI162" s="33"/>
      <c r="FNJ162" s="33"/>
      <c r="FNK162" s="33"/>
      <c r="FNL162" s="33"/>
      <c r="FNM162" s="33"/>
      <c r="FNN162" s="33"/>
      <c r="FNO162" s="33"/>
      <c r="FNP162" s="33"/>
      <c r="FNQ162" s="33"/>
      <c r="FNR162" s="33"/>
      <c r="FNS162" s="33"/>
      <c r="FNT162" s="33"/>
      <c r="FNU162" s="33"/>
      <c r="FNV162" s="33"/>
      <c r="FNW162" s="33"/>
      <c r="FNX162" s="33"/>
      <c r="FNY162" s="33"/>
      <c r="FNZ162" s="33"/>
      <c r="FOA162" s="33"/>
      <c r="FOB162" s="33"/>
      <c r="FOC162" s="33"/>
      <c r="FOD162" s="33"/>
      <c r="FOE162" s="33"/>
      <c r="FOF162" s="33"/>
      <c r="FOG162" s="33"/>
      <c r="FOH162" s="33"/>
      <c r="FOI162" s="33"/>
      <c r="FOJ162" s="33"/>
      <c r="FOK162" s="33"/>
      <c r="FOL162" s="33"/>
      <c r="FOM162" s="33"/>
      <c r="FON162" s="33"/>
      <c r="FOO162" s="33"/>
      <c r="FOP162" s="33"/>
      <c r="FOQ162" s="33"/>
      <c r="FOR162" s="33"/>
      <c r="FOS162" s="33"/>
      <c r="FOT162" s="33"/>
      <c r="FOU162" s="33"/>
      <c r="FOV162" s="33"/>
      <c r="FOW162" s="33"/>
      <c r="FOX162" s="33"/>
      <c r="FOY162" s="33"/>
      <c r="FOZ162" s="33"/>
      <c r="FPA162" s="33"/>
      <c r="FPB162" s="33"/>
      <c r="FPC162" s="33"/>
      <c r="FPD162" s="33"/>
      <c r="FPE162" s="33"/>
      <c r="FPF162" s="33"/>
      <c r="FPG162" s="33"/>
      <c r="FPH162" s="33"/>
      <c r="FPI162" s="33"/>
      <c r="FPJ162" s="33"/>
      <c r="FPK162" s="33"/>
      <c r="FPL162" s="33"/>
      <c r="FPM162" s="33"/>
      <c r="FPN162" s="33"/>
      <c r="FPO162" s="33"/>
      <c r="FPP162" s="33"/>
      <c r="FPQ162" s="33"/>
      <c r="FPR162" s="33"/>
      <c r="FPS162" s="33"/>
      <c r="FPT162" s="33"/>
      <c r="FPU162" s="33"/>
      <c r="FPV162" s="33"/>
      <c r="FPW162" s="33"/>
      <c r="FPX162" s="33"/>
      <c r="FPY162" s="33"/>
      <c r="FPZ162" s="33"/>
      <c r="FQA162" s="33"/>
      <c r="FQB162" s="33"/>
      <c r="FQC162" s="33"/>
      <c r="FQD162" s="33"/>
      <c r="FQE162" s="33"/>
      <c r="FQF162" s="33"/>
      <c r="FQG162" s="33"/>
      <c r="FQH162" s="33"/>
      <c r="FQI162" s="33"/>
      <c r="FQJ162" s="33"/>
      <c r="FQK162" s="33"/>
      <c r="FQL162" s="33"/>
      <c r="FQM162" s="33"/>
      <c r="FQN162" s="33"/>
      <c r="FQO162" s="33"/>
      <c r="FQP162" s="33"/>
      <c r="FQQ162" s="33"/>
      <c r="FQR162" s="33"/>
      <c r="FQS162" s="33"/>
      <c r="FQT162" s="33"/>
      <c r="FQU162" s="33"/>
      <c r="FQV162" s="33"/>
      <c r="FQW162" s="33"/>
      <c r="FQX162" s="33"/>
      <c r="FQY162" s="33"/>
      <c r="FQZ162" s="33"/>
      <c r="FRA162" s="33"/>
      <c r="FRB162" s="33"/>
      <c r="FRC162" s="33"/>
      <c r="FRD162" s="33"/>
      <c r="FRE162" s="33"/>
      <c r="FRF162" s="33"/>
      <c r="FRG162" s="33"/>
      <c r="FRH162" s="33"/>
      <c r="FRI162" s="33"/>
      <c r="FRJ162" s="33"/>
      <c r="FRK162" s="33"/>
      <c r="FRL162" s="33"/>
      <c r="FRM162" s="33"/>
      <c r="FRN162" s="33"/>
      <c r="FRO162" s="33"/>
      <c r="FRP162" s="33"/>
      <c r="FRQ162" s="33"/>
      <c r="FRR162" s="33"/>
      <c r="FRS162" s="33"/>
      <c r="FRT162" s="33"/>
      <c r="FRU162" s="33"/>
      <c r="FRV162" s="33"/>
      <c r="FRW162" s="33"/>
      <c r="FRX162" s="33"/>
      <c r="FRY162" s="33"/>
      <c r="FRZ162" s="33"/>
      <c r="FSA162" s="33"/>
      <c r="FSB162" s="33"/>
      <c r="FSC162" s="33"/>
      <c r="FSD162" s="33"/>
      <c r="FSE162" s="33"/>
      <c r="FSF162" s="33"/>
      <c r="FSG162" s="33"/>
      <c r="FSH162" s="33"/>
      <c r="FSI162" s="33"/>
      <c r="FSJ162" s="33"/>
      <c r="FSK162" s="33"/>
      <c r="FSL162" s="33"/>
      <c r="FSM162" s="33"/>
      <c r="FSN162" s="33"/>
      <c r="FSO162" s="33"/>
      <c r="FSP162" s="33"/>
      <c r="FSQ162" s="33"/>
      <c r="FSR162" s="33"/>
      <c r="FSS162" s="33"/>
      <c r="FST162" s="33"/>
      <c r="FSU162" s="33"/>
      <c r="FSV162" s="33"/>
      <c r="FSW162" s="33"/>
      <c r="FSX162" s="33"/>
      <c r="FSY162" s="33"/>
      <c r="FSZ162" s="33"/>
      <c r="FTA162" s="33"/>
      <c r="FTB162" s="33"/>
      <c r="FTC162" s="33"/>
      <c r="FTD162" s="33"/>
      <c r="FTE162" s="33"/>
      <c r="FTF162" s="33"/>
      <c r="FTG162" s="33"/>
      <c r="FTH162" s="33"/>
      <c r="FTI162" s="33"/>
      <c r="FTJ162" s="33"/>
      <c r="FTK162" s="33"/>
      <c r="FTL162" s="33"/>
      <c r="FTM162" s="33"/>
      <c r="FTN162" s="33"/>
      <c r="FTO162" s="33"/>
      <c r="FTP162" s="33"/>
      <c r="FTQ162" s="33"/>
      <c r="FTR162" s="33"/>
      <c r="FTS162" s="33"/>
      <c r="FTT162" s="33"/>
      <c r="FTU162" s="33"/>
      <c r="FTV162" s="33"/>
      <c r="FTW162" s="33"/>
      <c r="FTX162" s="33"/>
      <c r="FTY162" s="33"/>
      <c r="FTZ162" s="33"/>
      <c r="FUA162" s="33"/>
      <c r="FUB162" s="33"/>
      <c r="FUC162" s="33"/>
      <c r="FUD162" s="33"/>
      <c r="FUE162" s="33"/>
      <c r="FUF162" s="33"/>
      <c r="FUG162" s="33"/>
      <c r="FUH162" s="33"/>
      <c r="FUI162" s="33"/>
      <c r="FUJ162" s="33"/>
      <c r="FUK162" s="33"/>
      <c r="FUL162" s="33"/>
      <c r="FUM162" s="33"/>
      <c r="FUN162" s="33"/>
      <c r="FUO162" s="33"/>
      <c r="FUP162" s="33"/>
      <c r="FUQ162" s="33"/>
      <c r="FUR162" s="33"/>
      <c r="FUS162" s="33"/>
      <c r="FUT162" s="33"/>
      <c r="FUU162" s="33"/>
      <c r="FUV162" s="33"/>
      <c r="FUW162" s="33"/>
      <c r="FUX162" s="33"/>
      <c r="FUY162" s="33"/>
      <c r="FUZ162" s="33"/>
      <c r="FVA162" s="33"/>
      <c r="FVB162" s="33"/>
      <c r="FVC162" s="33"/>
      <c r="FVD162" s="33"/>
      <c r="FVE162" s="33"/>
      <c r="FVF162" s="33"/>
      <c r="FVG162" s="33"/>
      <c r="FVH162" s="33"/>
      <c r="FVI162" s="33"/>
      <c r="FVJ162" s="33"/>
      <c r="FVK162" s="33"/>
      <c r="FVL162" s="33"/>
      <c r="FVM162" s="33"/>
      <c r="FVN162" s="33"/>
      <c r="FVO162" s="33"/>
      <c r="FVP162" s="33"/>
      <c r="FVQ162" s="33"/>
      <c r="FVR162" s="33"/>
      <c r="FVS162" s="33"/>
      <c r="FVT162" s="33"/>
      <c r="FVU162" s="33"/>
      <c r="FVV162" s="33"/>
      <c r="FVW162" s="33"/>
      <c r="FVX162" s="33"/>
      <c r="FVY162" s="33"/>
      <c r="FVZ162" s="33"/>
      <c r="FWA162" s="33"/>
      <c r="FWB162" s="33"/>
      <c r="FWC162" s="33"/>
      <c r="FWD162" s="33"/>
      <c r="FWE162" s="33"/>
      <c r="FWF162" s="33"/>
      <c r="FWG162" s="33"/>
      <c r="FWH162" s="33"/>
      <c r="FWI162" s="33"/>
      <c r="FWJ162" s="33"/>
      <c r="FWK162" s="33"/>
      <c r="FWL162" s="33"/>
      <c r="FWM162" s="33"/>
      <c r="FWN162" s="33"/>
      <c r="FWO162" s="33"/>
      <c r="FWP162" s="33"/>
      <c r="FWQ162" s="33"/>
      <c r="FWR162" s="33"/>
      <c r="FWS162" s="33"/>
      <c r="FWT162" s="33"/>
      <c r="FWU162" s="33"/>
      <c r="FWV162" s="33"/>
      <c r="FWW162" s="33"/>
      <c r="FWX162" s="33"/>
      <c r="FWY162" s="33"/>
      <c r="FWZ162" s="33"/>
      <c r="FXA162" s="33"/>
      <c r="FXB162" s="33"/>
      <c r="FXC162" s="33"/>
      <c r="FXD162" s="33"/>
      <c r="FXE162" s="33"/>
      <c r="FXF162" s="33"/>
      <c r="FXG162" s="33"/>
      <c r="FXH162" s="33"/>
      <c r="FXI162" s="33"/>
      <c r="FXJ162" s="33"/>
      <c r="FXK162" s="33"/>
      <c r="FXL162" s="33"/>
      <c r="FXM162" s="33"/>
      <c r="FXN162" s="33"/>
      <c r="FXO162" s="33"/>
      <c r="FXP162" s="33"/>
      <c r="FXQ162" s="33"/>
      <c r="FXR162" s="33"/>
      <c r="FXS162" s="33"/>
      <c r="FXT162" s="33"/>
      <c r="FXU162" s="33"/>
      <c r="FXV162" s="33"/>
      <c r="FXW162" s="33"/>
      <c r="FXX162" s="33"/>
      <c r="FXY162" s="33"/>
      <c r="FXZ162" s="33"/>
      <c r="FYA162" s="33"/>
      <c r="FYB162" s="33"/>
      <c r="FYC162" s="33"/>
      <c r="FYD162" s="33"/>
      <c r="FYE162" s="33"/>
      <c r="FYF162" s="33"/>
      <c r="FYG162" s="33"/>
      <c r="FYH162" s="33"/>
      <c r="FYI162" s="33"/>
      <c r="FYJ162" s="33"/>
      <c r="FYK162" s="33"/>
      <c r="FYL162" s="33"/>
      <c r="FYM162" s="33"/>
      <c r="FYN162" s="33"/>
      <c r="FYO162" s="33"/>
      <c r="FYP162" s="33"/>
      <c r="FYQ162" s="33"/>
      <c r="FYR162" s="33"/>
      <c r="FYS162" s="33"/>
      <c r="FYT162" s="33"/>
      <c r="FYU162" s="33"/>
      <c r="FYV162" s="33"/>
      <c r="FYW162" s="33"/>
      <c r="FYX162" s="33"/>
      <c r="FYY162" s="33"/>
      <c r="FYZ162" s="33"/>
      <c r="FZA162" s="33"/>
      <c r="FZB162" s="33"/>
      <c r="FZC162" s="33"/>
      <c r="FZD162" s="33"/>
      <c r="FZE162" s="33"/>
      <c r="FZF162" s="33"/>
      <c r="FZG162" s="33"/>
      <c r="FZH162" s="33"/>
      <c r="FZI162" s="33"/>
      <c r="FZJ162" s="33"/>
      <c r="FZK162" s="33"/>
      <c r="FZL162" s="33"/>
      <c r="FZM162" s="33"/>
      <c r="FZN162" s="33"/>
      <c r="FZO162" s="33"/>
      <c r="FZP162" s="33"/>
      <c r="FZQ162" s="33"/>
      <c r="FZR162" s="33"/>
      <c r="FZS162" s="33"/>
      <c r="FZT162" s="33"/>
      <c r="FZU162" s="33"/>
      <c r="FZV162" s="33"/>
      <c r="FZW162" s="33"/>
      <c r="FZX162" s="33"/>
      <c r="FZY162" s="33"/>
      <c r="FZZ162" s="33"/>
      <c r="GAA162" s="33"/>
      <c r="GAB162" s="33"/>
      <c r="GAC162" s="33"/>
      <c r="GAD162" s="33"/>
      <c r="GAE162" s="33"/>
      <c r="GAF162" s="33"/>
      <c r="GAG162" s="33"/>
      <c r="GAH162" s="33"/>
      <c r="GAI162" s="33"/>
      <c r="GAJ162" s="33"/>
      <c r="GAK162" s="33"/>
      <c r="GAL162" s="33"/>
      <c r="GAM162" s="33"/>
      <c r="GAN162" s="33"/>
      <c r="GAO162" s="33"/>
      <c r="GAP162" s="33"/>
      <c r="GAQ162" s="33"/>
      <c r="GAR162" s="33"/>
      <c r="GAS162" s="33"/>
      <c r="GAT162" s="33"/>
      <c r="GAU162" s="33"/>
      <c r="GAV162" s="33"/>
      <c r="GAW162" s="33"/>
      <c r="GAX162" s="33"/>
      <c r="GAY162" s="33"/>
      <c r="GAZ162" s="33"/>
      <c r="GBA162" s="33"/>
      <c r="GBB162" s="33"/>
      <c r="GBC162" s="33"/>
      <c r="GBD162" s="33"/>
      <c r="GBE162" s="33"/>
      <c r="GBF162" s="33"/>
      <c r="GBG162" s="33"/>
      <c r="GBH162" s="33"/>
      <c r="GBI162" s="33"/>
      <c r="GBJ162" s="33"/>
      <c r="GBK162" s="33"/>
      <c r="GBL162" s="33"/>
      <c r="GBM162" s="33"/>
      <c r="GBN162" s="33"/>
      <c r="GBO162" s="33"/>
      <c r="GBP162" s="33"/>
      <c r="GBQ162" s="33"/>
      <c r="GBR162" s="33"/>
      <c r="GBS162" s="33"/>
      <c r="GBT162" s="33"/>
      <c r="GBU162" s="33"/>
      <c r="GBV162" s="33"/>
      <c r="GBW162" s="33"/>
      <c r="GBX162" s="33"/>
      <c r="GBY162" s="33"/>
      <c r="GBZ162" s="33"/>
      <c r="GCA162" s="33"/>
      <c r="GCB162" s="33"/>
      <c r="GCC162" s="33"/>
      <c r="GCD162" s="33"/>
      <c r="GCE162" s="33"/>
      <c r="GCF162" s="33"/>
      <c r="GCG162" s="33"/>
      <c r="GCH162" s="33"/>
      <c r="GCI162" s="33"/>
      <c r="GCJ162" s="33"/>
      <c r="GCK162" s="33"/>
      <c r="GCL162" s="33"/>
      <c r="GCM162" s="33"/>
      <c r="GCN162" s="33"/>
      <c r="GCO162" s="33"/>
      <c r="GCP162" s="33"/>
      <c r="GCQ162" s="33"/>
      <c r="GCR162" s="33"/>
      <c r="GCS162" s="33"/>
      <c r="GCT162" s="33"/>
      <c r="GCU162" s="33"/>
      <c r="GCV162" s="33"/>
      <c r="GCW162" s="33"/>
      <c r="GCX162" s="33"/>
      <c r="GCY162" s="33"/>
      <c r="GCZ162" s="33"/>
      <c r="GDA162" s="33"/>
      <c r="GDB162" s="33"/>
      <c r="GDC162" s="33"/>
      <c r="GDD162" s="33"/>
      <c r="GDE162" s="33"/>
      <c r="GDF162" s="33"/>
      <c r="GDG162" s="33"/>
      <c r="GDH162" s="33"/>
      <c r="GDI162" s="33"/>
      <c r="GDJ162" s="33"/>
      <c r="GDK162" s="33"/>
      <c r="GDL162" s="33"/>
      <c r="GDM162" s="33"/>
      <c r="GDN162" s="33"/>
      <c r="GDO162" s="33"/>
      <c r="GDP162" s="33"/>
      <c r="GDQ162" s="33"/>
      <c r="GDR162" s="33"/>
      <c r="GDS162" s="33"/>
      <c r="GDT162" s="33"/>
      <c r="GDU162" s="33"/>
      <c r="GDV162" s="33"/>
      <c r="GDW162" s="33"/>
      <c r="GDX162" s="33"/>
      <c r="GDY162" s="33"/>
      <c r="GDZ162" s="33"/>
      <c r="GEA162" s="33"/>
      <c r="GEB162" s="33"/>
      <c r="GEC162" s="33"/>
      <c r="GED162" s="33"/>
      <c r="GEE162" s="33"/>
      <c r="GEF162" s="33"/>
      <c r="GEG162" s="33"/>
      <c r="GEH162" s="33"/>
      <c r="GEI162" s="33"/>
      <c r="GEJ162" s="33"/>
      <c r="GEK162" s="33"/>
      <c r="GEL162" s="33"/>
      <c r="GEM162" s="33"/>
      <c r="GEN162" s="33"/>
      <c r="GEO162" s="33"/>
      <c r="GEP162" s="33"/>
      <c r="GEQ162" s="33"/>
      <c r="GER162" s="33"/>
      <c r="GES162" s="33"/>
      <c r="GET162" s="33"/>
      <c r="GEU162" s="33"/>
      <c r="GEV162" s="33"/>
      <c r="GEW162" s="33"/>
      <c r="GEX162" s="33"/>
      <c r="GEY162" s="33"/>
      <c r="GEZ162" s="33"/>
      <c r="GFA162" s="33"/>
      <c r="GFB162" s="33"/>
      <c r="GFC162" s="33"/>
      <c r="GFD162" s="33"/>
      <c r="GFE162" s="33"/>
      <c r="GFF162" s="33"/>
      <c r="GFG162" s="33"/>
      <c r="GFH162" s="33"/>
      <c r="GFI162" s="33"/>
      <c r="GFJ162" s="33"/>
      <c r="GFK162" s="33"/>
      <c r="GFL162" s="33"/>
      <c r="GFM162" s="33"/>
      <c r="GFN162" s="33"/>
      <c r="GFO162" s="33"/>
      <c r="GFP162" s="33"/>
      <c r="GFQ162" s="33"/>
      <c r="GFR162" s="33"/>
      <c r="GFS162" s="33"/>
      <c r="GFT162" s="33"/>
      <c r="GFU162" s="33"/>
      <c r="GFV162" s="33"/>
      <c r="GFW162" s="33"/>
      <c r="GFX162" s="33"/>
      <c r="GFY162" s="33"/>
      <c r="GFZ162" s="33"/>
      <c r="GGA162" s="33"/>
      <c r="GGB162" s="33"/>
      <c r="GGC162" s="33"/>
      <c r="GGD162" s="33"/>
      <c r="GGE162" s="33"/>
      <c r="GGF162" s="33"/>
      <c r="GGG162" s="33"/>
      <c r="GGH162" s="33"/>
      <c r="GGI162" s="33"/>
      <c r="GGJ162" s="33"/>
      <c r="GGK162" s="33"/>
      <c r="GGL162" s="33"/>
      <c r="GGM162" s="33"/>
      <c r="GGN162" s="33"/>
      <c r="GGO162" s="33"/>
      <c r="GGP162" s="33"/>
      <c r="GGQ162" s="33"/>
      <c r="GGR162" s="33"/>
      <c r="GGS162" s="33"/>
      <c r="GGT162" s="33"/>
      <c r="GGU162" s="33"/>
      <c r="GGV162" s="33"/>
      <c r="GGW162" s="33"/>
      <c r="GGX162" s="33"/>
      <c r="GGY162" s="33"/>
      <c r="GGZ162" s="33"/>
      <c r="GHA162" s="33"/>
      <c r="GHB162" s="33"/>
      <c r="GHC162" s="33"/>
      <c r="GHD162" s="33"/>
      <c r="GHE162" s="33"/>
      <c r="GHF162" s="33"/>
      <c r="GHG162" s="33"/>
      <c r="GHH162" s="33"/>
      <c r="GHI162" s="33"/>
      <c r="GHJ162" s="33"/>
      <c r="GHK162" s="33"/>
      <c r="GHL162" s="33"/>
      <c r="GHM162" s="33"/>
      <c r="GHN162" s="33"/>
      <c r="GHO162" s="33"/>
      <c r="GHP162" s="33"/>
      <c r="GHQ162" s="33"/>
      <c r="GHR162" s="33"/>
      <c r="GHS162" s="33"/>
      <c r="GHT162" s="33"/>
      <c r="GHU162" s="33"/>
      <c r="GHV162" s="33"/>
      <c r="GHW162" s="33"/>
      <c r="GHX162" s="33"/>
      <c r="GHY162" s="33"/>
      <c r="GHZ162" s="33"/>
      <c r="GIA162" s="33"/>
      <c r="GIB162" s="33"/>
      <c r="GIC162" s="33"/>
      <c r="GID162" s="33"/>
      <c r="GIE162" s="33"/>
      <c r="GIF162" s="33"/>
      <c r="GIG162" s="33"/>
      <c r="GIH162" s="33"/>
      <c r="GII162" s="33"/>
      <c r="GIJ162" s="33"/>
      <c r="GIK162" s="33"/>
      <c r="GIL162" s="33"/>
      <c r="GIM162" s="33"/>
      <c r="GIN162" s="33"/>
      <c r="GIO162" s="33"/>
      <c r="GIP162" s="33"/>
      <c r="GIQ162" s="33"/>
      <c r="GIR162" s="33"/>
      <c r="GIS162" s="33"/>
      <c r="GIT162" s="33"/>
      <c r="GIU162" s="33"/>
      <c r="GIV162" s="33"/>
      <c r="GIW162" s="33"/>
      <c r="GIX162" s="33"/>
      <c r="GIY162" s="33"/>
      <c r="GIZ162" s="33"/>
      <c r="GJA162" s="33"/>
      <c r="GJB162" s="33"/>
      <c r="GJC162" s="33"/>
      <c r="GJD162" s="33"/>
      <c r="GJE162" s="33"/>
      <c r="GJF162" s="33"/>
      <c r="GJG162" s="33"/>
      <c r="GJH162" s="33"/>
      <c r="GJI162" s="33"/>
      <c r="GJJ162" s="33"/>
      <c r="GJK162" s="33"/>
      <c r="GJL162" s="33"/>
      <c r="GJM162" s="33"/>
      <c r="GJN162" s="33"/>
      <c r="GJO162" s="33"/>
      <c r="GJP162" s="33"/>
      <c r="GJQ162" s="33"/>
      <c r="GJR162" s="33"/>
      <c r="GJS162" s="33"/>
      <c r="GJT162" s="33"/>
      <c r="GJU162" s="33"/>
      <c r="GJV162" s="33"/>
      <c r="GJW162" s="33"/>
      <c r="GJX162" s="33"/>
      <c r="GJY162" s="33"/>
      <c r="GJZ162" s="33"/>
      <c r="GKA162" s="33"/>
      <c r="GKB162" s="33"/>
      <c r="GKC162" s="33"/>
      <c r="GKD162" s="33"/>
      <c r="GKE162" s="33"/>
      <c r="GKF162" s="33"/>
      <c r="GKG162" s="33"/>
      <c r="GKH162" s="33"/>
      <c r="GKI162" s="33"/>
      <c r="GKJ162" s="33"/>
      <c r="GKK162" s="33"/>
      <c r="GKL162" s="33"/>
      <c r="GKM162" s="33"/>
      <c r="GKN162" s="33"/>
      <c r="GKO162" s="33"/>
      <c r="GKP162" s="33"/>
      <c r="GKQ162" s="33"/>
      <c r="GKR162" s="33"/>
      <c r="GKS162" s="33"/>
      <c r="GKT162" s="33"/>
      <c r="GKU162" s="33"/>
      <c r="GKV162" s="33"/>
      <c r="GKW162" s="33"/>
      <c r="GKX162" s="33"/>
      <c r="GKY162" s="33"/>
      <c r="GKZ162" s="33"/>
      <c r="GLA162" s="33"/>
      <c r="GLB162" s="33"/>
      <c r="GLC162" s="33"/>
      <c r="GLD162" s="33"/>
      <c r="GLE162" s="33"/>
      <c r="GLF162" s="33"/>
      <c r="GLG162" s="33"/>
      <c r="GLH162" s="33"/>
      <c r="GLI162" s="33"/>
      <c r="GLJ162" s="33"/>
      <c r="GLK162" s="33"/>
      <c r="GLL162" s="33"/>
      <c r="GLM162" s="33"/>
      <c r="GLN162" s="33"/>
      <c r="GLO162" s="33"/>
      <c r="GLP162" s="33"/>
      <c r="GLQ162" s="33"/>
      <c r="GLR162" s="33"/>
      <c r="GLS162" s="33"/>
      <c r="GLT162" s="33"/>
      <c r="GLU162" s="33"/>
      <c r="GLV162" s="33"/>
      <c r="GLW162" s="33"/>
      <c r="GLX162" s="33"/>
      <c r="GLY162" s="33"/>
      <c r="GLZ162" s="33"/>
      <c r="GMA162" s="33"/>
      <c r="GMB162" s="33"/>
      <c r="GMC162" s="33"/>
      <c r="GMD162" s="33"/>
      <c r="GME162" s="33"/>
      <c r="GMF162" s="33"/>
      <c r="GMG162" s="33"/>
      <c r="GMH162" s="33"/>
      <c r="GMI162" s="33"/>
      <c r="GMJ162" s="33"/>
      <c r="GMK162" s="33"/>
      <c r="GML162" s="33"/>
      <c r="GMM162" s="33"/>
      <c r="GMN162" s="33"/>
      <c r="GMO162" s="33"/>
      <c r="GMP162" s="33"/>
      <c r="GMQ162" s="33"/>
      <c r="GMR162" s="33"/>
      <c r="GMS162" s="33"/>
      <c r="GMT162" s="33"/>
      <c r="GMU162" s="33"/>
      <c r="GMV162" s="33"/>
      <c r="GMW162" s="33"/>
      <c r="GMX162" s="33"/>
      <c r="GMY162" s="33"/>
      <c r="GMZ162" s="33"/>
      <c r="GNA162" s="33"/>
      <c r="GNB162" s="33"/>
      <c r="GNC162" s="33"/>
      <c r="GND162" s="33"/>
      <c r="GNE162" s="33"/>
      <c r="GNF162" s="33"/>
      <c r="GNG162" s="33"/>
      <c r="GNH162" s="33"/>
      <c r="GNI162" s="33"/>
      <c r="GNJ162" s="33"/>
      <c r="GNK162" s="33"/>
      <c r="GNL162" s="33"/>
      <c r="GNM162" s="33"/>
      <c r="GNN162" s="33"/>
      <c r="GNO162" s="33"/>
      <c r="GNP162" s="33"/>
      <c r="GNQ162" s="33"/>
      <c r="GNR162" s="33"/>
      <c r="GNS162" s="33"/>
      <c r="GNT162" s="33"/>
      <c r="GNU162" s="33"/>
      <c r="GNV162" s="33"/>
      <c r="GNW162" s="33"/>
      <c r="GNX162" s="33"/>
      <c r="GNY162" s="33"/>
      <c r="GNZ162" s="33"/>
      <c r="GOA162" s="33"/>
      <c r="GOB162" s="33"/>
      <c r="GOC162" s="33"/>
      <c r="GOD162" s="33"/>
      <c r="GOE162" s="33"/>
      <c r="GOF162" s="33"/>
      <c r="GOG162" s="33"/>
      <c r="GOH162" s="33"/>
      <c r="GOI162" s="33"/>
      <c r="GOJ162" s="33"/>
      <c r="GOK162" s="33"/>
      <c r="GOL162" s="33"/>
      <c r="GOM162" s="33"/>
      <c r="GON162" s="33"/>
      <c r="GOO162" s="33"/>
      <c r="GOP162" s="33"/>
      <c r="GOQ162" s="33"/>
      <c r="GOR162" s="33"/>
      <c r="GOS162" s="33"/>
      <c r="GOT162" s="33"/>
      <c r="GOU162" s="33"/>
      <c r="GOV162" s="33"/>
      <c r="GOW162" s="33"/>
      <c r="GOX162" s="33"/>
      <c r="GOY162" s="33"/>
      <c r="GOZ162" s="33"/>
      <c r="GPA162" s="33"/>
      <c r="GPB162" s="33"/>
      <c r="GPC162" s="33"/>
      <c r="GPD162" s="33"/>
      <c r="GPE162" s="33"/>
      <c r="GPF162" s="33"/>
      <c r="GPG162" s="33"/>
      <c r="GPH162" s="33"/>
      <c r="GPI162" s="33"/>
      <c r="GPJ162" s="33"/>
      <c r="GPK162" s="33"/>
      <c r="GPL162" s="33"/>
      <c r="GPM162" s="33"/>
      <c r="GPN162" s="33"/>
      <c r="GPO162" s="33"/>
      <c r="GPP162" s="33"/>
      <c r="GPQ162" s="33"/>
      <c r="GPR162" s="33"/>
      <c r="GPS162" s="33"/>
      <c r="GPT162" s="33"/>
      <c r="GPU162" s="33"/>
      <c r="GPV162" s="33"/>
      <c r="GPW162" s="33"/>
      <c r="GPX162" s="33"/>
      <c r="GPY162" s="33"/>
      <c r="GPZ162" s="33"/>
      <c r="GQA162" s="33"/>
      <c r="GQB162" s="33"/>
      <c r="GQC162" s="33"/>
      <c r="GQD162" s="33"/>
      <c r="GQE162" s="33"/>
      <c r="GQF162" s="33"/>
      <c r="GQG162" s="33"/>
      <c r="GQH162" s="33"/>
      <c r="GQI162" s="33"/>
      <c r="GQJ162" s="33"/>
      <c r="GQK162" s="33"/>
      <c r="GQL162" s="33"/>
      <c r="GQM162" s="33"/>
      <c r="GQN162" s="33"/>
      <c r="GQO162" s="33"/>
      <c r="GQP162" s="33"/>
      <c r="GQQ162" s="33"/>
      <c r="GQR162" s="33"/>
      <c r="GQS162" s="33"/>
      <c r="GQT162" s="33"/>
      <c r="GQU162" s="33"/>
      <c r="GQV162" s="33"/>
      <c r="GQW162" s="33"/>
      <c r="GQX162" s="33"/>
      <c r="GQY162" s="33"/>
      <c r="GQZ162" s="33"/>
      <c r="GRA162" s="33"/>
      <c r="GRB162" s="33"/>
      <c r="GRC162" s="33"/>
      <c r="GRD162" s="33"/>
      <c r="GRE162" s="33"/>
      <c r="GRF162" s="33"/>
      <c r="GRG162" s="33"/>
      <c r="GRH162" s="33"/>
      <c r="GRI162" s="33"/>
      <c r="GRJ162" s="33"/>
      <c r="GRK162" s="33"/>
      <c r="GRL162" s="33"/>
      <c r="GRM162" s="33"/>
      <c r="GRN162" s="33"/>
      <c r="GRO162" s="33"/>
      <c r="GRP162" s="33"/>
      <c r="GRQ162" s="33"/>
      <c r="GRR162" s="33"/>
      <c r="GRS162" s="33"/>
      <c r="GRT162" s="33"/>
      <c r="GRU162" s="33"/>
      <c r="GRV162" s="33"/>
      <c r="GRW162" s="33"/>
      <c r="GRX162" s="33"/>
      <c r="GRY162" s="33"/>
      <c r="GRZ162" s="33"/>
      <c r="GSA162" s="33"/>
      <c r="GSB162" s="33"/>
      <c r="GSC162" s="33"/>
      <c r="GSD162" s="33"/>
      <c r="GSE162" s="33"/>
      <c r="GSF162" s="33"/>
      <c r="GSG162" s="33"/>
      <c r="GSH162" s="33"/>
      <c r="GSI162" s="33"/>
      <c r="GSJ162" s="33"/>
      <c r="GSK162" s="33"/>
      <c r="GSL162" s="33"/>
      <c r="GSM162" s="33"/>
      <c r="GSN162" s="33"/>
      <c r="GSO162" s="33"/>
      <c r="GSP162" s="33"/>
      <c r="GSQ162" s="33"/>
      <c r="GSR162" s="33"/>
      <c r="GSS162" s="33"/>
      <c r="GST162" s="33"/>
      <c r="GSU162" s="33"/>
      <c r="GSV162" s="33"/>
      <c r="GSW162" s="33"/>
      <c r="GSX162" s="33"/>
      <c r="GSY162" s="33"/>
      <c r="GSZ162" s="33"/>
      <c r="GTA162" s="33"/>
      <c r="GTB162" s="33"/>
      <c r="GTC162" s="33"/>
      <c r="GTD162" s="33"/>
      <c r="GTE162" s="33"/>
      <c r="GTF162" s="33"/>
      <c r="GTG162" s="33"/>
      <c r="GTH162" s="33"/>
      <c r="GTI162" s="33"/>
      <c r="GTJ162" s="33"/>
      <c r="GTK162" s="33"/>
      <c r="GTL162" s="33"/>
      <c r="GTM162" s="33"/>
      <c r="GTN162" s="33"/>
      <c r="GTO162" s="33"/>
      <c r="GTP162" s="33"/>
      <c r="GTQ162" s="33"/>
      <c r="GTR162" s="33"/>
      <c r="GTS162" s="33"/>
      <c r="GTT162" s="33"/>
      <c r="GTU162" s="33"/>
      <c r="GTV162" s="33"/>
      <c r="GTW162" s="33"/>
      <c r="GTX162" s="33"/>
      <c r="GTY162" s="33"/>
      <c r="GTZ162" s="33"/>
      <c r="GUA162" s="33"/>
      <c r="GUB162" s="33"/>
      <c r="GUC162" s="33"/>
      <c r="GUD162" s="33"/>
      <c r="GUE162" s="33"/>
      <c r="GUF162" s="33"/>
      <c r="GUG162" s="33"/>
      <c r="GUH162" s="33"/>
      <c r="GUI162" s="33"/>
      <c r="GUJ162" s="33"/>
      <c r="GUK162" s="33"/>
      <c r="GUL162" s="33"/>
      <c r="GUM162" s="33"/>
      <c r="GUN162" s="33"/>
      <c r="GUO162" s="33"/>
      <c r="GUP162" s="33"/>
      <c r="GUQ162" s="33"/>
      <c r="GUR162" s="33"/>
      <c r="GUS162" s="33"/>
      <c r="GUT162" s="33"/>
      <c r="GUU162" s="33"/>
      <c r="GUV162" s="33"/>
      <c r="GUW162" s="33"/>
      <c r="GUX162" s="33"/>
      <c r="GUY162" s="33"/>
      <c r="GUZ162" s="33"/>
      <c r="GVA162" s="33"/>
      <c r="GVB162" s="33"/>
      <c r="GVC162" s="33"/>
      <c r="GVD162" s="33"/>
      <c r="GVE162" s="33"/>
      <c r="GVF162" s="33"/>
      <c r="GVG162" s="33"/>
      <c r="GVH162" s="33"/>
      <c r="GVI162" s="33"/>
      <c r="GVJ162" s="33"/>
      <c r="GVK162" s="33"/>
      <c r="GVL162" s="33"/>
      <c r="GVM162" s="33"/>
      <c r="GVN162" s="33"/>
      <c r="GVO162" s="33"/>
      <c r="GVP162" s="33"/>
      <c r="GVQ162" s="33"/>
      <c r="GVR162" s="33"/>
      <c r="GVS162" s="33"/>
      <c r="GVT162" s="33"/>
      <c r="GVU162" s="33"/>
      <c r="GVV162" s="33"/>
      <c r="GVW162" s="33"/>
      <c r="GVX162" s="33"/>
      <c r="GVY162" s="33"/>
      <c r="GVZ162" s="33"/>
      <c r="GWA162" s="33"/>
      <c r="GWB162" s="33"/>
      <c r="GWC162" s="33"/>
      <c r="GWD162" s="33"/>
      <c r="GWE162" s="33"/>
      <c r="GWF162" s="33"/>
      <c r="GWG162" s="33"/>
      <c r="GWH162" s="33"/>
      <c r="GWI162" s="33"/>
      <c r="GWJ162" s="33"/>
      <c r="GWK162" s="33"/>
      <c r="GWL162" s="33"/>
      <c r="GWM162" s="33"/>
      <c r="GWN162" s="33"/>
      <c r="GWO162" s="33"/>
      <c r="GWP162" s="33"/>
      <c r="GWQ162" s="33"/>
      <c r="GWR162" s="33"/>
      <c r="GWS162" s="33"/>
      <c r="GWT162" s="33"/>
      <c r="GWU162" s="33"/>
      <c r="GWV162" s="33"/>
      <c r="GWW162" s="33"/>
      <c r="GWX162" s="33"/>
      <c r="GWY162" s="33"/>
      <c r="GWZ162" s="33"/>
      <c r="GXA162" s="33"/>
      <c r="GXB162" s="33"/>
      <c r="GXC162" s="33"/>
      <c r="GXD162" s="33"/>
      <c r="GXE162" s="33"/>
      <c r="GXF162" s="33"/>
      <c r="GXG162" s="33"/>
      <c r="GXH162" s="33"/>
      <c r="GXI162" s="33"/>
      <c r="GXJ162" s="33"/>
      <c r="GXK162" s="33"/>
      <c r="GXL162" s="33"/>
      <c r="GXM162" s="33"/>
      <c r="GXN162" s="33"/>
      <c r="GXO162" s="33"/>
      <c r="GXP162" s="33"/>
      <c r="GXQ162" s="33"/>
      <c r="GXR162" s="33"/>
      <c r="GXS162" s="33"/>
      <c r="GXT162" s="33"/>
      <c r="GXU162" s="33"/>
      <c r="GXV162" s="33"/>
      <c r="GXW162" s="33"/>
      <c r="GXX162" s="33"/>
      <c r="GXY162" s="33"/>
      <c r="GXZ162" s="33"/>
      <c r="GYA162" s="33"/>
      <c r="GYB162" s="33"/>
      <c r="GYC162" s="33"/>
      <c r="GYD162" s="33"/>
      <c r="GYE162" s="33"/>
      <c r="GYF162" s="33"/>
      <c r="GYG162" s="33"/>
      <c r="GYH162" s="33"/>
      <c r="GYI162" s="33"/>
      <c r="GYJ162" s="33"/>
      <c r="GYK162" s="33"/>
      <c r="GYL162" s="33"/>
      <c r="GYM162" s="33"/>
      <c r="GYN162" s="33"/>
      <c r="GYO162" s="33"/>
      <c r="GYP162" s="33"/>
      <c r="GYQ162" s="33"/>
      <c r="GYR162" s="33"/>
      <c r="GYS162" s="33"/>
      <c r="GYT162" s="33"/>
      <c r="GYU162" s="33"/>
      <c r="GYV162" s="33"/>
      <c r="GYW162" s="33"/>
      <c r="GYX162" s="33"/>
      <c r="GYY162" s="33"/>
      <c r="GYZ162" s="33"/>
      <c r="GZA162" s="33"/>
      <c r="GZB162" s="33"/>
      <c r="GZC162" s="33"/>
      <c r="GZD162" s="33"/>
      <c r="GZE162" s="33"/>
      <c r="GZF162" s="33"/>
      <c r="GZG162" s="33"/>
      <c r="GZH162" s="33"/>
      <c r="GZI162" s="33"/>
      <c r="GZJ162" s="33"/>
      <c r="GZK162" s="33"/>
      <c r="GZL162" s="33"/>
      <c r="GZM162" s="33"/>
      <c r="GZN162" s="33"/>
      <c r="GZO162" s="33"/>
      <c r="GZP162" s="33"/>
      <c r="GZQ162" s="33"/>
      <c r="GZR162" s="33"/>
      <c r="GZS162" s="33"/>
      <c r="GZT162" s="33"/>
      <c r="GZU162" s="33"/>
      <c r="GZV162" s="33"/>
      <c r="GZW162" s="33"/>
      <c r="GZX162" s="33"/>
      <c r="GZY162" s="33"/>
      <c r="GZZ162" s="33"/>
      <c r="HAA162" s="33"/>
      <c r="HAB162" s="33"/>
      <c r="HAC162" s="33"/>
      <c r="HAD162" s="33"/>
      <c r="HAE162" s="33"/>
      <c r="HAF162" s="33"/>
      <c r="HAG162" s="33"/>
      <c r="HAH162" s="33"/>
      <c r="HAI162" s="33"/>
      <c r="HAJ162" s="33"/>
      <c r="HAK162" s="33"/>
      <c r="HAL162" s="33"/>
      <c r="HAM162" s="33"/>
      <c r="HAN162" s="33"/>
      <c r="HAO162" s="33"/>
      <c r="HAP162" s="33"/>
      <c r="HAQ162" s="33"/>
      <c r="HAR162" s="33"/>
      <c r="HAS162" s="33"/>
      <c r="HAT162" s="33"/>
      <c r="HAU162" s="33"/>
      <c r="HAV162" s="33"/>
      <c r="HAW162" s="33"/>
      <c r="HAX162" s="33"/>
      <c r="HAY162" s="33"/>
      <c r="HAZ162" s="33"/>
      <c r="HBA162" s="33"/>
      <c r="HBB162" s="33"/>
      <c r="HBC162" s="33"/>
      <c r="HBD162" s="33"/>
      <c r="HBE162" s="33"/>
      <c r="HBF162" s="33"/>
      <c r="HBG162" s="33"/>
      <c r="HBH162" s="33"/>
      <c r="HBI162" s="33"/>
      <c r="HBJ162" s="33"/>
      <c r="HBK162" s="33"/>
      <c r="HBL162" s="33"/>
      <c r="HBM162" s="33"/>
      <c r="HBN162" s="33"/>
      <c r="HBO162" s="33"/>
      <c r="HBP162" s="33"/>
      <c r="HBQ162" s="33"/>
      <c r="HBR162" s="33"/>
      <c r="HBS162" s="33"/>
      <c r="HBT162" s="33"/>
      <c r="HBU162" s="33"/>
      <c r="HBV162" s="33"/>
      <c r="HBW162" s="33"/>
      <c r="HBX162" s="33"/>
      <c r="HBY162" s="33"/>
      <c r="HBZ162" s="33"/>
      <c r="HCA162" s="33"/>
      <c r="HCB162" s="33"/>
      <c r="HCC162" s="33"/>
      <c r="HCD162" s="33"/>
      <c r="HCE162" s="33"/>
      <c r="HCF162" s="33"/>
      <c r="HCG162" s="33"/>
      <c r="HCH162" s="33"/>
      <c r="HCI162" s="33"/>
      <c r="HCJ162" s="33"/>
      <c r="HCK162" s="33"/>
      <c r="HCL162" s="33"/>
      <c r="HCM162" s="33"/>
      <c r="HCN162" s="33"/>
      <c r="HCO162" s="33"/>
      <c r="HCP162" s="33"/>
      <c r="HCQ162" s="33"/>
      <c r="HCR162" s="33"/>
      <c r="HCS162" s="33"/>
      <c r="HCT162" s="33"/>
      <c r="HCU162" s="33"/>
      <c r="HCV162" s="33"/>
      <c r="HCW162" s="33"/>
      <c r="HCX162" s="33"/>
      <c r="HCY162" s="33"/>
      <c r="HCZ162" s="33"/>
      <c r="HDA162" s="33"/>
      <c r="HDB162" s="33"/>
      <c r="HDC162" s="33"/>
      <c r="HDD162" s="33"/>
      <c r="HDE162" s="33"/>
      <c r="HDF162" s="33"/>
      <c r="HDG162" s="33"/>
      <c r="HDH162" s="33"/>
      <c r="HDI162" s="33"/>
      <c r="HDJ162" s="33"/>
      <c r="HDK162" s="33"/>
      <c r="HDL162" s="33"/>
      <c r="HDM162" s="33"/>
      <c r="HDN162" s="33"/>
      <c r="HDO162" s="33"/>
      <c r="HDP162" s="33"/>
      <c r="HDQ162" s="33"/>
      <c r="HDR162" s="33"/>
      <c r="HDS162" s="33"/>
      <c r="HDT162" s="33"/>
      <c r="HDU162" s="33"/>
      <c r="HDV162" s="33"/>
      <c r="HDW162" s="33"/>
      <c r="HDX162" s="33"/>
      <c r="HDY162" s="33"/>
      <c r="HDZ162" s="33"/>
      <c r="HEA162" s="33"/>
      <c r="HEB162" s="33"/>
      <c r="HEC162" s="33"/>
      <c r="HED162" s="33"/>
      <c r="HEE162" s="33"/>
      <c r="HEF162" s="33"/>
      <c r="HEG162" s="33"/>
      <c r="HEH162" s="33"/>
      <c r="HEI162" s="33"/>
      <c r="HEJ162" s="33"/>
      <c r="HEK162" s="33"/>
      <c r="HEL162" s="33"/>
      <c r="HEM162" s="33"/>
      <c r="HEN162" s="33"/>
      <c r="HEO162" s="33"/>
      <c r="HEP162" s="33"/>
      <c r="HEQ162" s="33"/>
      <c r="HER162" s="33"/>
      <c r="HES162" s="33"/>
      <c r="HET162" s="33"/>
      <c r="HEU162" s="33"/>
      <c r="HEV162" s="33"/>
      <c r="HEW162" s="33"/>
      <c r="HEX162" s="33"/>
      <c r="HEY162" s="33"/>
      <c r="HEZ162" s="33"/>
      <c r="HFA162" s="33"/>
      <c r="HFB162" s="33"/>
      <c r="HFC162" s="33"/>
      <c r="HFD162" s="33"/>
      <c r="HFE162" s="33"/>
      <c r="HFF162" s="33"/>
      <c r="HFG162" s="33"/>
      <c r="HFH162" s="33"/>
      <c r="HFI162" s="33"/>
      <c r="HFJ162" s="33"/>
      <c r="HFK162" s="33"/>
      <c r="HFL162" s="33"/>
      <c r="HFM162" s="33"/>
      <c r="HFN162" s="33"/>
      <c r="HFO162" s="33"/>
      <c r="HFP162" s="33"/>
      <c r="HFQ162" s="33"/>
      <c r="HFR162" s="33"/>
      <c r="HFS162" s="33"/>
      <c r="HFT162" s="33"/>
      <c r="HFU162" s="33"/>
      <c r="HFV162" s="33"/>
      <c r="HFW162" s="33"/>
      <c r="HFX162" s="33"/>
      <c r="HFY162" s="33"/>
      <c r="HFZ162" s="33"/>
      <c r="HGA162" s="33"/>
      <c r="HGB162" s="33"/>
      <c r="HGC162" s="33"/>
      <c r="HGD162" s="33"/>
      <c r="HGE162" s="33"/>
      <c r="HGF162" s="33"/>
      <c r="HGG162" s="33"/>
      <c r="HGH162" s="33"/>
      <c r="HGI162" s="33"/>
      <c r="HGJ162" s="33"/>
      <c r="HGK162" s="33"/>
      <c r="HGL162" s="33"/>
      <c r="HGM162" s="33"/>
      <c r="HGN162" s="33"/>
      <c r="HGO162" s="33"/>
      <c r="HGP162" s="33"/>
      <c r="HGQ162" s="33"/>
      <c r="HGR162" s="33"/>
      <c r="HGS162" s="33"/>
      <c r="HGT162" s="33"/>
      <c r="HGU162" s="33"/>
      <c r="HGV162" s="33"/>
      <c r="HGW162" s="33"/>
      <c r="HGX162" s="33"/>
      <c r="HGY162" s="33"/>
      <c r="HGZ162" s="33"/>
      <c r="HHA162" s="33"/>
      <c r="HHB162" s="33"/>
      <c r="HHC162" s="33"/>
      <c r="HHD162" s="33"/>
      <c r="HHE162" s="33"/>
      <c r="HHF162" s="33"/>
      <c r="HHG162" s="33"/>
      <c r="HHH162" s="33"/>
      <c r="HHI162" s="33"/>
      <c r="HHJ162" s="33"/>
      <c r="HHK162" s="33"/>
      <c r="HHL162" s="33"/>
      <c r="HHM162" s="33"/>
      <c r="HHN162" s="33"/>
      <c r="HHO162" s="33"/>
      <c r="HHP162" s="33"/>
      <c r="HHQ162" s="33"/>
      <c r="HHR162" s="33"/>
      <c r="HHS162" s="33"/>
      <c r="HHT162" s="33"/>
      <c r="HHU162" s="33"/>
      <c r="HHV162" s="33"/>
      <c r="HHW162" s="33"/>
      <c r="HHX162" s="33"/>
      <c r="HHY162" s="33"/>
      <c r="HHZ162" s="33"/>
      <c r="HIA162" s="33"/>
      <c r="HIB162" s="33"/>
      <c r="HIC162" s="33"/>
      <c r="HID162" s="33"/>
      <c r="HIE162" s="33"/>
      <c r="HIF162" s="33"/>
      <c r="HIG162" s="33"/>
      <c r="HIH162" s="33"/>
      <c r="HII162" s="33"/>
      <c r="HIJ162" s="33"/>
      <c r="HIK162" s="33"/>
      <c r="HIL162" s="33"/>
      <c r="HIM162" s="33"/>
      <c r="HIN162" s="33"/>
      <c r="HIO162" s="33"/>
      <c r="HIP162" s="33"/>
      <c r="HIQ162" s="33"/>
      <c r="HIR162" s="33"/>
      <c r="HIS162" s="33"/>
      <c r="HIT162" s="33"/>
      <c r="HIU162" s="33"/>
      <c r="HIV162" s="33"/>
      <c r="HIW162" s="33"/>
      <c r="HIX162" s="33"/>
      <c r="HIY162" s="33"/>
      <c r="HIZ162" s="33"/>
      <c r="HJA162" s="33"/>
      <c r="HJB162" s="33"/>
      <c r="HJC162" s="33"/>
      <c r="HJD162" s="33"/>
      <c r="HJE162" s="33"/>
      <c r="HJF162" s="33"/>
      <c r="HJG162" s="33"/>
      <c r="HJH162" s="33"/>
      <c r="HJI162" s="33"/>
      <c r="HJJ162" s="33"/>
      <c r="HJK162" s="33"/>
      <c r="HJL162" s="33"/>
      <c r="HJM162" s="33"/>
      <c r="HJN162" s="33"/>
      <c r="HJO162" s="33"/>
      <c r="HJP162" s="33"/>
      <c r="HJQ162" s="33"/>
      <c r="HJR162" s="33"/>
      <c r="HJS162" s="33"/>
      <c r="HJT162" s="33"/>
      <c r="HJU162" s="33"/>
      <c r="HJV162" s="33"/>
      <c r="HJW162" s="33"/>
      <c r="HJX162" s="33"/>
      <c r="HJY162" s="33"/>
      <c r="HJZ162" s="33"/>
      <c r="HKA162" s="33"/>
      <c r="HKB162" s="33"/>
      <c r="HKC162" s="33"/>
      <c r="HKD162" s="33"/>
      <c r="HKE162" s="33"/>
      <c r="HKF162" s="33"/>
      <c r="HKG162" s="33"/>
      <c r="HKH162" s="33"/>
      <c r="HKI162" s="33"/>
      <c r="HKJ162" s="33"/>
      <c r="HKK162" s="33"/>
      <c r="HKL162" s="33"/>
      <c r="HKM162" s="33"/>
      <c r="HKN162" s="33"/>
      <c r="HKO162" s="33"/>
      <c r="HKP162" s="33"/>
      <c r="HKQ162" s="33"/>
      <c r="HKR162" s="33"/>
      <c r="HKS162" s="33"/>
      <c r="HKT162" s="33"/>
      <c r="HKU162" s="33"/>
      <c r="HKV162" s="33"/>
      <c r="HKW162" s="33"/>
      <c r="HKX162" s="33"/>
      <c r="HKY162" s="33"/>
      <c r="HKZ162" s="33"/>
      <c r="HLA162" s="33"/>
      <c r="HLB162" s="33"/>
      <c r="HLC162" s="33"/>
      <c r="HLD162" s="33"/>
      <c r="HLE162" s="33"/>
      <c r="HLF162" s="33"/>
      <c r="HLG162" s="33"/>
      <c r="HLH162" s="33"/>
      <c r="HLI162" s="33"/>
      <c r="HLJ162" s="33"/>
      <c r="HLK162" s="33"/>
      <c r="HLL162" s="33"/>
      <c r="HLM162" s="33"/>
      <c r="HLN162" s="33"/>
      <c r="HLO162" s="33"/>
      <c r="HLP162" s="33"/>
      <c r="HLQ162" s="33"/>
      <c r="HLR162" s="33"/>
      <c r="HLS162" s="33"/>
      <c r="HLT162" s="33"/>
      <c r="HLU162" s="33"/>
      <c r="HLV162" s="33"/>
      <c r="HLW162" s="33"/>
      <c r="HLX162" s="33"/>
      <c r="HLY162" s="33"/>
      <c r="HLZ162" s="33"/>
      <c r="HMA162" s="33"/>
      <c r="HMB162" s="33"/>
      <c r="HMC162" s="33"/>
      <c r="HMD162" s="33"/>
      <c r="HME162" s="33"/>
      <c r="HMF162" s="33"/>
      <c r="HMG162" s="33"/>
      <c r="HMH162" s="33"/>
      <c r="HMI162" s="33"/>
      <c r="HMJ162" s="33"/>
      <c r="HMK162" s="33"/>
      <c r="HML162" s="33"/>
      <c r="HMM162" s="33"/>
      <c r="HMN162" s="33"/>
      <c r="HMO162" s="33"/>
      <c r="HMP162" s="33"/>
      <c r="HMQ162" s="33"/>
      <c r="HMR162" s="33"/>
      <c r="HMS162" s="33"/>
      <c r="HMT162" s="33"/>
      <c r="HMU162" s="33"/>
      <c r="HMV162" s="33"/>
      <c r="HMW162" s="33"/>
      <c r="HMX162" s="33"/>
      <c r="HMY162" s="33"/>
      <c r="HMZ162" s="33"/>
      <c r="HNA162" s="33"/>
      <c r="HNB162" s="33"/>
      <c r="HNC162" s="33"/>
      <c r="HND162" s="33"/>
      <c r="HNE162" s="33"/>
      <c r="HNF162" s="33"/>
      <c r="HNG162" s="33"/>
      <c r="HNH162" s="33"/>
      <c r="HNI162" s="33"/>
      <c r="HNJ162" s="33"/>
      <c r="HNK162" s="33"/>
      <c r="HNL162" s="33"/>
      <c r="HNM162" s="33"/>
      <c r="HNN162" s="33"/>
      <c r="HNO162" s="33"/>
      <c r="HNP162" s="33"/>
      <c r="HNQ162" s="33"/>
      <c r="HNR162" s="33"/>
      <c r="HNS162" s="33"/>
      <c r="HNT162" s="33"/>
      <c r="HNU162" s="33"/>
      <c r="HNV162" s="33"/>
      <c r="HNW162" s="33"/>
      <c r="HNX162" s="33"/>
      <c r="HNY162" s="33"/>
      <c r="HNZ162" s="33"/>
      <c r="HOA162" s="33"/>
      <c r="HOB162" s="33"/>
      <c r="HOC162" s="33"/>
      <c r="HOD162" s="33"/>
      <c r="HOE162" s="33"/>
      <c r="HOF162" s="33"/>
      <c r="HOG162" s="33"/>
      <c r="HOH162" s="33"/>
      <c r="HOI162" s="33"/>
      <c r="HOJ162" s="33"/>
      <c r="HOK162" s="33"/>
      <c r="HOL162" s="33"/>
      <c r="HOM162" s="33"/>
      <c r="HON162" s="33"/>
      <c r="HOO162" s="33"/>
      <c r="HOP162" s="33"/>
      <c r="HOQ162" s="33"/>
      <c r="HOR162" s="33"/>
      <c r="HOS162" s="33"/>
      <c r="HOT162" s="33"/>
      <c r="HOU162" s="33"/>
      <c r="HOV162" s="33"/>
      <c r="HOW162" s="33"/>
      <c r="HOX162" s="33"/>
      <c r="HOY162" s="33"/>
      <c r="HOZ162" s="33"/>
      <c r="HPA162" s="33"/>
      <c r="HPB162" s="33"/>
      <c r="HPC162" s="33"/>
      <c r="HPD162" s="33"/>
      <c r="HPE162" s="33"/>
      <c r="HPF162" s="33"/>
      <c r="HPG162" s="33"/>
      <c r="HPH162" s="33"/>
      <c r="HPI162" s="33"/>
      <c r="HPJ162" s="33"/>
      <c r="HPK162" s="33"/>
      <c r="HPL162" s="33"/>
      <c r="HPM162" s="33"/>
      <c r="HPN162" s="33"/>
      <c r="HPO162" s="33"/>
      <c r="HPP162" s="33"/>
      <c r="HPQ162" s="33"/>
      <c r="HPR162" s="33"/>
      <c r="HPS162" s="33"/>
      <c r="HPT162" s="33"/>
      <c r="HPU162" s="33"/>
      <c r="HPV162" s="33"/>
      <c r="HPW162" s="33"/>
      <c r="HPX162" s="33"/>
      <c r="HPY162" s="33"/>
      <c r="HPZ162" s="33"/>
      <c r="HQA162" s="33"/>
      <c r="HQB162" s="33"/>
      <c r="HQC162" s="33"/>
      <c r="HQD162" s="33"/>
      <c r="HQE162" s="33"/>
      <c r="HQF162" s="33"/>
      <c r="HQG162" s="33"/>
      <c r="HQH162" s="33"/>
      <c r="HQI162" s="33"/>
      <c r="HQJ162" s="33"/>
      <c r="HQK162" s="33"/>
      <c r="HQL162" s="33"/>
      <c r="HQM162" s="33"/>
      <c r="HQN162" s="33"/>
      <c r="HQO162" s="33"/>
      <c r="HQP162" s="33"/>
      <c r="HQQ162" s="33"/>
      <c r="HQR162" s="33"/>
      <c r="HQS162" s="33"/>
      <c r="HQT162" s="33"/>
      <c r="HQU162" s="33"/>
      <c r="HQV162" s="33"/>
      <c r="HQW162" s="33"/>
      <c r="HQX162" s="33"/>
      <c r="HQY162" s="33"/>
      <c r="HQZ162" s="33"/>
      <c r="HRA162" s="33"/>
      <c r="HRB162" s="33"/>
      <c r="HRC162" s="33"/>
      <c r="HRD162" s="33"/>
      <c r="HRE162" s="33"/>
      <c r="HRF162" s="33"/>
      <c r="HRG162" s="33"/>
      <c r="HRH162" s="33"/>
      <c r="HRI162" s="33"/>
      <c r="HRJ162" s="33"/>
      <c r="HRK162" s="33"/>
      <c r="HRL162" s="33"/>
      <c r="HRM162" s="33"/>
      <c r="HRN162" s="33"/>
      <c r="HRO162" s="33"/>
      <c r="HRP162" s="33"/>
      <c r="HRQ162" s="33"/>
      <c r="HRR162" s="33"/>
      <c r="HRS162" s="33"/>
      <c r="HRT162" s="33"/>
      <c r="HRU162" s="33"/>
      <c r="HRV162" s="33"/>
      <c r="HRW162" s="33"/>
      <c r="HRX162" s="33"/>
      <c r="HRY162" s="33"/>
      <c r="HRZ162" s="33"/>
      <c r="HSA162" s="33"/>
      <c r="HSB162" s="33"/>
      <c r="HSC162" s="33"/>
      <c r="HSD162" s="33"/>
      <c r="HSE162" s="33"/>
      <c r="HSF162" s="33"/>
      <c r="HSG162" s="33"/>
      <c r="HSH162" s="33"/>
      <c r="HSI162" s="33"/>
      <c r="HSJ162" s="33"/>
      <c r="HSK162" s="33"/>
      <c r="HSL162" s="33"/>
      <c r="HSM162" s="33"/>
      <c r="HSN162" s="33"/>
      <c r="HSO162" s="33"/>
      <c r="HSP162" s="33"/>
      <c r="HSQ162" s="33"/>
      <c r="HSR162" s="33"/>
      <c r="HSS162" s="33"/>
      <c r="HST162" s="33"/>
      <c r="HSU162" s="33"/>
      <c r="HSV162" s="33"/>
      <c r="HSW162" s="33"/>
      <c r="HSX162" s="33"/>
      <c r="HSY162" s="33"/>
      <c r="HSZ162" s="33"/>
      <c r="HTA162" s="33"/>
      <c r="HTB162" s="33"/>
      <c r="HTC162" s="33"/>
      <c r="HTD162" s="33"/>
      <c r="HTE162" s="33"/>
      <c r="HTF162" s="33"/>
      <c r="HTG162" s="33"/>
      <c r="HTH162" s="33"/>
      <c r="HTI162" s="33"/>
      <c r="HTJ162" s="33"/>
      <c r="HTK162" s="33"/>
      <c r="HTL162" s="33"/>
      <c r="HTM162" s="33"/>
      <c r="HTN162" s="33"/>
      <c r="HTO162" s="33"/>
      <c r="HTP162" s="33"/>
      <c r="HTQ162" s="33"/>
      <c r="HTR162" s="33"/>
      <c r="HTS162" s="33"/>
      <c r="HTT162" s="33"/>
      <c r="HTU162" s="33"/>
      <c r="HTV162" s="33"/>
      <c r="HTW162" s="33"/>
      <c r="HTX162" s="33"/>
      <c r="HTY162" s="33"/>
      <c r="HTZ162" s="33"/>
      <c r="HUA162" s="33"/>
      <c r="HUB162" s="33"/>
      <c r="HUC162" s="33"/>
      <c r="HUD162" s="33"/>
      <c r="HUE162" s="33"/>
      <c r="HUF162" s="33"/>
      <c r="HUG162" s="33"/>
      <c r="HUH162" s="33"/>
      <c r="HUI162" s="33"/>
      <c r="HUJ162" s="33"/>
      <c r="HUK162" s="33"/>
      <c r="HUL162" s="33"/>
      <c r="HUM162" s="33"/>
      <c r="HUN162" s="33"/>
      <c r="HUO162" s="33"/>
      <c r="HUP162" s="33"/>
      <c r="HUQ162" s="33"/>
      <c r="HUR162" s="33"/>
      <c r="HUS162" s="33"/>
      <c r="HUT162" s="33"/>
      <c r="HUU162" s="33"/>
      <c r="HUV162" s="33"/>
      <c r="HUW162" s="33"/>
      <c r="HUX162" s="33"/>
      <c r="HUY162" s="33"/>
      <c r="HUZ162" s="33"/>
      <c r="HVA162" s="33"/>
      <c r="HVB162" s="33"/>
      <c r="HVC162" s="33"/>
      <c r="HVD162" s="33"/>
      <c r="HVE162" s="33"/>
      <c r="HVF162" s="33"/>
      <c r="HVG162" s="33"/>
      <c r="HVH162" s="33"/>
      <c r="HVI162" s="33"/>
      <c r="HVJ162" s="33"/>
      <c r="HVK162" s="33"/>
      <c r="HVL162" s="33"/>
      <c r="HVM162" s="33"/>
      <c r="HVN162" s="33"/>
      <c r="HVO162" s="33"/>
      <c r="HVP162" s="33"/>
      <c r="HVQ162" s="33"/>
      <c r="HVR162" s="33"/>
      <c r="HVS162" s="33"/>
      <c r="HVT162" s="33"/>
      <c r="HVU162" s="33"/>
      <c r="HVV162" s="33"/>
      <c r="HVW162" s="33"/>
      <c r="HVX162" s="33"/>
      <c r="HVY162" s="33"/>
      <c r="HVZ162" s="33"/>
      <c r="HWA162" s="33"/>
      <c r="HWB162" s="33"/>
      <c r="HWC162" s="33"/>
      <c r="HWD162" s="33"/>
      <c r="HWE162" s="33"/>
      <c r="HWF162" s="33"/>
      <c r="HWG162" s="33"/>
      <c r="HWH162" s="33"/>
      <c r="HWI162" s="33"/>
      <c r="HWJ162" s="33"/>
      <c r="HWK162" s="33"/>
      <c r="HWL162" s="33"/>
      <c r="HWM162" s="33"/>
      <c r="HWN162" s="33"/>
      <c r="HWO162" s="33"/>
      <c r="HWP162" s="33"/>
      <c r="HWQ162" s="33"/>
      <c r="HWR162" s="33"/>
      <c r="HWS162" s="33"/>
      <c r="HWT162" s="33"/>
      <c r="HWU162" s="33"/>
      <c r="HWV162" s="33"/>
      <c r="HWW162" s="33"/>
      <c r="HWX162" s="33"/>
      <c r="HWY162" s="33"/>
      <c r="HWZ162" s="33"/>
      <c r="HXA162" s="33"/>
      <c r="HXB162" s="33"/>
      <c r="HXC162" s="33"/>
      <c r="HXD162" s="33"/>
      <c r="HXE162" s="33"/>
      <c r="HXF162" s="33"/>
      <c r="HXG162" s="33"/>
      <c r="HXH162" s="33"/>
      <c r="HXI162" s="33"/>
      <c r="HXJ162" s="33"/>
      <c r="HXK162" s="33"/>
      <c r="HXL162" s="33"/>
      <c r="HXM162" s="33"/>
      <c r="HXN162" s="33"/>
      <c r="HXO162" s="33"/>
      <c r="HXP162" s="33"/>
      <c r="HXQ162" s="33"/>
      <c r="HXR162" s="33"/>
      <c r="HXS162" s="33"/>
      <c r="HXT162" s="33"/>
      <c r="HXU162" s="33"/>
      <c r="HXV162" s="33"/>
      <c r="HXW162" s="33"/>
      <c r="HXX162" s="33"/>
      <c r="HXY162" s="33"/>
      <c r="HXZ162" s="33"/>
      <c r="HYA162" s="33"/>
      <c r="HYB162" s="33"/>
      <c r="HYC162" s="33"/>
      <c r="HYD162" s="33"/>
      <c r="HYE162" s="33"/>
      <c r="HYF162" s="33"/>
      <c r="HYG162" s="33"/>
      <c r="HYH162" s="33"/>
      <c r="HYI162" s="33"/>
      <c r="HYJ162" s="33"/>
      <c r="HYK162" s="33"/>
      <c r="HYL162" s="33"/>
      <c r="HYM162" s="33"/>
      <c r="HYN162" s="33"/>
      <c r="HYO162" s="33"/>
      <c r="HYP162" s="33"/>
      <c r="HYQ162" s="33"/>
      <c r="HYR162" s="33"/>
      <c r="HYS162" s="33"/>
      <c r="HYT162" s="33"/>
      <c r="HYU162" s="33"/>
      <c r="HYV162" s="33"/>
      <c r="HYW162" s="33"/>
      <c r="HYX162" s="33"/>
      <c r="HYY162" s="33"/>
      <c r="HYZ162" s="33"/>
      <c r="HZA162" s="33"/>
      <c r="HZB162" s="33"/>
      <c r="HZC162" s="33"/>
      <c r="HZD162" s="33"/>
      <c r="HZE162" s="33"/>
      <c r="HZF162" s="33"/>
      <c r="HZG162" s="33"/>
      <c r="HZH162" s="33"/>
      <c r="HZI162" s="33"/>
      <c r="HZJ162" s="33"/>
      <c r="HZK162" s="33"/>
      <c r="HZL162" s="33"/>
      <c r="HZM162" s="33"/>
      <c r="HZN162" s="33"/>
      <c r="HZO162" s="33"/>
      <c r="HZP162" s="33"/>
      <c r="HZQ162" s="33"/>
      <c r="HZR162" s="33"/>
      <c r="HZS162" s="33"/>
      <c r="HZT162" s="33"/>
      <c r="HZU162" s="33"/>
      <c r="HZV162" s="33"/>
      <c r="HZW162" s="33"/>
      <c r="HZX162" s="33"/>
      <c r="HZY162" s="33"/>
      <c r="HZZ162" s="33"/>
      <c r="IAA162" s="33"/>
      <c r="IAB162" s="33"/>
      <c r="IAC162" s="33"/>
      <c r="IAD162" s="33"/>
      <c r="IAE162" s="33"/>
      <c r="IAF162" s="33"/>
      <c r="IAG162" s="33"/>
      <c r="IAH162" s="33"/>
      <c r="IAI162" s="33"/>
      <c r="IAJ162" s="33"/>
      <c r="IAK162" s="33"/>
      <c r="IAL162" s="33"/>
      <c r="IAM162" s="33"/>
      <c r="IAN162" s="33"/>
      <c r="IAO162" s="33"/>
      <c r="IAP162" s="33"/>
      <c r="IAQ162" s="33"/>
      <c r="IAR162" s="33"/>
      <c r="IAS162" s="33"/>
      <c r="IAT162" s="33"/>
      <c r="IAU162" s="33"/>
      <c r="IAV162" s="33"/>
      <c r="IAW162" s="33"/>
      <c r="IAX162" s="33"/>
      <c r="IAY162" s="33"/>
      <c r="IAZ162" s="33"/>
      <c r="IBA162" s="33"/>
      <c r="IBB162" s="33"/>
      <c r="IBC162" s="33"/>
      <c r="IBD162" s="33"/>
      <c r="IBE162" s="33"/>
      <c r="IBF162" s="33"/>
      <c r="IBG162" s="33"/>
      <c r="IBH162" s="33"/>
      <c r="IBI162" s="33"/>
      <c r="IBJ162" s="33"/>
      <c r="IBK162" s="33"/>
      <c r="IBL162" s="33"/>
      <c r="IBM162" s="33"/>
      <c r="IBN162" s="33"/>
      <c r="IBO162" s="33"/>
      <c r="IBP162" s="33"/>
      <c r="IBQ162" s="33"/>
      <c r="IBR162" s="33"/>
      <c r="IBS162" s="33"/>
      <c r="IBT162" s="33"/>
      <c r="IBU162" s="33"/>
      <c r="IBV162" s="33"/>
      <c r="IBW162" s="33"/>
      <c r="IBX162" s="33"/>
      <c r="IBY162" s="33"/>
      <c r="IBZ162" s="33"/>
      <c r="ICA162" s="33"/>
      <c r="ICB162" s="33"/>
      <c r="ICC162" s="33"/>
      <c r="ICD162" s="33"/>
      <c r="ICE162" s="33"/>
      <c r="ICF162" s="33"/>
      <c r="ICG162" s="33"/>
      <c r="ICH162" s="33"/>
      <c r="ICI162" s="33"/>
      <c r="ICJ162" s="33"/>
      <c r="ICK162" s="33"/>
      <c r="ICL162" s="33"/>
      <c r="ICM162" s="33"/>
      <c r="ICN162" s="33"/>
      <c r="ICO162" s="33"/>
      <c r="ICP162" s="33"/>
      <c r="ICQ162" s="33"/>
      <c r="ICR162" s="33"/>
      <c r="ICS162" s="33"/>
      <c r="ICT162" s="33"/>
      <c r="ICU162" s="33"/>
      <c r="ICV162" s="33"/>
      <c r="ICW162" s="33"/>
      <c r="ICX162" s="33"/>
      <c r="ICY162" s="33"/>
      <c r="ICZ162" s="33"/>
      <c r="IDA162" s="33"/>
      <c r="IDB162" s="33"/>
      <c r="IDC162" s="33"/>
      <c r="IDD162" s="33"/>
      <c r="IDE162" s="33"/>
      <c r="IDF162" s="33"/>
      <c r="IDG162" s="33"/>
      <c r="IDH162" s="33"/>
      <c r="IDI162" s="33"/>
      <c r="IDJ162" s="33"/>
      <c r="IDK162" s="33"/>
      <c r="IDL162" s="33"/>
      <c r="IDM162" s="33"/>
      <c r="IDN162" s="33"/>
      <c r="IDO162" s="33"/>
      <c r="IDP162" s="33"/>
      <c r="IDQ162" s="33"/>
      <c r="IDR162" s="33"/>
      <c r="IDS162" s="33"/>
      <c r="IDT162" s="33"/>
      <c r="IDU162" s="33"/>
      <c r="IDV162" s="33"/>
      <c r="IDW162" s="33"/>
      <c r="IDX162" s="33"/>
      <c r="IDY162" s="33"/>
      <c r="IDZ162" s="33"/>
      <c r="IEA162" s="33"/>
      <c r="IEB162" s="33"/>
      <c r="IEC162" s="33"/>
      <c r="IED162" s="33"/>
      <c r="IEE162" s="33"/>
      <c r="IEF162" s="33"/>
      <c r="IEG162" s="33"/>
      <c r="IEH162" s="33"/>
      <c r="IEI162" s="33"/>
      <c r="IEJ162" s="33"/>
      <c r="IEK162" s="33"/>
      <c r="IEL162" s="33"/>
      <c r="IEM162" s="33"/>
      <c r="IEN162" s="33"/>
      <c r="IEO162" s="33"/>
      <c r="IEP162" s="33"/>
      <c r="IEQ162" s="33"/>
      <c r="IER162" s="33"/>
      <c r="IES162" s="33"/>
      <c r="IET162" s="33"/>
      <c r="IEU162" s="33"/>
      <c r="IEV162" s="33"/>
      <c r="IEW162" s="33"/>
      <c r="IEX162" s="33"/>
      <c r="IEY162" s="33"/>
      <c r="IEZ162" s="33"/>
      <c r="IFA162" s="33"/>
      <c r="IFB162" s="33"/>
      <c r="IFC162" s="33"/>
      <c r="IFD162" s="33"/>
      <c r="IFE162" s="33"/>
      <c r="IFF162" s="33"/>
      <c r="IFG162" s="33"/>
      <c r="IFH162" s="33"/>
      <c r="IFI162" s="33"/>
      <c r="IFJ162" s="33"/>
      <c r="IFK162" s="33"/>
      <c r="IFL162" s="33"/>
      <c r="IFM162" s="33"/>
      <c r="IFN162" s="33"/>
      <c r="IFO162" s="33"/>
      <c r="IFP162" s="33"/>
      <c r="IFQ162" s="33"/>
      <c r="IFR162" s="33"/>
      <c r="IFS162" s="33"/>
      <c r="IFT162" s="33"/>
      <c r="IFU162" s="33"/>
      <c r="IFV162" s="33"/>
      <c r="IFW162" s="33"/>
      <c r="IFX162" s="33"/>
      <c r="IFY162" s="33"/>
      <c r="IFZ162" s="33"/>
      <c r="IGA162" s="33"/>
      <c r="IGB162" s="33"/>
      <c r="IGC162" s="33"/>
      <c r="IGD162" s="33"/>
      <c r="IGE162" s="33"/>
      <c r="IGF162" s="33"/>
      <c r="IGG162" s="33"/>
      <c r="IGH162" s="33"/>
      <c r="IGI162" s="33"/>
      <c r="IGJ162" s="33"/>
      <c r="IGK162" s="33"/>
      <c r="IGL162" s="33"/>
      <c r="IGM162" s="33"/>
      <c r="IGN162" s="33"/>
      <c r="IGO162" s="33"/>
      <c r="IGP162" s="33"/>
      <c r="IGQ162" s="33"/>
      <c r="IGR162" s="33"/>
      <c r="IGS162" s="33"/>
      <c r="IGT162" s="33"/>
      <c r="IGU162" s="33"/>
      <c r="IGV162" s="33"/>
      <c r="IGW162" s="33"/>
      <c r="IGX162" s="33"/>
      <c r="IGY162" s="33"/>
      <c r="IGZ162" s="33"/>
      <c r="IHA162" s="33"/>
      <c r="IHB162" s="33"/>
      <c r="IHC162" s="33"/>
      <c r="IHD162" s="33"/>
      <c r="IHE162" s="33"/>
      <c r="IHF162" s="33"/>
      <c r="IHG162" s="33"/>
      <c r="IHH162" s="33"/>
      <c r="IHI162" s="33"/>
      <c r="IHJ162" s="33"/>
      <c r="IHK162" s="33"/>
      <c r="IHL162" s="33"/>
      <c r="IHM162" s="33"/>
      <c r="IHN162" s="33"/>
      <c r="IHO162" s="33"/>
      <c r="IHP162" s="33"/>
      <c r="IHQ162" s="33"/>
      <c r="IHR162" s="33"/>
      <c r="IHS162" s="33"/>
      <c r="IHT162" s="33"/>
      <c r="IHU162" s="33"/>
      <c r="IHV162" s="33"/>
      <c r="IHW162" s="33"/>
      <c r="IHX162" s="33"/>
      <c r="IHY162" s="33"/>
      <c r="IHZ162" s="33"/>
      <c r="IIA162" s="33"/>
      <c r="IIB162" s="33"/>
      <c r="IIC162" s="33"/>
      <c r="IID162" s="33"/>
      <c r="IIE162" s="33"/>
      <c r="IIF162" s="33"/>
      <c r="IIG162" s="33"/>
      <c r="IIH162" s="33"/>
      <c r="III162" s="33"/>
      <c r="IIJ162" s="33"/>
      <c r="IIK162" s="33"/>
      <c r="IIL162" s="33"/>
      <c r="IIM162" s="33"/>
      <c r="IIN162" s="33"/>
      <c r="IIO162" s="33"/>
      <c r="IIP162" s="33"/>
      <c r="IIQ162" s="33"/>
      <c r="IIR162" s="33"/>
      <c r="IIS162" s="33"/>
      <c r="IIT162" s="33"/>
      <c r="IIU162" s="33"/>
      <c r="IIV162" s="33"/>
      <c r="IIW162" s="33"/>
      <c r="IIX162" s="33"/>
      <c r="IIY162" s="33"/>
      <c r="IIZ162" s="33"/>
      <c r="IJA162" s="33"/>
      <c r="IJB162" s="33"/>
      <c r="IJC162" s="33"/>
      <c r="IJD162" s="33"/>
      <c r="IJE162" s="33"/>
      <c r="IJF162" s="33"/>
      <c r="IJG162" s="33"/>
      <c r="IJH162" s="33"/>
      <c r="IJI162" s="33"/>
      <c r="IJJ162" s="33"/>
      <c r="IJK162" s="33"/>
      <c r="IJL162" s="33"/>
      <c r="IJM162" s="33"/>
      <c r="IJN162" s="33"/>
      <c r="IJO162" s="33"/>
      <c r="IJP162" s="33"/>
      <c r="IJQ162" s="33"/>
      <c r="IJR162" s="33"/>
      <c r="IJS162" s="33"/>
      <c r="IJT162" s="33"/>
      <c r="IJU162" s="33"/>
      <c r="IJV162" s="33"/>
      <c r="IJW162" s="33"/>
      <c r="IJX162" s="33"/>
      <c r="IJY162" s="33"/>
      <c r="IJZ162" s="33"/>
      <c r="IKA162" s="33"/>
      <c r="IKB162" s="33"/>
      <c r="IKC162" s="33"/>
      <c r="IKD162" s="33"/>
      <c r="IKE162" s="33"/>
      <c r="IKF162" s="33"/>
      <c r="IKG162" s="33"/>
      <c r="IKH162" s="33"/>
      <c r="IKI162" s="33"/>
      <c r="IKJ162" s="33"/>
      <c r="IKK162" s="33"/>
      <c r="IKL162" s="33"/>
      <c r="IKM162" s="33"/>
      <c r="IKN162" s="33"/>
      <c r="IKO162" s="33"/>
      <c r="IKP162" s="33"/>
      <c r="IKQ162" s="33"/>
      <c r="IKR162" s="33"/>
      <c r="IKS162" s="33"/>
      <c r="IKT162" s="33"/>
      <c r="IKU162" s="33"/>
      <c r="IKV162" s="33"/>
      <c r="IKW162" s="33"/>
      <c r="IKX162" s="33"/>
      <c r="IKY162" s="33"/>
      <c r="IKZ162" s="33"/>
      <c r="ILA162" s="33"/>
      <c r="ILB162" s="33"/>
      <c r="ILC162" s="33"/>
      <c r="ILD162" s="33"/>
      <c r="ILE162" s="33"/>
      <c r="ILF162" s="33"/>
      <c r="ILG162" s="33"/>
      <c r="ILH162" s="33"/>
      <c r="ILI162" s="33"/>
      <c r="ILJ162" s="33"/>
      <c r="ILK162" s="33"/>
      <c r="ILL162" s="33"/>
      <c r="ILM162" s="33"/>
      <c r="ILN162" s="33"/>
      <c r="ILO162" s="33"/>
      <c r="ILP162" s="33"/>
      <c r="ILQ162" s="33"/>
      <c r="ILR162" s="33"/>
      <c r="ILS162" s="33"/>
      <c r="ILT162" s="33"/>
      <c r="ILU162" s="33"/>
      <c r="ILV162" s="33"/>
      <c r="ILW162" s="33"/>
      <c r="ILX162" s="33"/>
      <c r="ILY162" s="33"/>
      <c r="ILZ162" s="33"/>
      <c r="IMA162" s="33"/>
      <c r="IMB162" s="33"/>
      <c r="IMC162" s="33"/>
      <c r="IMD162" s="33"/>
      <c r="IME162" s="33"/>
      <c r="IMF162" s="33"/>
      <c r="IMG162" s="33"/>
      <c r="IMH162" s="33"/>
      <c r="IMI162" s="33"/>
      <c r="IMJ162" s="33"/>
      <c r="IMK162" s="33"/>
      <c r="IML162" s="33"/>
      <c r="IMM162" s="33"/>
      <c r="IMN162" s="33"/>
      <c r="IMO162" s="33"/>
      <c r="IMP162" s="33"/>
      <c r="IMQ162" s="33"/>
      <c r="IMR162" s="33"/>
      <c r="IMS162" s="33"/>
      <c r="IMT162" s="33"/>
      <c r="IMU162" s="33"/>
      <c r="IMV162" s="33"/>
      <c r="IMW162" s="33"/>
      <c r="IMX162" s="33"/>
      <c r="IMY162" s="33"/>
      <c r="IMZ162" s="33"/>
      <c r="INA162" s="33"/>
      <c r="INB162" s="33"/>
      <c r="INC162" s="33"/>
      <c r="IND162" s="33"/>
      <c r="INE162" s="33"/>
      <c r="INF162" s="33"/>
      <c r="ING162" s="33"/>
      <c r="INH162" s="33"/>
      <c r="INI162" s="33"/>
      <c r="INJ162" s="33"/>
      <c r="INK162" s="33"/>
      <c r="INL162" s="33"/>
      <c r="INM162" s="33"/>
      <c r="INN162" s="33"/>
      <c r="INO162" s="33"/>
      <c r="INP162" s="33"/>
      <c r="INQ162" s="33"/>
      <c r="INR162" s="33"/>
      <c r="INS162" s="33"/>
      <c r="INT162" s="33"/>
      <c r="INU162" s="33"/>
      <c r="INV162" s="33"/>
      <c r="INW162" s="33"/>
      <c r="INX162" s="33"/>
      <c r="INY162" s="33"/>
      <c r="INZ162" s="33"/>
      <c r="IOA162" s="33"/>
      <c r="IOB162" s="33"/>
      <c r="IOC162" s="33"/>
      <c r="IOD162" s="33"/>
      <c r="IOE162" s="33"/>
      <c r="IOF162" s="33"/>
      <c r="IOG162" s="33"/>
      <c r="IOH162" s="33"/>
      <c r="IOI162" s="33"/>
      <c r="IOJ162" s="33"/>
      <c r="IOK162" s="33"/>
      <c r="IOL162" s="33"/>
      <c r="IOM162" s="33"/>
      <c r="ION162" s="33"/>
      <c r="IOO162" s="33"/>
      <c r="IOP162" s="33"/>
      <c r="IOQ162" s="33"/>
      <c r="IOR162" s="33"/>
      <c r="IOS162" s="33"/>
      <c r="IOT162" s="33"/>
      <c r="IOU162" s="33"/>
      <c r="IOV162" s="33"/>
      <c r="IOW162" s="33"/>
      <c r="IOX162" s="33"/>
      <c r="IOY162" s="33"/>
      <c r="IOZ162" s="33"/>
      <c r="IPA162" s="33"/>
      <c r="IPB162" s="33"/>
      <c r="IPC162" s="33"/>
      <c r="IPD162" s="33"/>
      <c r="IPE162" s="33"/>
      <c r="IPF162" s="33"/>
      <c r="IPG162" s="33"/>
      <c r="IPH162" s="33"/>
      <c r="IPI162" s="33"/>
      <c r="IPJ162" s="33"/>
      <c r="IPK162" s="33"/>
      <c r="IPL162" s="33"/>
      <c r="IPM162" s="33"/>
      <c r="IPN162" s="33"/>
      <c r="IPO162" s="33"/>
      <c r="IPP162" s="33"/>
      <c r="IPQ162" s="33"/>
      <c r="IPR162" s="33"/>
      <c r="IPS162" s="33"/>
      <c r="IPT162" s="33"/>
      <c r="IPU162" s="33"/>
      <c r="IPV162" s="33"/>
      <c r="IPW162" s="33"/>
      <c r="IPX162" s="33"/>
      <c r="IPY162" s="33"/>
      <c r="IPZ162" s="33"/>
      <c r="IQA162" s="33"/>
      <c r="IQB162" s="33"/>
      <c r="IQC162" s="33"/>
      <c r="IQD162" s="33"/>
      <c r="IQE162" s="33"/>
      <c r="IQF162" s="33"/>
      <c r="IQG162" s="33"/>
      <c r="IQH162" s="33"/>
      <c r="IQI162" s="33"/>
      <c r="IQJ162" s="33"/>
      <c r="IQK162" s="33"/>
      <c r="IQL162" s="33"/>
      <c r="IQM162" s="33"/>
      <c r="IQN162" s="33"/>
      <c r="IQO162" s="33"/>
      <c r="IQP162" s="33"/>
      <c r="IQQ162" s="33"/>
      <c r="IQR162" s="33"/>
      <c r="IQS162" s="33"/>
      <c r="IQT162" s="33"/>
      <c r="IQU162" s="33"/>
      <c r="IQV162" s="33"/>
      <c r="IQW162" s="33"/>
      <c r="IQX162" s="33"/>
      <c r="IQY162" s="33"/>
      <c r="IQZ162" s="33"/>
      <c r="IRA162" s="33"/>
      <c r="IRB162" s="33"/>
      <c r="IRC162" s="33"/>
      <c r="IRD162" s="33"/>
      <c r="IRE162" s="33"/>
      <c r="IRF162" s="33"/>
      <c r="IRG162" s="33"/>
      <c r="IRH162" s="33"/>
      <c r="IRI162" s="33"/>
      <c r="IRJ162" s="33"/>
      <c r="IRK162" s="33"/>
      <c r="IRL162" s="33"/>
      <c r="IRM162" s="33"/>
      <c r="IRN162" s="33"/>
      <c r="IRO162" s="33"/>
      <c r="IRP162" s="33"/>
      <c r="IRQ162" s="33"/>
      <c r="IRR162" s="33"/>
      <c r="IRS162" s="33"/>
      <c r="IRT162" s="33"/>
      <c r="IRU162" s="33"/>
      <c r="IRV162" s="33"/>
      <c r="IRW162" s="33"/>
      <c r="IRX162" s="33"/>
      <c r="IRY162" s="33"/>
      <c r="IRZ162" s="33"/>
      <c r="ISA162" s="33"/>
      <c r="ISB162" s="33"/>
      <c r="ISC162" s="33"/>
      <c r="ISD162" s="33"/>
      <c r="ISE162" s="33"/>
      <c r="ISF162" s="33"/>
      <c r="ISG162" s="33"/>
      <c r="ISH162" s="33"/>
      <c r="ISI162" s="33"/>
      <c r="ISJ162" s="33"/>
      <c r="ISK162" s="33"/>
      <c r="ISL162" s="33"/>
      <c r="ISM162" s="33"/>
      <c r="ISN162" s="33"/>
      <c r="ISO162" s="33"/>
      <c r="ISP162" s="33"/>
      <c r="ISQ162" s="33"/>
      <c r="ISR162" s="33"/>
      <c r="ISS162" s="33"/>
      <c r="IST162" s="33"/>
      <c r="ISU162" s="33"/>
      <c r="ISV162" s="33"/>
      <c r="ISW162" s="33"/>
      <c r="ISX162" s="33"/>
      <c r="ISY162" s="33"/>
      <c r="ISZ162" s="33"/>
      <c r="ITA162" s="33"/>
      <c r="ITB162" s="33"/>
      <c r="ITC162" s="33"/>
      <c r="ITD162" s="33"/>
      <c r="ITE162" s="33"/>
      <c r="ITF162" s="33"/>
      <c r="ITG162" s="33"/>
      <c r="ITH162" s="33"/>
      <c r="ITI162" s="33"/>
      <c r="ITJ162" s="33"/>
      <c r="ITK162" s="33"/>
      <c r="ITL162" s="33"/>
      <c r="ITM162" s="33"/>
      <c r="ITN162" s="33"/>
      <c r="ITO162" s="33"/>
      <c r="ITP162" s="33"/>
      <c r="ITQ162" s="33"/>
      <c r="ITR162" s="33"/>
      <c r="ITS162" s="33"/>
      <c r="ITT162" s="33"/>
      <c r="ITU162" s="33"/>
      <c r="ITV162" s="33"/>
      <c r="ITW162" s="33"/>
      <c r="ITX162" s="33"/>
      <c r="ITY162" s="33"/>
      <c r="ITZ162" s="33"/>
      <c r="IUA162" s="33"/>
      <c r="IUB162" s="33"/>
      <c r="IUC162" s="33"/>
      <c r="IUD162" s="33"/>
      <c r="IUE162" s="33"/>
      <c r="IUF162" s="33"/>
      <c r="IUG162" s="33"/>
      <c r="IUH162" s="33"/>
      <c r="IUI162" s="33"/>
      <c r="IUJ162" s="33"/>
      <c r="IUK162" s="33"/>
      <c r="IUL162" s="33"/>
      <c r="IUM162" s="33"/>
      <c r="IUN162" s="33"/>
      <c r="IUO162" s="33"/>
      <c r="IUP162" s="33"/>
      <c r="IUQ162" s="33"/>
      <c r="IUR162" s="33"/>
      <c r="IUS162" s="33"/>
      <c r="IUT162" s="33"/>
      <c r="IUU162" s="33"/>
      <c r="IUV162" s="33"/>
      <c r="IUW162" s="33"/>
      <c r="IUX162" s="33"/>
      <c r="IUY162" s="33"/>
      <c r="IUZ162" s="33"/>
      <c r="IVA162" s="33"/>
      <c r="IVB162" s="33"/>
      <c r="IVC162" s="33"/>
      <c r="IVD162" s="33"/>
      <c r="IVE162" s="33"/>
      <c r="IVF162" s="33"/>
      <c r="IVG162" s="33"/>
      <c r="IVH162" s="33"/>
      <c r="IVI162" s="33"/>
      <c r="IVJ162" s="33"/>
      <c r="IVK162" s="33"/>
      <c r="IVL162" s="33"/>
      <c r="IVM162" s="33"/>
      <c r="IVN162" s="33"/>
      <c r="IVO162" s="33"/>
      <c r="IVP162" s="33"/>
      <c r="IVQ162" s="33"/>
      <c r="IVR162" s="33"/>
      <c r="IVS162" s="33"/>
      <c r="IVT162" s="33"/>
      <c r="IVU162" s="33"/>
      <c r="IVV162" s="33"/>
      <c r="IVW162" s="33"/>
      <c r="IVX162" s="33"/>
      <c r="IVY162" s="33"/>
      <c r="IVZ162" s="33"/>
      <c r="IWA162" s="33"/>
      <c r="IWB162" s="33"/>
      <c r="IWC162" s="33"/>
      <c r="IWD162" s="33"/>
      <c r="IWE162" s="33"/>
      <c r="IWF162" s="33"/>
      <c r="IWG162" s="33"/>
      <c r="IWH162" s="33"/>
      <c r="IWI162" s="33"/>
      <c r="IWJ162" s="33"/>
      <c r="IWK162" s="33"/>
      <c r="IWL162" s="33"/>
      <c r="IWM162" s="33"/>
      <c r="IWN162" s="33"/>
      <c r="IWO162" s="33"/>
      <c r="IWP162" s="33"/>
      <c r="IWQ162" s="33"/>
      <c r="IWR162" s="33"/>
      <c r="IWS162" s="33"/>
      <c r="IWT162" s="33"/>
      <c r="IWU162" s="33"/>
      <c r="IWV162" s="33"/>
      <c r="IWW162" s="33"/>
      <c r="IWX162" s="33"/>
      <c r="IWY162" s="33"/>
      <c r="IWZ162" s="33"/>
      <c r="IXA162" s="33"/>
      <c r="IXB162" s="33"/>
      <c r="IXC162" s="33"/>
      <c r="IXD162" s="33"/>
      <c r="IXE162" s="33"/>
      <c r="IXF162" s="33"/>
      <c r="IXG162" s="33"/>
      <c r="IXH162" s="33"/>
      <c r="IXI162" s="33"/>
      <c r="IXJ162" s="33"/>
      <c r="IXK162" s="33"/>
      <c r="IXL162" s="33"/>
      <c r="IXM162" s="33"/>
      <c r="IXN162" s="33"/>
      <c r="IXO162" s="33"/>
      <c r="IXP162" s="33"/>
      <c r="IXQ162" s="33"/>
      <c r="IXR162" s="33"/>
      <c r="IXS162" s="33"/>
      <c r="IXT162" s="33"/>
      <c r="IXU162" s="33"/>
      <c r="IXV162" s="33"/>
      <c r="IXW162" s="33"/>
      <c r="IXX162" s="33"/>
      <c r="IXY162" s="33"/>
      <c r="IXZ162" s="33"/>
      <c r="IYA162" s="33"/>
      <c r="IYB162" s="33"/>
      <c r="IYC162" s="33"/>
      <c r="IYD162" s="33"/>
      <c r="IYE162" s="33"/>
      <c r="IYF162" s="33"/>
      <c r="IYG162" s="33"/>
      <c r="IYH162" s="33"/>
      <c r="IYI162" s="33"/>
      <c r="IYJ162" s="33"/>
      <c r="IYK162" s="33"/>
      <c r="IYL162" s="33"/>
      <c r="IYM162" s="33"/>
      <c r="IYN162" s="33"/>
      <c r="IYO162" s="33"/>
      <c r="IYP162" s="33"/>
      <c r="IYQ162" s="33"/>
      <c r="IYR162" s="33"/>
      <c r="IYS162" s="33"/>
      <c r="IYT162" s="33"/>
      <c r="IYU162" s="33"/>
      <c r="IYV162" s="33"/>
      <c r="IYW162" s="33"/>
      <c r="IYX162" s="33"/>
      <c r="IYY162" s="33"/>
      <c r="IYZ162" s="33"/>
      <c r="IZA162" s="33"/>
      <c r="IZB162" s="33"/>
      <c r="IZC162" s="33"/>
      <c r="IZD162" s="33"/>
      <c r="IZE162" s="33"/>
      <c r="IZF162" s="33"/>
      <c r="IZG162" s="33"/>
      <c r="IZH162" s="33"/>
      <c r="IZI162" s="33"/>
      <c r="IZJ162" s="33"/>
      <c r="IZK162" s="33"/>
      <c r="IZL162" s="33"/>
      <c r="IZM162" s="33"/>
      <c r="IZN162" s="33"/>
      <c r="IZO162" s="33"/>
      <c r="IZP162" s="33"/>
      <c r="IZQ162" s="33"/>
      <c r="IZR162" s="33"/>
      <c r="IZS162" s="33"/>
      <c r="IZT162" s="33"/>
      <c r="IZU162" s="33"/>
      <c r="IZV162" s="33"/>
      <c r="IZW162" s="33"/>
      <c r="IZX162" s="33"/>
      <c r="IZY162" s="33"/>
      <c r="IZZ162" s="33"/>
      <c r="JAA162" s="33"/>
      <c r="JAB162" s="33"/>
      <c r="JAC162" s="33"/>
      <c r="JAD162" s="33"/>
      <c r="JAE162" s="33"/>
      <c r="JAF162" s="33"/>
      <c r="JAG162" s="33"/>
      <c r="JAH162" s="33"/>
      <c r="JAI162" s="33"/>
      <c r="JAJ162" s="33"/>
      <c r="JAK162" s="33"/>
      <c r="JAL162" s="33"/>
      <c r="JAM162" s="33"/>
      <c r="JAN162" s="33"/>
      <c r="JAO162" s="33"/>
      <c r="JAP162" s="33"/>
      <c r="JAQ162" s="33"/>
      <c r="JAR162" s="33"/>
      <c r="JAS162" s="33"/>
      <c r="JAT162" s="33"/>
      <c r="JAU162" s="33"/>
      <c r="JAV162" s="33"/>
      <c r="JAW162" s="33"/>
      <c r="JAX162" s="33"/>
      <c r="JAY162" s="33"/>
      <c r="JAZ162" s="33"/>
      <c r="JBA162" s="33"/>
      <c r="JBB162" s="33"/>
      <c r="JBC162" s="33"/>
      <c r="JBD162" s="33"/>
      <c r="JBE162" s="33"/>
      <c r="JBF162" s="33"/>
      <c r="JBG162" s="33"/>
      <c r="JBH162" s="33"/>
      <c r="JBI162" s="33"/>
      <c r="JBJ162" s="33"/>
      <c r="JBK162" s="33"/>
      <c r="JBL162" s="33"/>
      <c r="JBM162" s="33"/>
      <c r="JBN162" s="33"/>
      <c r="JBO162" s="33"/>
      <c r="JBP162" s="33"/>
      <c r="JBQ162" s="33"/>
      <c r="JBR162" s="33"/>
      <c r="JBS162" s="33"/>
      <c r="JBT162" s="33"/>
      <c r="JBU162" s="33"/>
      <c r="JBV162" s="33"/>
      <c r="JBW162" s="33"/>
      <c r="JBX162" s="33"/>
      <c r="JBY162" s="33"/>
      <c r="JBZ162" s="33"/>
      <c r="JCA162" s="33"/>
      <c r="JCB162" s="33"/>
      <c r="JCC162" s="33"/>
      <c r="JCD162" s="33"/>
      <c r="JCE162" s="33"/>
      <c r="JCF162" s="33"/>
      <c r="JCG162" s="33"/>
      <c r="JCH162" s="33"/>
      <c r="JCI162" s="33"/>
      <c r="JCJ162" s="33"/>
      <c r="JCK162" s="33"/>
      <c r="JCL162" s="33"/>
      <c r="JCM162" s="33"/>
      <c r="JCN162" s="33"/>
      <c r="JCO162" s="33"/>
      <c r="JCP162" s="33"/>
      <c r="JCQ162" s="33"/>
      <c r="JCR162" s="33"/>
      <c r="JCS162" s="33"/>
      <c r="JCT162" s="33"/>
      <c r="JCU162" s="33"/>
      <c r="JCV162" s="33"/>
      <c r="JCW162" s="33"/>
      <c r="JCX162" s="33"/>
      <c r="JCY162" s="33"/>
      <c r="JCZ162" s="33"/>
      <c r="JDA162" s="33"/>
      <c r="JDB162" s="33"/>
      <c r="JDC162" s="33"/>
      <c r="JDD162" s="33"/>
      <c r="JDE162" s="33"/>
      <c r="JDF162" s="33"/>
      <c r="JDG162" s="33"/>
      <c r="JDH162" s="33"/>
      <c r="JDI162" s="33"/>
      <c r="JDJ162" s="33"/>
      <c r="JDK162" s="33"/>
      <c r="JDL162" s="33"/>
      <c r="JDM162" s="33"/>
      <c r="JDN162" s="33"/>
      <c r="JDO162" s="33"/>
      <c r="JDP162" s="33"/>
      <c r="JDQ162" s="33"/>
      <c r="JDR162" s="33"/>
      <c r="JDS162" s="33"/>
      <c r="JDT162" s="33"/>
      <c r="JDU162" s="33"/>
      <c r="JDV162" s="33"/>
      <c r="JDW162" s="33"/>
      <c r="JDX162" s="33"/>
      <c r="JDY162" s="33"/>
      <c r="JDZ162" s="33"/>
      <c r="JEA162" s="33"/>
      <c r="JEB162" s="33"/>
      <c r="JEC162" s="33"/>
      <c r="JED162" s="33"/>
      <c r="JEE162" s="33"/>
      <c r="JEF162" s="33"/>
      <c r="JEG162" s="33"/>
      <c r="JEH162" s="33"/>
      <c r="JEI162" s="33"/>
      <c r="JEJ162" s="33"/>
      <c r="JEK162" s="33"/>
      <c r="JEL162" s="33"/>
      <c r="JEM162" s="33"/>
      <c r="JEN162" s="33"/>
      <c r="JEO162" s="33"/>
      <c r="JEP162" s="33"/>
      <c r="JEQ162" s="33"/>
      <c r="JER162" s="33"/>
      <c r="JES162" s="33"/>
      <c r="JET162" s="33"/>
      <c r="JEU162" s="33"/>
      <c r="JEV162" s="33"/>
      <c r="JEW162" s="33"/>
      <c r="JEX162" s="33"/>
      <c r="JEY162" s="33"/>
      <c r="JEZ162" s="33"/>
      <c r="JFA162" s="33"/>
      <c r="JFB162" s="33"/>
      <c r="JFC162" s="33"/>
      <c r="JFD162" s="33"/>
      <c r="JFE162" s="33"/>
      <c r="JFF162" s="33"/>
      <c r="JFG162" s="33"/>
      <c r="JFH162" s="33"/>
      <c r="JFI162" s="33"/>
      <c r="JFJ162" s="33"/>
      <c r="JFK162" s="33"/>
      <c r="JFL162" s="33"/>
      <c r="JFM162" s="33"/>
      <c r="JFN162" s="33"/>
      <c r="JFO162" s="33"/>
      <c r="JFP162" s="33"/>
      <c r="JFQ162" s="33"/>
      <c r="JFR162" s="33"/>
      <c r="JFS162" s="33"/>
      <c r="JFT162" s="33"/>
      <c r="JFU162" s="33"/>
      <c r="JFV162" s="33"/>
      <c r="JFW162" s="33"/>
      <c r="JFX162" s="33"/>
      <c r="JFY162" s="33"/>
      <c r="JFZ162" s="33"/>
      <c r="JGA162" s="33"/>
      <c r="JGB162" s="33"/>
      <c r="JGC162" s="33"/>
      <c r="JGD162" s="33"/>
      <c r="JGE162" s="33"/>
      <c r="JGF162" s="33"/>
      <c r="JGG162" s="33"/>
      <c r="JGH162" s="33"/>
      <c r="JGI162" s="33"/>
      <c r="JGJ162" s="33"/>
      <c r="JGK162" s="33"/>
      <c r="JGL162" s="33"/>
      <c r="JGM162" s="33"/>
      <c r="JGN162" s="33"/>
      <c r="JGO162" s="33"/>
      <c r="JGP162" s="33"/>
      <c r="JGQ162" s="33"/>
      <c r="JGR162" s="33"/>
      <c r="JGS162" s="33"/>
      <c r="JGT162" s="33"/>
      <c r="JGU162" s="33"/>
      <c r="JGV162" s="33"/>
      <c r="JGW162" s="33"/>
      <c r="JGX162" s="33"/>
      <c r="JGY162" s="33"/>
      <c r="JGZ162" s="33"/>
      <c r="JHA162" s="33"/>
      <c r="JHB162" s="33"/>
      <c r="JHC162" s="33"/>
      <c r="JHD162" s="33"/>
      <c r="JHE162" s="33"/>
      <c r="JHF162" s="33"/>
      <c r="JHG162" s="33"/>
      <c r="JHH162" s="33"/>
      <c r="JHI162" s="33"/>
      <c r="JHJ162" s="33"/>
      <c r="JHK162" s="33"/>
      <c r="JHL162" s="33"/>
      <c r="JHM162" s="33"/>
      <c r="JHN162" s="33"/>
      <c r="JHO162" s="33"/>
      <c r="JHP162" s="33"/>
      <c r="JHQ162" s="33"/>
      <c r="JHR162" s="33"/>
      <c r="JHS162" s="33"/>
      <c r="JHT162" s="33"/>
      <c r="JHU162" s="33"/>
      <c r="JHV162" s="33"/>
      <c r="JHW162" s="33"/>
      <c r="JHX162" s="33"/>
      <c r="JHY162" s="33"/>
      <c r="JHZ162" s="33"/>
      <c r="JIA162" s="33"/>
      <c r="JIB162" s="33"/>
      <c r="JIC162" s="33"/>
      <c r="JID162" s="33"/>
      <c r="JIE162" s="33"/>
      <c r="JIF162" s="33"/>
      <c r="JIG162" s="33"/>
      <c r="JIH162" s="33"/>
      <c r="JII162" s="33"/>
      <c r="JIJ162" s="33"/>
      <c r="JIK162" s="33"/>
      <c r="JIL162" s="33"/>
      <c r="JIM162" s="33"/>
      <c r="JIN162" s="33"/>
      <c r="JIO162" s="33"/>
      <c r="JIP162" s="33"/>
      <c r="JIQ162" s="33"/>
      <c r="JIR162" s="33"/>
      <c r="JIS162" s="33"/>
      <c r="JIT162" s="33"/>
      <c r="JIU162" s="33"/>
      <c r="JIV162" s="33"/>
      <c r="JIW162" s="33"/>
      <c r="JIX162" s="33"/>
      <c r="JIY162" s="33"/>
      <c r="JIZ162" s="33"/>
      <c r="JJA162" s="33"/>
      <c r="JJB162" s="33"/>
      <c r="JJC162" s="33"/>
      <c r="JJD162" s="33"/>
      <c r="JJE162" s="33"/>
      <c r="JJF162" s="33"/>
      <c r="JJG162" s="33"/>
      <c r="JJH162" s="33"/>
      <c r="JJI162" s="33"/>
      <c r="JJJ162" s="33"/>
      <c r="JJK162" s="33"/>
      <c r="JJL162" s="33"/>
      <c r="JJM162" s="33"/>
      <c r="JJN162" s="33"/>
      <c r="JJO162" s="33"/>
      <c r="JJP162" s="33"/>
      <c r="JJQ162" s="33"/>
      <c r="JJR162" s="33"/>
      <c r="JJS162" s="33"/>
      <c r="JJT162" s="33"/>
      <c r="JJU162" s="33"/>
      <c r="JJV162" s="33"/>
      <c r="JJW162" s="33"/>
      <c r="JJX162" s="33"/>
      <c r="JJY162" s="33"/>
      <c r="JJZ162" s="33"/>
      <c r="JKA162" s="33"/>
      <c r="JKB162" s="33"/>
      <c r="JKC162" s="33"/>
      <c r="JKD162" s="33"/>
      <c r="JKE162" s="33"/>
      <c r="JKF162" s="33"/>
      <c r="JKG162" s="33"/>
      <c r="JKH162" s="33"/>
      <c r="JKI162" s="33"/>
      <c r="JKJ162" s="33"/>
      <c r="JKK162" s="33"/>
      <c r="JKL162" s="33"/>
      <c r="JKM162" s="33"/>
      <c r="JKN162" s="33"/>
      <c r="JKO162" s="33"/>
      <c r="JKP162" s="33"/>
      <c r="JKQ162" s="33"/>
      <c r="JKR162" s="33"/>
      <c r="JKS162" s="33"/>
      <c r="JKT162" s="33"/>
      <c r="JKU162" s="33"/>
      <c r="JKV162" s="33"/>
      <c r="JKW162" s="33"/>
      <c r="JKX162" s="33"/>
      <c r="JKY162" s="33"/>
      <c r="JKZ162" s="33"/>
      <c r="JLA162" s="33"/>
      <c r="JLB162" s="33"/>
      <c r="JLC162" s="33"/>
      <c r="JLD162" s="33"/>
      <c r="JLE162" s="33"/>
      <c r="JLF162" s="33"/>
      <c r="JLG162" s="33"/>
      <c r="JLH162" s="33"/>
      <c r="JLI162" s="33"/>
      <c r="JLJ162" s="33"/>
      <c r="JLK162" s="33"/>
      <c r="JLL162" s="33"/>
      <c r="JLM162" s="33"/>
      <c r="JLN162" s="33"/>
      <c r="JLO162" s="33"/>
      <c r="JLP162" s="33"/>
      <c r="JLQ162" s="33"/>
      <c r="JLR162" s="33"/>
      <c r="JLS162" s="33"/>
      <c r="JLT162" s="33"/>
      <c r="JLU162" s="33"/>
      <c r="JLV162" s="33"/>
      <c r="JLW162" s="33"/>
      <c r="JLX162" s="33"/>
      <c r="JLY162" s="33"/>
      <c r="JLZ162" s="33"/>
      <c r="JMA162" s="33"/>
      <c r="JMB162" s="33"/>
      <c r="JMC162" s="33"/>
      <c r="JMD162" s="33"/>
      <c r="JME162" s="33"/>
      <c r="JMF162" s="33"/>
      <c r="JMG162" s="33"/>
      <c r="JMH162" s="33"/>
      <c r="JMI162" s="33"/>
      <c r="JMJ162" s="33"/>
      <c r="JMK162" s="33"/>
      <c r="JML162" s="33"/>
      <c r="JMM162" s="33"/>
      <c r="JMN162" s="33"/>
      <c r="JMO162" s="33"/>
      <c r="JMP162" s="33"/>
      <c r="JMQ162" s="33"/>
      <c r="JMR162" s="33"/>
      <c r="JMS162" s="33"/>
      <c r="JMT162" s="33"/>
      <c r="JMU162" s="33"/>
      <c r="JMV162" s="33"/>
      <c r="JMW162" s="33"/>
      <c r="JMX162" s="33"/>
      <c r="JMY162" s="33"/>
      <c r="JMZ162" s="33"/>
      <c r="JNA162" s="33"/>
      <c r="JNB162" s="33"/>
      <c r="JNC162" s="33"/>
      <c r="JND162" s="33"/>
      <c r="JNE162" s="33"/>
      <c r="JNF162" s="33"/>
      <c r="JNG162" s="33"/>
      <c r="JNH162" s="33"/>
      <c r="JNI162" s="33"/>
      <c r="JNJ162" s="33"/>
      <c r="JNK162" s="33"/>
      <c r="JNL162" s="33"/>
      <c r="JNM162" s="33"/>
      <c r="JNN162" s="33"/>
      <c r="JNO162" s="33"/>
      <c r="JNP162" s="33"/>
      <c r="JNQ162" s="33"/>
      <c r="JNR162" s="33"/>
      <c r="JNS162" s="33"/>
      <c r="JNT162" s="33"/>
      <c r="JNU162" s="33"/>
      <c r="JNV162" s="33"/>
      <c r="JNW162" s="33"/>
      <c r="JNX162" s="33"/>
      <c r="JNY162" s="33"/>
      <c r="JNZ162" s="33"/>
      <c r="JOA162" s="33"/>
      <c r="JOB162" s="33"/>
      <c r="JOC162" s="33"/>
      <c r="JOD162" s="33"/>
      <c r="JOE162" s="33"/>
      <c r="JOF162" s="33"/>
      <c r="JOG162" s="33"/>
      <c r="JOH162" s="33"/>
      <c r="JOI162" s="33"/>
      <c r="JOJ162" s="33"/>
      <c r="JOK162" s="33"/>
      <c r="JOL162" s="33"/>
      <c r="JOM162" s="33"/>
      <c r="JON162" s="33"/>
      <c r="JOO162" s="33"/>
      <c r="JOP162" s="33"/>
      <c r="JOQ162" s="33"/>
      <c r="JOR162" s="33"/>
      <c r="JOS162" s="33"/>
      <c r="JOT162" s="33"/>
      <c r="JOU162" s="33"/>
      <c r="JOV162" s="33"/>
      <c r="JOW162" s="33"/>
      <c r="JOX162" s="33"/>
      <c r="JOY162" s="33"/>
      <c r="JOZ162" s="33"/>
      <c r="JPA162" s="33"/>
      <c r="JPB162" s="33"/>
      <c r="JPC162" s="33"/>
      <c r="JPD162" s="33"/>
      <c r="JPE162" s="33"/>
      <c r="JPF162" s="33"/>
      <c r="JPG162" s="33"/>
      <c r="JPH162" s="33"/>
      <c r="JPI162" s="33"/>
      <c r="JPJ162" s="33"/>
      <c r="JPK162" s="33"/>
      <c r="JPL162" s="33"/>
      <c r="JPM162" s="33"/>
      <c r="JPN162" s="33"/>
      <c r="JPO162" s="33"/>
      <c r="JPP162" s="33"/>
      <c r="JPQ162" s="33"/>
      <c r="JPR162" s="33"/>
      <c r="JPS162" s="33"/>
      <c r="JPT162" s="33"/>
      <c r="JPU162" s="33"/>
      <c r="JPV162" s="33"/>
      <c r="JPW162" s="33"/>
      <c r="JPX162" s="33"/>
      <c r="JPY162" s="33"/>
      <c r="JPZ162" s="33"/>
      <c r="JQA162" s="33"/>
      <c r="JQB162" s="33"/>
      <c r="JQC162" s="33"/>
      <c r="JQD162" s="33"/>
      <c r="JQE162" s="33"/>
      <c r="JQF162" s="33"/>
      <c r="JQG162" s="33"/>
      <c r="JQH162" s="33"/>
      <c r="JQI162" s="33"/>
      <c r="JQJ162" s="33"/>
      <c r="JQK162" s="33"/>
      <c r="JQL162" s="33"/>
      <c r="JQM162" s="33"/>
      <c r="JQN162" s="33"/>
      <c r="JQO162" s="33"/>
      <c r="JQP162" s="33"/>
      <c r="JQQ162" s="33"/>
      <c r="JQR162" s="33"/>
      <c r="JQS162" s="33"/>
      <c r="JQT162" s="33"/>
      <c r="JQU162" s="33"/>
      <c r="JQV162" s="33"/>
      <c r="JQW162" s="33"/>
      <c r="JQX162" s="33"/>
      <c r="JQY162" s="33"/>
      <c r="JQZ162" s="33"/>
      <c r="JRA162" s="33"/>
      <c r="JRB162" s="33"/>
      <c r="JRC162" s="33"/>
      <c r="JRD162" s="33"/>
      <c r="JRE162" s="33"/>
      <c r="JRF162" s="33"/>
      <c r="JRG162" s="33"/>
      <c r="JRH162" s="33"/>
      <c r="JRI162" s="33"/>
      <c r="JRJ162" s="33"/>
      <c r="JRK162" s="33"/>
      <c r="JRL162" s="33"/>
      <c r="JRM162" s="33"/>
      <c r="JRN162" s="33"/>
      <c r="JRO162" s="33"/>
      <c r="JRP162" s="33"/>
      <c r="JRQ162" s="33"/>
      <c r="JRR162" s="33"/>
      <c r="JRS162" s="33"/>
      <c r="JRT162" s="33"/>
      <c r="JRU162" s="33"/>
      <c r="JRV162" s="33"/>
      <c r="JRW162" s="33"/>
      <c r="JRX162" s="33"/>
      <c r="JRY162" s="33"/>
      <c r="JRZ162" s="33"/>
      <c r="JSA162" s="33"/>
      <c r="JSB162" s="33"/>
      <c r="JSC162" s="33"/>
      <c r="JSD162" s="33"/>
      <c r="JSE162" s="33"/>
      <c r="JSF162" s="33"/>
      <c r="JSG162" s="33"/>
      <c r="JSH162" s="33"/>
      <c r="JSI162" s="33"/>
      <c r="JSJ162" s="33"/>
      <c r="JSK162" s="33"/>
      <c r="JSL162" s="33"/>
      <c r="JSM162" s="33"/>
      <c r="JSN162" s="33"/>
      <c r="JSO162" s="33"/>
      <c r="JSP162" s="33"/>
      <c r="JSQ162" s="33"/>
      <c r="JSR162" s="33"/>
      <c r="JSS162" s="33"/>
      <c r="JST162" s="33"/>
      <c r="JSU162" s="33"/>
      <c r="JSV162" s="33"/>
      <c r="JSW162" s="33"/>
      <c r="JSX162" s="33"/>
      <c r="JSY162" s="33"/>
      <c r="JSZ162" s="33"/>
      <c r="JTA162" s="33"/>
      <c r="JTB162" s="33"/>
      <c r="JTC162" s="33"/>
      <c r="JTD162" s="33"/>
      <c r="JTE162" s="33"/>
      <c r="JTF162" s="33"/>
      <c r="JTG162" s="33"/>
      <c r="JTH162" s="33"/>
      <c r="JTI162" s="33"/>
      <c r="JTJ162" s="33"/>
      <c r="JTK162" s="33"/>
      <c r="JTL162" s="33"/>
      <c r="JTM162" s="33"/>
      <c r="JTN162" s="33"/>
      <c r="JTO162" s="33"/>
      <c r="JTP162" s="33"/>
      <c r="JTQ162" s="33"/>
      <c r="JTR162" s="33"/>
      <c r="JTS162" s="33"/>
      <c r="JTT162" s="33"/>
      <c r="JTU162" s="33"/>
      <c r="JTV162" s="33"/>
      <c r="JTW162" s="33"/>
      <c r="JTX162" s="33"/>
      <c r="JTY162" s="33"/>
      <c r="JTZ162" s="33"/>
      <c r="JUA162" s="33"/>
      <c r="JUB162" s="33"/>
      <c r="JUC162" s="33"/>
      <c r="JUD162" s="33"/>
      <c r="JUE162" s="33"/>
      <c r="JUF162" s="33"/>
      <c r="JUG162" s="33"/>
      <c r="JUH162" s="33"/>
      <c r="JUI162" s="33"/>
      <c r="JUJ162" s="33"/>
      <c r="JUK162" s="33"/>
      <c r="JUL162" s="33"/>
      <c r="JUM162" s="33"/>
      <c r="JUN162" s="33"/>
      <c r="JUO162" s="33"/>
      <c r="JUP162" s="33"/>
      <c r="JUQ162" s="33"/>
      <c r="JUR162" s="33"/>
      <c r="JUS162" s="33"/>
      <c r="JUT162" s="33"/>
      <c r="JUU162" s="33"/>
      <c r="JUV162" s="33"/>
      <c r="JUW162" s="33"/>
      <c r="JUX162" s="33"/>
      <c r="JUY162" s="33"/>
      <c r="JUZ162" s="33"/>
      <c r="JVA162" s="33"/>
      <c r="JVB162" s="33"/>
      <c r="JVC162" s="33"/>
      <c r="JVD162" s="33"/>
      <c r="JVE162" s="33"/>
      <c r="JVF162" s="33"/>
      <c r="JVG162" s="33"/>
      <c r="JVH162" s="33"/>
      <c r="JVI162" s="33"/>
      <c r="JVJ162" s="33"/>
      <c r="JVK162" s="33"/>
      <c r="JVL162" s="33"/>
      <c r="JVM162" s="33"/>
      <c r="JVN162" s="33"/>
      <c r="JVO162" s="33"/>
      <c r="JVP162" s="33"/>
      <c r="JVQ162" s="33"/>
      <c r="JVR162" s="33"/>
      <c r="JVS162" s="33"/>
      <c r="JVT162" s="33"/>
      <c r="JVU162" s="33"/>
      <c r="JVV162" s="33"/>
      <c r="JVW162" s="33"/>
      <c r="JVX162" s="33"/>
      <c r="JVY162" s="33"/>
      <c r="JVZ162" s="33"/>
      <c r="JWA162" s="33"/>
      <c r="JWB162" s="33"/>
      <c r="JWC162" s="33"/>
      <c r="JWD162" s="33"/>
      <c r="JWE162" s="33"/>
      <c r="JWF162" s="33"/>
      <c r="JWG162" s="33"/>
      <c r="JWH162" s="33"/>
      <c r="JWI162" s="33"/>
      <c r="JWJ162" s="33"/>
      <c r="JWK162" s="33"/>
      <c r="JWL162" s="33"/>
      <c r="JWM162" s="33"/>
      <c r="JWN162" s="33"/>
      <c r="JWO162" s="33"/>
      <c r="JWP162" s="33"/>
      <c r="JWQ162" s="33"/>
      <c r="JWR162" s="33"/>
      <c r="JWS162" s="33"/>
      <c r="JWT162" s="33"/>
      <c r="JWU162" s="33"/>
      <c r="JWV162" s="33"/>
      <c r="JWW162" s="33"/>
      <c r="JWX162" s="33"/>
      <c r="JWY162" s="33"/>
      <c r="JWZ162" s="33"/>
      <c r="JXA162" s="33"/>
      <c r="JXB162" s="33"/>
      <c r="JXC162" s="33"/>
      <c r="JXD162" s="33"/>
      <c r="JXE162" s="33"/>
      <c r="JXF162" s="33"/>
      <c r="JXG162" s="33"/>
      <c r="JXH162" s="33"/>
      <c r="JXI162" s="33"/>
      <c r="JXJ162" s="33"/>
      <c r="JXK162" s="33"/>
      <c r="JXL162" s="33"/>
      <c r="JXM162" s="33"/>
      <c r="JXN162" s="33"/>
      <c r="JXO162" s="33"/>
      <c r="JXP162" s="33"/>
      <c r="JXQ162" s="33"/>
      <c r="JXR162" s="33"/>
      <c r="JXS162" s="33"/>
      <c r="JXT162" s="33"/>
      <c r="JXU162" s="33"/>
      <c r="JXV162" s="33"/>
      <c r="JXW162" s="33"/>
      <c r="JXX162" s="33"/>
      <c r="JXY162" s="33"/>
      <c r="JXZ162" s="33"/>
      <c r="JYA162" s="33"/>
      <c r="JYB162" s="33"/>
      <c r="JYC162" s="33"/>
      <c r="JYD162" s="33"/>
      <c r="JYE162" s="33"/>
      <c r="JYF162" s="33"/>
      <c r="JYG162" s="33"/>
      <c r="JYH162" s="33"/>
      <c r="JYI162" s="33"/>
      <c r="JYJ162" s="33"/>
      <c r="JYK162" s="33"/>
      <c r="JYL162" s="33"/>
      <c r="JYM162" s="33"/>
      <c r="JYN162" s="33"/>
      <c r="JYO162" s="33"/>
      <c r="JYP162" s="33"/>
      <c r="JYQ162" s="33"/>
      <c r="JYR162" s="33"/>
      <c r="JYS162" s="33"/>
      <c r="JYT162" s="33"/>
      <c r="JYU162" s="33"/>
      <c r="JYV162" s="33"/>
      <c r="JYW162" s="33"/>
      <c r="JYX162" s="33"/>
      <c r="JYY162" s="33"/>
      <c r="JYZ162" s="33"/>
      <c r="JZA162" s="33"/>
      <c r="JZB162" s="33"/>
      <c r="JZC162" s="33"/>
      <c r="JZD162" s="33"/>
      <c r="JZE162" s="33"/>
      <c r="JZF162" s="33"/>
      <c r="JZG162" s="33"/>
      <c r="JZH162" s="33"/>
      <c r="JZI162" s="33"/>
      <c r="JZJ162" s="33"/>
      <c r="JZK162" s="33"/>
      <c r="JZL162" s="33"/>
      <c r="JZM162" s="33"/>
      <c r="JZN162" s="33"/>
      <c r="JZO162" s="33"/>
      <c r="JZP162" s="33"/>
      <c r="JZQ162" s="33"/>
      <c r="JZR162" s="33"/>
      <c r="JZS162" s="33"/>
      <c r="JZT162" s="33"/>
      <c r="JZU162" s="33"/>
      <c r="JZV162" s="33"/>
      <c r="JZW162" s="33"/>
      <c r="JZX162" s="33"/>
      <c r="JZY162" s="33"/>
      <c r="JZZ162" s="33"/>
      <c r="KAA162" s="33"/>
      <c r="KAB162" s="33"/>
      <c r="KAC162" s="33"/>
      <c r="KAD162" s="33"/>
      <c r="KAE162" s="33"/>
      <c r="KAF162" s="33"/>
      <c r="KAG162" s="33"/>
      <c r="KAH162" s="33"/>
      <c r="KAI162" s="33"/>
      <c r="KAJ162" s="33"/>
      <c r="KAK162" s="33"/>
      <c r="KAL162" s="33"/>
      <c r="KAM162" s="33"/>
      <c r="KAN162" s="33"/>
      <c r="KAO162" s="33"/>
      <c r="KAP162" s="33"/>
      <c r="KAQ162" s="33"/>
      <c r="KAR162" s="33"/>
      <c r="KAS162" s="33"/>
      <c r="KAT162" s="33"/>
      <c r="KAU162" s="33"/>
      <c r="KAV162" s="33"/>
      <c r="KAW162" s="33"/>
      <c r="KAX162" s="33"/>
      <c r="KAY162" s="33"/>
      <c r="KAZ162" s="33"/>
      <c r="KBA162" s="33"/>
      <c r="KBB162" s="33"/>
      <c r="KBC162" s="33"/>
      <c r="KBD162" s="33"/>
      <c r="KBE162" s="33"/>
      <c r="KBF162" s="33"/>
      <c r="KBG162" s="33"/>
      <c r="KBH162" s="33"/>
      <c r="KBI162" s="33"/>
      <c r="KBJ162" s="33"/>
      <c r="KBK162" s="33"/>
      <c r="KBL162" s="33"/>
      <c r="KBM162" s="33"/>
      <c r="KBN162" s="33"/>
      <c r="KBO162" s="33"/>
      <c r="KBP162" s="33"/>
      <c r="KBQ162" s="33"/>
      <c r="KBR162" s="33"/>
      <c r="KBS162" s="33"/>
      <c r="KBT162" s="33"/>
      <c r="KBU162" s="33"/>
      <c r="KBV162" s="33"/>
      <c r="KBW162" s="33"/>
      <c r="KBX162" s="33"/>
      <c r="KBY162" s="33"/>
      <c r="KBZ162" s="33"/>
      <c r="KCA162" s="33"/>
      <c r="KCB162" s="33"/>
      <c r="KCC162" s="33"/>
      <c r="KCD162" s="33"/>
      <c r="KCE162" s="33"/>
      <c r="KCF162" s="33"/>
      <c r="KCG162" s="33"/>
      <c r="KCH162" s="33"/>
      <c r="KCI162" s="33"/>
      <c r="KCJ162" s="33"/>
      <c r="KCK162" s="33"/>
      <c r="KCL162" s="33"/>
      <c r="KCM162" s="33"/>
      <c r="KCN162" s="33"/>
      <c r="KCO162" s="33"/>
      <c r="KCP162" s="33"/>
      <c r="KCQ162" s="33"/>
      <c r="KCR162" s="33"/>
      <c r="KCS162" s="33"/>
      <c r="KCT162" s="33"/>
      <c r="KCU162" s="33"/>
      <c r="KCV162" s="33"/>
      <c r="KCW162" s="33"/>
      <c r="KCX162" s="33"/>
      <c r="KCY162" s="33"/>
      <c r="KCZ162" s="33"/>
      <c r="KDA162" s="33"/>
      <c r="KDB162" s="33"/>
      <c r="KDC162" s="33"/>
      <c r="KDD162" s="33"/>
      <c r="KDE162" s="33"/>
      <c r="KDF162" s="33"/>
      <c r="KDG162" s="33"/>
      <c r="KDH162" s="33"/>
      <c r="KDI162" s="33"/>
      <c r="KDJ162" s="33"/>
      <c r="KDK162" s="33"/>
      <c r="KDL162" s="33"/>
      <c r="KDM162" s="33"/>
      <c r="KDN162" s="33"/>
      <c r="KDO162" s="33"/>
      <c r="KDP162" s="33"/>
      <c r="KDQ162" s="33"/>
      <c r="KDR162" s="33"/>
      <c r="KDS162" s="33"/>
      <c r="KDT162" s="33"/>
      <c r="KDU162" s="33"/>
      <c r="KDV162" s="33"/>
      <c r="KDW162" s="33"/>
      <c r="KDX162" s="33"/>
      <c r="KDY162" s="33"/>
      <c r="KDZ162" s="33"/>
      <c r="KEA162" s="33"/>
      <c r="KEB162" s="33"/>
      <c r="KEC162" s="33"/>
      <c r="KED162" s="33"/>
      <c r="KEE162" s="33"/>
      <c r="KEF162" s="33"/>
      <c r="KEG162" s="33"/>
      <c r="KEH162" s="33"/>
      <c r="KEI162" s="33"/>
      <c r="KEJ162" s="33"/>
      <c r="KEK162" s="33"/>
      <c r="KEL162" s="33"/>
      <c r="KEM162" s="33"/>
      <c r="KEN162" s="33"/>
      <c r="KEO162" s="33"/>
      <c r="KEP162" s="33"/>
      <c r="KEQ162" s="33"/>
      <c r="KER162" s="33"/>
      <c r="KES162" s="33"/>
      <c r="KET162" s="33"/>
      <c r="KEU162" s="33"/>
      <c r="KEV162" s="33"/>
      <c r="KEW162" s="33"/>
      <c r="KEX162" s="33"/>
      <c r="KEY162" s="33"/>
      <c r="KEZ162" s="33"/>
      <c r="KFA162" s="33"/>
      <c r="KFB162" s="33"/>
      <c r="KFC162" s="33"/>
      <c r="KFD162" s="33"/>
      <c r="KFE162" s="33"/>
      <c r="KFF162" s="33"/>
      <c r="KFG162" s="33"/>
      <c r="KFH162" s="33"/>
      <c r="KFI162" s="33"/>
      <c r="KFJ162" s="33"/>
      <c r="KFK162" s="33"/>
      <c r="KFL162" s="33"/>
      <c r="KFM162" s="33"/>
      <c r="KFN162" s="33"/>
      <c r="KFO162" s="33"/>
      <c r="KFP162" s="33"/>
      <c r="KFQ162" s="33"/>
      <c r="KFR162" s="33"/>
      <c r="KFS162" s="33"/>
      <c r="KFT162" s="33"/>
      <c r="KFU162" s="33"/>
      <c r="KFV162" s="33"/>
      <c r="KFW162" s="33"/>
      <c r="KFX162" s="33"/>
      <c r="KFY162" s="33"/>
      <c r="KFZ162" s="33"/>
      <c r="KGA162" s="33"/>
      <c r="KGB162" s="33"/>
      <c r="KGC162" s="33"/>
      <c r="KGD162" s="33"/>
      <c r="KGE162" s="33"/>
      <c r="KGF162" s="33"/>
      <c r="KGG162" s="33"/>
      <c r="KGH162" s="33"/>
      <c r="KGI162" s="33"/>
      <c r="KGJ162" s="33"/>
      <c r="KGK162" s="33"/>
      <c r="KGL162" s="33"/>
      <c r="KGM162" s="33"/>
      <c r="KGN162" s="33"/>
      <c r="KGO162" s="33"/>
      <c r="KGP162" s="33"/>
      <c r="KGQ162" s="33"/>
      <c r="KGR162" s="33"/>
      <c r="KGS162" s="33"/>
      <c r="KGT162" s="33"/>
      <c r="KGU162" s="33"/>
      <c r="KGV162" s="33"/>
      <c r="KGW162" s="33"/>
      <c r="KGX162" s="33"/>
      <c r="KGY162" s="33"/>
      <c r="KGZ162" s="33"/>
      <c r="KHA162" s="33"/>
      <c r="KHB162" s="33"/>
      <c r="KHC162" s="33"/>
      <c r="KHD162" s="33"/>
      <c r="KHE162" s="33"/>
      <c r="KHF162" s="33"/>
      <c r="KHG162" s="33"/>
      <c r="KHH162" s="33"/>
      <c r="KHI162" s="33"/>
      <c r="KHJ162" s="33"/>
      <c r="KHK162" s="33"/>
      <c r="KHL162" s="33"/>
      <c r="KHM162" s="33"/>
      <c r="KHN162" s="33"/>
      <c r="KHO162" s="33"/>
      <c r="KHP162" s="33"/>
      <c r="KHQ162" s="33"/>
      <c r="KHR162" s="33"/>
      <c r="KHS162" s="33"/>
      <c r="KHT162" s="33"/>
      <c r="KHU162" s="33"/>
      <c r="KHV162" s="33"/>
      <c r="KHW162" s="33"/>
      <c r="KHX162" s="33"/>
      <c r="KHY162" s="33"/>
      <c r="KHZ162" s="33"/>
      <c r="KIA162" s="33"/>
      <c r="KIB162" s="33"/>
      <c r="KIC162" s="33"/>
      <c r="KID162" s="33"/>
      <c r="KIE162" s="33"/>
      <c r="KIF162" s="33"/>
      <c r="KIG162" s="33"/>
      <c r="KIH162" s="33"/>
      <c r="KII162" s="33"/>
      <c r="KIJ162" s="33"/>
      <c r="KIK162" s="33"/>
      <c r="KIL162" s="33"/>
      <c r="KIM162" s="33"/>
      <c r="KIN162" s="33"/>
      <c r="KIO162" s="33"/>
      <c r="KIP162" s="33"/>
      <c r="KIQ162" s="33"/>
      <c r="KIR162" s="33"/>
      <c r="KIS162" s="33"/>
      <c r="KIT162" s="33"/>
      <c r="KIU162" s="33"/>
      <c r="KIV162" s="33"/>
      <c r="KIW162" s="33"/>
      <c r="KIX162" s="33"/>
      <c r="KIY162" s="33"/>
      <c r="KIZ162" s="33"/>
      <c r="KJA162" s="33"/>
      <c r="KJB162" s="33"/>
      <c r="KJC162" s="33"/>
      <c r="KJD162" s="33"/>
      <c r="KJE162" s="33"/>
      <c r="KJF162" s="33"/>
      <c r="KJG162" s="33"/>
      <c r="KJH162" s="33"/>
      <c r="KJI162" s="33"/>
      <c r="KJJ162" s="33"/>
      <c r="KJK162" s="33"/>
      <c r="KJL162" s="33"/>
      <c r="KJM162" s="33"/>
      <c r="KJN162" s="33"/>
      <c r="KJO162" s="33"/>
      <c r="KJP162" s="33"/>
      <c r="KJQ162" s="33"/>
      <c r="KJR162" s="33"/>
      <c r="KJS162" s="33"/>
      <c r="KJT162" s="33"/>
      <c r="KJU162" s="33"/>
      <c r="KJV162" s="33"/>
      <c r="KJW162" s="33"/>
      <c r="KJX162" s="33"/>
      <c r="KJY162" s="33"/>
      <c r="KJZ162" s="33"/>
      <c r="KKA162" s="33"/>
      <c r="KKB162" s="33"/>
      <c r="KKC162" s="33"/>
      <c r="KKD162" s="33"/>
      <c r="KKE162" s="33"/>
      <c r="KKF162" s="33"/>
      <c r="KKG162" s="33"/>
      <c r="KKH162" s="33"/>
      <c r="KKI162" s="33"/>
      <c r="KKJ162" s="33"/>
      <c r="KKK162" s="33"/>
      <c r="KKL162" s="33"/>
      <c r="KKM162" s="33"/>
      <c r="KKN162" s="33"/>
      <c r="KKO162" s="33"/>
      <c r="KKP162" s="33"/>
      <c r="KKQ162" s="33"/>
      <c r="KKR162" s="33"/>
      <c r="KKS162" s="33"/>
      <c r="KKT162" s="33"/>
      <c r="KKU162" s="33"/>
      <c r="KKV162" s="33"/>
      <c r="KKW162" s="33"/>
      <c r="KKX162" s="33"/>
      <c r="KKY162" s="33"/>
      <c r="KKZ162" s="33"/>
      <c r="KLA162" s="33"/>
      <c r="KLB162" s="33"/>
      <c r="KLC162" s="33"/>
      <c r="KLD162" s="33"/>
      <c r="KLE162" s="33"/>
      <c r="KLF162" s="33"/>
      <c r="KLG162" s="33"/>
      <c r="KLH162" s="33"/>
      <c r="KLI162" s="33"/>
      <c r="KLJ162" s="33"/>
      <c r="KLK162" s="33"/>
      <c r="KLL162" s="33"/>
      <c r="KLM162" s="33"/>
      <c r="KLN162" s="33"/>
      <c r="KLO162" s="33"/>
      <c r="KLP162" s="33"/>
      <c r="KLQ162" s="33"/>
      <c r="KLR162" s="33"/>
      <c r="KLS162" s="33"/>
      <c r="KLT162" s="33"/>
      <c r="KLU162" s="33"/>
      <c r="KLV162" s="33"/>
      <c r="KLW162" s="33"/>
      <c r="KLX162" s="33"/>
      <c r="KLY162" s="33"/>
      <c r="KLZ162" s="33"/>
      <c r="KMA162" s="33"/>
      <c r="KMB162" s="33"/>
      <c r="KMC162" s="33"/>
      <c r="KMD162" s="33"/>
      <c r="KME162" s="33"/>
      <c r="KMF162" s="33"/>
      <c r="KMG162" s="33"/>
      <c r="KMH162" s="33"/>
      <c r="KMI162" s="33"/>
      <c r="KMJ162" s="33"/>
      <c r="KMK162" s="33"/>
      <c r="KML162" s="33"/>
      <c r="KMM162" s="33"/>
      <c r="KMN162" s="33"/>
      <c r="KMO162" s="33"/>
      <c r="KMP162" s="33"/>
      <c r="KMQ162" s="33"/>
      <c r="KMR162" s="33"/>
      <c r="KMS162" s="33"/>
      <c r="KMT162" s="33"/>
      <c r="KMU162" s="33"/>
      <c r="KMV162" s="33"/>
      <c r="KMW162" s="33"/>
      <c r="KMX162" s="33"/>
      <c r="KMY162" s="33"/>
      <c r="KMZ162" s="33"/>
      <c r="KNA162" s="33"/>
      <c r="KNB162" s="33"/>
      <c r="KNC162" s="33"/>
      <c r="KND162" s="33"/>
      <c r="KNE162" s="33"/>
      <c r="KNF162" s="33"/>
      <c r="KNG162" s="33"/>
      <c r="KNH162" s="33"/>
      <c r="KNI162" s="33"/>
      <c r="KNJ162" s="33"/>
      <c r="KNK162" s="33"/>
      <c r="KNL162" s="33"/>
      <c r="KNM162" s="33"/>
      <c r="KNN162" s="33"/>
      <c r="KNO162" s="33"/>
      <c r="KNP162" s="33"/>
      <c r="KNQ162" s="33"/>
      <c r="KNR162" s="33"/>
      <c r="KNS162" s="33"/>
      <c r="KNT162" s="33"/>
      <c r="KNU162" s="33"/>
      <c r="KNV162" s="33"/>
      <c r="KNW162" s="33"/>
      <c r="KNX162" s="33"/>
      <c r="KNY162" s="33"/>
      <c r="KNZ162" s="33"/>
      <c r="KOA162" s="33"/>
      <c r="KOB162" s="33"/>
      <c r="KOC162" s="33"/>
      <c r="KOD162" s="33"/>
      <c r="KOE162" s="33"/>
      <c r="KOF162" s="33"/>
      <c r="KOG162" s="33"/>
      <c r="KOH162" s="33"/>
      <c r="KOI162" s="33"/>
      <c r="KOJ162" s="33"/>
      <c r="KOK162" s="33"/>
      <c r="KOL162" s="33"/>
      <c r="KOM162" s="33"/>
      <c r="KON162" s="33"/>
      <c r="KOO162" s="33"/>
      <c r="KOP162" s="33"/>
      <c r="KOQ162" s="33"/>
      <c r="KOR162" s="33"/>
      <c r="KOS162" s="33"/>
      <c r="KOT162" s="33"/>
      <c r="KOU162" s="33"/>
      <c r="KOV162" s="33"/>
      <c r="KOW162" s="33"/>
      <c r="KOX162" s="33"/>
      <c r="KOY162" s="33"/>
      <c r="KOZ162" s="33"/>
      <c r="KPA162" s="33"/>
      <c r="KPB162" s="33"/>
      <c r="KPC162" s="33"/>
      <c r="KPD162" s="33"/>
      <c r="KPE162" s="33"/>
      <c r="KPF162" s="33"/>
      <c r="KPG162" s="33"/>
      <c r="KPH162" s="33"/>
      <c r="KPI162" s="33"/>
      <c r="KPJ162" s="33"/>
      <c r="KPK162" s="33"/>
      <c r="KPL162" s="33"/>
      <c r="KPM162" s="33"/>
      <c r="KPN162" s="33"/>
      <c r="KPO162" s="33"/>
      <c r="KPP162" s="33"/>
      <c r="KPQ162" s="33"/>
      <c r="KPR162" s="33"/>
      <c r="KPS162" s="33"/>
      <c r="KPT162" s="33"/>
      <c r="KPU162" s="33"/>
      <c r="KPV162" s="33"/>
      <c r="KPW162" s="33"/>
      <c r="KPX162" s="33"/>
      <c r="KPY162" s="33"/>
      <c r="KPZ162" s="33"/>
      <c r="KQA162" s="33"/>
      <c r="KQB162" s="33"/>
      <c r="KQC162" s="33"/>
      <c r="KQD162" s="33"/>
      <c r="KQE162" s="33"/>
      <c r="KQF162" s="33"/>
      <c r="KQG162" s="33"/>
      <c r="KQH162" s="33"/>
      <c r="KQI162" s="33"/>
      <c r="KQJ162" s="33"/>
      <c r="KQK162" s="33"/>
      <c r="KQL162" s="33"/>
      <c r="KQM162" s="33"/>
      <c r="KQN162" s="33"/>
      <c r="KQO162" s="33"/>
      <c r="KQP162" s="33"/>
      <c r="KQQ162" s="33"/>
      <c r="KQR162" s="33"/>
      <c r="KQS162" s="33"/>
      <c r="KQT162" s="33"/>
      <c r="KQU162" s="33"/>
      <c r="KQV162" s="33"/>
      <c r="KQW162" s="33"/>
      <c r="KQX162" s="33"/>
      <c r="KQY162" s="33"/>
      <c r="KQZ162" s="33"/>
      <c r="KRA162" s="33"/>
      <c r="KRB162" s="33"/>
      <c r="KRC162" s="33"/>
      <c r="KRD162" s="33"/>
      <c r="KRE162" s="33"/>
      <c r="KRF162" s="33"/>
      <c r="KRG162" s="33"/>
      <c r="KRH162" s="33"/>
      <c r="KRI162" s="33"/>
      <c r="KRJ162" s="33"/>
      <c r="KRK162" s="33"/>
      <c r="KRL162" s="33"/>
      <c r="KRM162" s="33"/>
      <c r="KRN162" s="33"/>
      <c r="KRO162" s="33"/>
      <c r="KRP162" s="33"/>
      <c r="KRQ162" s="33"/>
      <c r="KRR162" s="33"/>
      <c r="KRS162" s="33"/>
      <c r="KRT162" s="33"/>
      <c r="KRU162" s="33"/>
      <c r="KRV162" s="33"/>
      <c r="KRW162" s="33"/>
      <c r="KRX162" s="33"/>
      <c r="KRY162" s="33"/>
      <c r="KRZ162" s="33"/>
      <c r="KSA162" s="33"/>
      <c r="KSB162" s="33"/>
      <c r="KSC162" s="33"/>
      <c r="KSD162" s="33"/>
      <c r="KSE162" s="33"/>
      <c r="KSF162" s="33"/>
      <c r="KSG162" s="33"/>
      <c r="KSH162" s="33"/>
      <c r="KSI162" s="33"/>
      <c r="KSJ162" s="33"/>
      <c r="KSK162" s="33"/>
      <c r="KSL162" s="33"/>
      <c r="KSM162" s="33"/>
      <c r="KSN162" s="33"/>
      <c r="KSO162" s="33"/>
      <c r="KSP162" s="33"/>
      <c r="KSQ162" s="33"/>
      <c r="KSR162" s="33"/>
      <c r="KSS162" s="33"/>
      <c r="KST162" s="33"/>
      <c r="KSU162" s="33"/>
      <c r="KSV162" s="33"/>
      <c r="KSW162" s="33"/>
      <c r="KSX162" s="33"/>
      <c r="KSY162" s="33"/>
      <c r="KSZ162" s="33"/>
      <c r="KTA162" s="33"/>
      <c r="KTB162" s="33"/>
      <c r="KTC162" s="33"/>
      <c r="KTD162" s="33"/>
      <c r="KTE162" s="33"/>
      <c r="KTF162" s="33"/>
      <c r="KTG162" s="33"/>
      <c r="KTH162" s="33"/>
      <c r="KTI162" s="33"/>
      <c r="KTJ162" s="33"/>
      <c r="KTK162" s="33"/>
      <c r="KTL162" s="33"/>
      <c r="KTM162" s="33"/>
      <c r="KTN162" s="33"/>
      <c r="KTO162" s="33"/>
      <c r="KTP162" s="33"/>
      <c r="KTQ162" s="33"/>
      <c r="KTR162" s="33"/>
      <c r="KTS162" s="33"/>
      <c r="KTT162" s="33"/>
      <c r="KTU162" s="33"/>
      <c r="KTV162" s="33"/>
      <c r="KTW162" s="33"/>
      <c r="KTX162" s="33"/>
      <c r="KTY162" s="33"/>
      <c r="KTZ162" s="33"/>
      <c r="KUA162" s="33"/>
      <c r="KUB162" s="33"/>
      <c r="KUC162" s="33"/>
      <c r="KUD162" s="33"/>
      <c r="KUE162" s="33"/>
      <c r="KUF162" s="33"/>
      <c r="KUG162" s="33"/>
      <c r="KUH162" s="33"/>
      <c r="KUI162" s="33"/>
      <c r="KUJ162" s="33"/>
      <c r="KUK162" s="33"/>
      <c r="KUL162" s="33"/>
      <c r="KUM162" s="33"/>
      <c r="KUN162" s="33"/>
      <c r="KUO162" s="33"/>
      <c r="KUP162" s="33"/>
      <c r="KUQ162" s="33"/>
      <c r="KUR162" s="33"/>
      <c r="KUS162" s="33"/>
      <c r="KUT162" s="33"/>
      <c r="KUU162" s="33"/>
      <c r="KUV162" s="33"/>
      <c r="KUW162" s="33"/>
      <c r="KUX162" s="33"/>
      <c r="KUY162" s="33"/>
      <c r="KUZ162" s="33"/>
      <c r="KVA162" s="33"/>
      <c r="KVB162" s="33"/>
      <c r="KVC162" s="33"/>
      <c r="KVD162" s="33"/>
      <c r="KVE162" s="33"/>
      <c r="KVF162" s="33"/>
      <c r="KVG162" s="33"/>
      <c r="KVH162" s="33"/>
      <c r="KVI162" s="33"/>
      <c r="KVJ162" s="33"/>
      <c r="KVK162" s="33"/>
      <c r="KVL162" s="33"/>
      <c r="KVM162" s="33"/>
      <c r="KVN162" s="33"/>
      <c r="KVO162" s="33"/>
      <c r="KVP162" s="33"/>
      <c r="KVQ162" s="33"/>
      <c r="KVR162" s="33"/>
      <c r="KVS162" s="33"/>
      <c r="KVT162" s="33"/>
      <c r="KVU162" s="33"/>
      <c r="KVV162" s="33"/>
      <c r="KVW162" s="33"/>
      <c r="KVX162" s="33"/>
      <c r="KVY162" s="33"/>
      <c r="KVZ162" s="33"/>
      <c r="KWA162" s="33"/>
      <c r="KWB162" s="33"/>
      <c r="KWC162" s="33"/>
      <c r="KWD162" s="33"/>
      <c r="KWE162" s="33"/>
      <c r="KWF162" s="33"/>
      <c r="KWG162" s="33"/>
      <c r="KWH162" s="33"/>
      <c r="KWI162" s="33"/>
      <c r="KWJ162" s="33"/>
      <c r="KWK162" s="33"/>
      <c r="KWL162" s="33"/>
      <c r="KWM162" s="33"/>
      <c r="KWN162" s="33"/>
      <c r="KWO162" s="33"/>
      <c r="KWP162" s="33"/>
      <c r="KWQ162" s="33"/>
      <c r="KWR162" s="33"/>
      <c r="KWS162" s="33"/>
      <c r="KWT162" s="33"/>
      <c r="KWU162" s="33"/>
      <c r="KWV162" s="33"/>
      <c r="KWW162" s="33"/>
      <c r="KWX162" s="33"/>
      <c r="KWY162" s="33"/>
      <c r="KWZ162" s="33"/>
      <c r="KXA162" s="33"/>
      <c r="KXB162" s="33"/>
      <c r="KXC162" s="33"/>
      <c r="KXD162" s="33"/>
      <c r="KXE162" s="33"/>
      <c r="KXF162" s="33"/>
      <c r="KXG162" s="33"/>
      <c r="KXH162" s="33"/>
      <c r="KXI162" s="33"/>
      <c r="KXJ162" s="33"/>
      <c r="KXK162" s="33"/>
      <c r="KXL162" s="33"/>
      <c r="KXM162" s="33"/>
      <c r="KXN162" s="33"/>
      <c r="KXO162" s="33"/>
      <c r="KXP162" s="33"/>
      <c r="KXQ162" s="33"/>
      <c r="KXR162" s="33"/>
      <c r="KXS162" s="33"/>
      <c r="KXT162" s="33"/>
      <c r="KXU162" s="33"/>
      <c r="KXV162" s="33"/>
      <c r="KXW162" s="33"/>
      <c r="KXX162" s="33"/>
      <c r="KXY162" s="33"/>
      <c r="KXZ162" s="33"/>
      <c r="KYA162" s="33"/>
      <c r="KYB162" s="33"/>
      <c r="KYC162" s="33"/>
      <c r="KYD162" s="33"/>
      <c r="KYE162" s="33"/>
      <c r="KYF162" s="33"/>
      <c r="KYG162" s="33"/>
      <c r="KYH162" s="33"/>
      <c r="KYI162" s="33"/>
      <c r="KYJ162" s="33"/>
      <c r="KYK162" s="33"/>
      <c r="KYL162" s="33"/>
      <c r="KYM162" s="33"/>
      <c r="KYN162" s="33"/>
      <c r="KYO162" s="33"/>
      <c r="KYP162" s="33"/>
      <c r="KYQ162" s="33"/>
      <c r="KYR162" s="33"/>
      <c r="KYS162" s="33"/>
      <c r="KYT162" s="33"/>
      <c r="KYU162" s="33"/>
      <c r="KYV162" s="33"/>
      <c r="KYW162" s="33"/>
      <c r="KYX162" s="33"/>
      <c r="KYY162" s="33"/>
      <c r="KYZ162" s="33"/>
      <c r="KZA162" s="33"/>
      <c r="KZB162" s="33"/>
      <c r="KZC162" s="33"/>
      <c r="KZD162" s="33"/>
      <c r="KZE162" s="33"/>
      <c r="KZF162" s="33"/>
      <c r="KZG162" s="33"/>
      <c r="KZH162" s="33"/>
      <c r="KZI162" s="33"/>
      <c r="KZJ162" s="33"/>
      <c r="KZK162" s="33"/>
      <c r="KZL162" s="33"/>
      <c r="KZM162" s="33"/>
      <c r="KZN162" s="33"/>
      <c r="KZO162" s="33"/>
      <c r="KZP162" s="33"/>
      <c r="KZQ162" s="33"/>
      <c r="KZR162" s="33"/>
      <c r="KZS162" s="33"/>
      <c r="KZT162" s="33"/>
      <c r="KZU162" s="33"/>
      <c r="KZV162" s="33"/>
      <c r="KZW162" s="33"/>
      <c r="KZX162" s="33"/>
      <c r="KZY162" s="33"/>
      <c r="KZZ162" s="33"/>
      <c r="LAA162" s="33"/>
      <c r="LAB162" s="33"/>
      <c r="LAC162" s="33"/>
      <c r="LAD162" s="33"/>
      <c r="LAE162" s="33"/>
      <c r="LAF162" s="33"/>
      <c r="LAG162" s="33"/>
      <c r="LAH162" s="33"/>
      <c r="LAI162" s="33"/>
      <c r="LAJ162" s="33"/>
      <c r="LAK162" s="33"/>
      <c r="LAL162" s="33"/>
      <c r="LAM162" s="33"/>
      <c r="LAN162" s="33"/>
      <c r="LAO162" s="33"/>
      <c r="LAP162" s="33"/>
      <c r="LAQ162" s="33"/>
      <c r="LAR162" s="33"/>
      <c r="LAS162" s="33"/>
      <c r="LAT162" s="33"/>
      <c r="LAU162" s="33"/>
      <c r="LAV162" s="33"/>
      <c r="LAW162" s="33"/>
      <c r="LAX162" s="33"/>
      <c r="LAY162" s="33"/>
      <c r="LAZ162" s="33"/>
      <c r="LBA162" s="33"/>
      <c r="LBB162" s="33"/>
      <c r="LBC162" s="33"/>
      <c r="LBD162" s="33"/>
      <c r="LBE162" s="33"/>
      <c r="LBF162" s="33"/>
      <c r="LBG162" s="33"/>
      <c r="LBH162" s="33"/>
      <c r="LBI162" s="33"/>
      <c r="LBJ162" s="33"/>
      <c r="LBK162" s="33"/>
      <c r="LBL162" s="33"/>
      <c r="LBM162" s="33"/>
      <c r="LBN162" s="33"/>
      <c r="LBO162" s="33"/>
      <c r="LBP162" s="33"/>
      <c r="LBQ162" s="33"/>
      <c r="LBR162" s="33"/>
      <c r="LBS162" s="33"/>
      <c r="LBT162" s="33"/>
      <c r="LBU162" s="33"/>
      <c r="LBV162" s="33"/>
      <c r="LBW162" s="33"/>
      <c r="LBX162" s="33"/>
      <c r="LBY162" s="33"/>
      <c r="LBZ162" s="33"/>
      <c r="LCA162" s="33"/>
      <c r="LCB162" s="33"/>
      <c r="LCC162" s="33"/>
      <c r="LCD162" s="33"/>
      <c r="LCE162" s="33"/>
      <c r="LCF162" s="33"/>
      <c r="LCG162" s="33"/>
      <c r="LCH162" s="33"/>
      <c r="LCI162" s="33"/>
      <c r="LCJ162" s="33"/>
      <c r="LCK162" s="33"/>
      <c r="LCL162" s="33"/>
      <c r="LCM162" s="33"/>
      <c r="LCN162" s="33"/>
      <c r="LCO162" s="33"/>
      <c r="LCP162" s="33"/>
      <c r="LCQ162" s="33"/>
      <c r="LCR162" s="33"/>
      <c r="LCS162" s="33"/>
      <c r="LCT162" s="33"/>
      <c r="LCU162" s="33"/>
      <c r="LCV162" s="33"/>
      <c r="LCW162" s="33"/>
      <c r="LCX162" s="33"/>
      <c r="LCY162" s="33"/>
      <c r="LCZ162" s="33"/>
      <c r="LDA162" s="33"/>
      <c r="LDB162" s="33"/>
      <c r="LDC162" s="33"/>
      <c r="LDD162" s="33"/>
      <c r="LDE162" s="33"/>
      <c r="LDF162" s="33"/>
      <c r="LDG162" s="33"/>
      <c r="LDH162" s="33"/>
      <c r="LDI162" s="33"/>
      <c r="LDJ162" s="33"/>
      <c r="LDK162" s="33"/>
      <c r="LDL162" s="33"/>
      <c r="LDM162" s="33"/>
      <c r="LDN162" s="33"/>
      <c r="LDO162" s="33"/>
      <c r="LDP162" s="33"/>
      <c r="LDQ162" s="33"/>
      <c r="LDR162" s="33"/>
      <c r="LDS162" s="33"/>
      <c r="LDT162" s="33"/>
      <c r="LDU162" s="33"/>
      <c r="LDV162" s="33"/>
      <c r="LDW162" s="33"/>
      <c r="LDX162" s="33"/>
      <c r="LDY162" s="33"/>
      <c r="LDZ162" s="33"/>
      <c r="LEA162" s="33"/>
      <c r="LEB162" s="33"/>
      <c r="LEC162" s="33"/>
      <c r="LED162" s="33"/>
      <c r="LEE162" s="33"/>
      <c r="LEF162" s="33"/>
      <c r="LEG162" s="33"/>
      <c r="LEH162" s="33"/>
      <c r="LEI162" s="33"/>
      <c r="LEJ162" s="33"/>
      <c r="LEK162" s="33"/>
      <c r="LEL162" s="33"/>
      <c r="LEM162" s="33"/>
      <c r="LEN162" s="33"/>
      <c r="LEO162" s="33"/>
      <c r="LEP162" s="33"/>
      <c r="LEQ162" s="33"/>
      <c r="LER162" s="33"/>
      <c r="LES162" s="33"/>
      <c r="LET162" s="33"/>
      <c r="LEU162" s="33"/>
      <c r="LEV162" s="33"/>
      <c r="LEW162" s="33"/>
      <c r="LEX162" s="33"/>
      <c r="LEY162" s="33"/>
      <c r="LEZ162" s="33"/>
      <c r="LFA162" s="33"/>
      <c r="LFB162" s="33"/>
      <c r="LFC162" s="33"/>
      <c r="LFD162" s="33"/>
      <c r="LFE162" s="33"/>
      <c r="LFF162" s="33"/>
      <c r="LFG162" s="33"/>
      <c r="LFH162" s="33"/>
      <c r="LFI162" s="33"/>
      <c r="LFJ162" s="33"/>
      <c r="LFK162" s="33"/>
      <c r="LFL162" s="33"/>
      <c r="LFM162" s="33"/>
      <c r="LFN162" s="33"/>
      <c r="LFO162" s="33"/>
      <c r="LFP162" s="33"/>
      <c r="LFQ162" s="33"/>
      <c r="LFR162" s="33"/>
      <c r="LFS162" s="33"/>
      <c r="LFT162" s="33"/>
      <c r="LFU162" s="33"/>
      <c r="LFV162" s="33"/>
      <c r="LFW162" s="33"/>
      <c r="LFX162" s="33"/>
      <c r="LFY162" s="33"/>
      <c r="LFZ162" s="33"/>
      <c r="LGA162" s="33"/>
      <c r="LGB162" s="33"/>
      <c r="LGC162" s="33"/>
      <c r="LGD162" s="33"/>
      <c r="LGE162" s="33"/>
      <c r="LGF162" s="33"/>
      <c r="LGG162" s="33"/>
      <c r="LGH162" s="33"/>
      <c r="LGI162" s="33"/>
      <c r="LGJ162" s="33"/>
      <c r="LGK162" s="33"/>
      <c r="LGL162" s="33"/>
      <c r="LGM162" s="33"/>
      <c r="LGN162" s="33"/>
      <c r="LGO162" s="33"/>
      <c r="LGP162" s="33"/>
      <c r="LGQ162" s="33"/>
      <c r="LGR162" s="33"/>
      <c r="LGS162" s="33"/>
      <c r="LGT162" s="33"/>
      <c r="LGU162" s="33"/>
      <c r="LGV162" s="33"/>
      <c r="LGW162" s="33"/>
      <c r="LGX162" s="33"/>
      <c r="LGY162" s="33"/>
      <c r="LGZ162" s="33"/>
      <c r="LHA162" s="33"/>
      <c r="LHB162" s="33"/>
      <c r="LHC162" s="33"/>
      <c r="LHD162" s="33"/>
      <c r="LHE162" s="33"/>
      <c r="LHF162" s="33"/>
      <c r="LHG162" s="33"/>
      <c r="LHH162" s="33"/>
      <c r="LHI162" s="33"/>
      <c r="LHJ162" s="33"/>
      <c r="LHK162" s="33"/>
      <c r="LHL162" s="33"/>
      <c r="LHM162" s="33"/>
      <c r="LHN162" s="33"/>
      <c r="LHO162" s="33"/>
      <c r="LHP162" s="33"/>
      <c r="LHQ162" s="33"/>
      <c r="LHR162" s="33"/>
      <c r="LHS162" s="33"/>
      <c r="LHT162" s="33"/>
      <c r="LHU162" s="33"/>
      <c r="LHV162" s="33"/>
      <c r="LHW162" s="33"/>
      <c r="LHX162" s="33"/>
      <c r="LHY162" s="33"/>
      <c r="LHZ162" s="33"/>
      <c r="LIA162" s="33"/>
      <c r="LIB162" s="33"/>
      <c r="LIC162" s="33"/>
      <c r="LID162" s="33"/>
      <c r="LIE162" s="33"/>
      <c r="LIF162" s="33"/>
      <c r="LIG162" s="33"/>
      <c r="LIH162" s="33"/>
      <c r="LII162" s="33"/>
      <c r="LIJ162" s="33"/>
      <c r="LIK162" s="33"/>
      <c r="LIL162" s="33"/>
      <c r="LIM162" s="33"/>
      <c r="LIN162" s="33"/>
      <c r="LIO162" s="33"/>
      <c r="LIP162" s="33"/>
      <c r="LIQ162" s="33"/>
      <c r="LIR162" s="33"/>
      <c r="LIS162" s="33"/>
      <c r="LIT162" s="33"/>
      <c r="LIU162" s="33"/>
      <c r="LIV162" s="33"/>
      <c r="LIW162" s="33"/>
      <c r="LIX162" s="33"/>
      <c r="LIY162" s="33"/>
      <c r="LIZ162" s="33"/>
      <c r="LJA162" s="33"/>
      <c r="LJB162" s="33"/>
      <c r="LJC162" s="33"/>
      <c r="LJD162" s="33"/>
      <c r="LJE162" s="33"/>
      <c r="LJF162" s="33"/>
      <c r="LJG162" s="33"/>
      <c r="LJH162" s="33"/>
      <c r="LJI162" s="33"/>
      <c r="LJJ162" s="33"/>
      <c r="LJK162" s="33"/>
      <c r="LJL162" s="33"/>
      <c r="LJM162" s="33"/>
      <c r="LJN162" s="33"/>
      <c r="LJO162" s="33"/>
      <c r="LJP162" s="33"/>
      <c r="LJQ162" s="33"/>
      <c r="LJR162" s="33"/>
      <c r="LJS162" s="33"/>
      <c r="LJT162" s="33"/>
      <c r="LJU162" s="33"/>
      <c r="LJV162" s="33"/>
      <c r="LJW162" s="33"/>
      <c r="LJX162" s="33"/>
      <c r="LJY162" s="33"/>
      <c r="LJZ162" s="33"/>
      <c r="LKA162" s="33"/>
      <c r="LKB162" s="33"/>
      <c r="LKC162" s="33"/>
      <c r="LKD162" s="33"/>
      <c r="LKE162" s="33"/>
      <c r="LKF162" s="33"/>
      <c r="LKG162" s="33"/>
      <c r="LKH162" s="33"/>
      <c r="LKI162" s="33"/>
      <c r="LKJ162" s="33"/>
      <c r="LKK162" s="33"/>
      <c r="LKL162" s="33"/>
      <c r="LKM162" s="33"/>
      <c r="LKN162" s="33"/>
      <c r="LKO162" s="33"/>
      <c r="LKP162" s="33"/>
      <c r="LKQ162" s="33"/>
      <c r="LKR162" s="33"/>
      <c r="LKS162" s="33"/>
      <c r="LKT162" s="33"/>
      <c r="LKU162" s="33"/>
      <c r="LKV162" s="33"/>
      <c r="LKW162" s="33"/>
      <c r="LKX162" s="33"/>
      <c r="LKY162" s="33"/>
      <c r="LKZ162" s="33"/>
      <c r="LLA162" s="33"/>
      <c r="LLB162" s="33"/>
      <c r="LLC162" s="33"/>
      <c r="LLD162" s="33"/>
      <c r="LLE162" s="33"/>
      <c r="LLF162" s="33"/>
      <c r="LLG162" s="33"/>
      <c r="LLH162" s="33"/>
      <c r="LLI162" s="33"/>
      <c r="LLJ162" s="33"/>
      <c r="LLK162" s="33"/>
      <c r="LLL162" s="33"/>
      <c r="LLM162" s="33"/>
      <c r="LLN162" s="33"/>
      <c r="LLO162" s="33"/>
      <c r="LLP162" s="33"/>
      <c r="LLQ162" s="33"/>
      <c r="LLR162" s="33"/>
      <c r="LLS162" s="33"/>
      <c r="LLT162" s="33"/>
      <c r="LLU162" s="33"/>
      <c r="LLV162" s="33"/>
      <c r="LLW162" s="33"/>
      <c r="LLX162" s="33"/>
      <c r="LLY162" s="33"/>
      <c r="LLZ162" s="33"/>
      <c r="LMA162" s="33"/>
      <c r="LMB162" s="33"/>
      <c r="LMC162" s="33"/>
      <c r="LMD162" s="33"/>
      <c r="LME162" s="33"/>
      <c r="LMF162" s="33"/>
      <c r="LMG162" s="33"/>
      <c r="LMH162" s="33"/>
      <c r="LMI162" s="33"/>
      <c r="LMJ162" s="33"/>
      <c r="LMK162" s="33"/>
      <c r="LML162" s="33"/>
      <c r="LMM162" s="33"/>
      <c r="LMN162" s="33"/>
      <c r="LMO162" s="33"/>
      <c r="LMP162" s="33"/>
      <c r="LMQ162" s="33"/>
      <c r="LMR162" s="33"/>
      <c r="LMS162" s="33"/>
      <c r="LMT162" s="33"/>
      <c r="LMU162" s="33"/>
      <c r="LMV162" s="33"/>
      <c r="LMW162" s="33"/>
      <c r="LMX162" s="33"/>
      <c r="LMY162" s="33"/>
      <c r="LMZ162" s="33"/>
      <c r="LNA162" s="33"/>
      <c r="LNB162" s="33"/>
      <c r="LNC162" s="33"/>
      <c r="LND162" s="33"/>
      <c r="LNE162" s="33"/>
      <c r="LNF162" s="33"/>
      <c r="LNG162" s="33"/>
      <c r="LNH162" s="33"/>
      <c r="LNI162" s="33"/>
      <c r="LNJ162" s="33"/>
      <c r="LNK162" s="33"/>
      <c r="LNL162" s="33"/>
      <c r="LNM162" s="33"/>
      <c r="LNN162" s="33"/>
      <c r="LNO162" s="33"/>
      <c r="LNP162" s="33"/>
      <c r="LNQ162" s="33"/>
      <c r="LNR162" s="33"/>
      <c r="LNS162" s="33"/>
      <c r="LNT162" s="33"/>
      <c r="LNU162" s="33"/>
      <c r="LNV162" s="33"/>
      <c r="LNW162" s="33"/>
      <c r="LNX162" s="33"/>
      <c r="LNY162" s="33"/>
      <c r="LNZ162" s="33"/>
      <c r="LOA162" s="33"/>
      <c r="LOB162" s="33"/>
      <c r="LOC162" s="33"/>
      <c r="LOD162" s="33"/>
      <c r="LOE162" s="33"/>
      <c r="LOF162" s="33"/>
      <c r="LOG162" s="33"/>
      <c r="LOH162" s="33"/>
      <c r="LOI162" s="33"/>
      <c r="LOJ162" s="33"/>
      <c r="LOK162" s="33"/>
      <c r="LOL162" s="33"/>
      <c r="LOM162" s="33"/>
      <c r="LON162" s="33"/>
      <c r="LOO162" s="33"/>
      <c r="LOP162" s="33"/>
      <c r="LOQ162" s="33"/>
      <c r="LOR162" s="33"/>
      <c r="LOS162" s="33"/>
      <c r="LOT162" s="33"/>
      <c r="LOU162" s="33"/>
      <c r="LOV162" s="33"/>
      <c r="LOW162" s="33"/>
      <c r="LOX162" s="33"/>
      <c r="LOY162" s="33"/>
      <c r="LOZ162" s="33"/>
      <c r="LPA162" s="33"/>
      <c r="LPB162" s="33"/>
      <c r="LPC162" s="33"/>
      <c r="LPD162" s="33"/>
      <c r="LPE162" s="33"/>
      <c r="LPF162" s="33"/>
      <c r="LPG162" s="33"/>
      <c r="LPH162" s="33"/>
      <c r="LPI162" s="33"/>
      <c r="LPJ162" s="33"/>
      <c r="LPK162" s="33"/>
      <c r="LPL162" s="33"/>
      <c r="LPM162" s="33"/>
      <c r="LPN162" s="33"/>
      <c r="LPO162" s="33"/>
      <c r="LPP162" s="33"/>
      <c r="LPQ162" s="33"/>
      <c r="LPR162" s="33"/>
      <c r="LPS162" s="33"/>
      <c r="LPT162" s="33"/>
      <c r="LPU162" s="33"/>
      <c r="LPV162" s="33"/>
      <c r="LPW162" s="33"/>
      <c r="LPX162" s="33"/>
      <c r="LPY162" s="33"/>
      <c r="LPZ162" s="33"/>
      <c r="LQA162" s="33"/>
      <c r="LQB162" s="33"/>
      <c r="LQC162" s="33"/>
      <c r="LQD162" s="33"/>
      <c r="LQE162" s="33"/>
      <c r="LQF162" s="33"/>
      <c r="LQG162" s="33"/>
      <c r="LQH162" s="33"/>
      <c r="LQI162" s="33"/>
      <c r="LQJ162" s="33"/>
      <c r="LQK162" s="33"/>
      <c r="LQL162" s="33"/>
      <c r="LQM162" s="33"/>
      <c r="LQN162" s="33"/>
      <c r="LQO162" s="33"/>
      <c r="LQP162" s="33"/>
      <c r="LQQ162" s="33"/>
      <c r="LQR162" s="33"/>
      <c r="LQS162" s="33"/>
      <c r="LQT162" s="33"/>
      <c r="LQU162" s="33"/>
      <c r="LQV162" s="33"/>
      <c r="LQW162" s="33"/>
      <c r="LQX162" s="33"/>
      <c r="LQY162" s="33"/>
      <c r="LQZ162" s="33"/>
      <c r="LRA162" s="33"/>
      <c r="LRB162" s="33"/>
      <c r="LRC162" s="33"/>
      <c r="LRD162" s="33"/>
      <c r="LRE162" s="33"/>
      <c r="LRF162" s="33"/>
      <c r="LRG162" s="33"/>
      <c r="LRH162" s="33"/>
      <c r="LRI162" s="33"/>
      <c r="LRJ162" s="33"/>
      <c r="LRK162" s="33"/>
      <c r="LRL162" s="33"/>
      <c r="LRM162" s="33"/>
      <c r="LRN162" s="33"/>
      <c r="LRO162" s="33"/>
      <c r="LRP162" s="33"/>
      <c r="LRQ162" s="33"/>
      <c r="LRR162" s="33"/>
      <c r="LRS162" s="33"/>
      <c r="LRT162" s="33"/>
      <c r="LRU162" s="33"/>
      <c r="LRV162" s="33"/>
      <c r="LRW162" s="33"/>
      <c r="LRX162" s="33"/>
      <c r="LRY162" s="33"/>
      <c r="LRZ162" s="33"/>
      <c r="LSA162" s="33"/>
      <c r="LSB162" s="33"/>
      <c r="LSC162" s="33"/>
      <c r="LSD162" s="33"/>
      <c r="LSE162" s="33"/>
      <c r="LSF162" s="33"/>
      <c r="LSG162" s="33"/>
      <c r="LSH162" s="33"/>
      <c r="LSI162" s="33"/>
      <c r="LSJ162" s="33"/>
      <c r="LSK162" s="33"/>
      <c r="LSL162" s="33"/>
      <c r="LSM162" s="33"/>
      <c r="LSN162" s="33"/>
      <c r="LSO162" s="33"/>
      <c r="LSP162" s="33"/>
      <c r="LSQ162" s="33"/>
      <c r="LSR162" s="33"/>
      <c r="LSS162" s="33"/>
      <c r="LST162" s="33"/>
      <c r="LSU162" s="33"/>
      <c r="LSV162" s="33"/>
      <c r="LSW162" s="33"/>
      <c r="LSX162" s="33"/>
      <c r="LSY162" s="33"/>
      <c r="LSZ162" s="33"/>
      <c r="LTA162" s="33"/>
      <c r="LTB162" s="33"/>
      <c r="LTC162" s="33"/>
      <c r="LTD162" s="33"/>
      <c r="LTE162" s="33"/>
      <c r="LTF162" s="33"/>
      <c r="LTG162" s="33"/>
      <c r="LTH162" s="33"/>
      <c r="LTI162" s="33"/>
      <c r="LTJ162" s="33"/>
      <c r="LTK162" s="33"/>
      <c r="LTL162" s="33"/>
      <c r="LTM162" s="33"/>
      <c r="LTN162" s="33"/>
      <c r="LTO162" s="33"/>
      <c r="LTP162" s="33"/>
      <c r="LTQ162" s="33"/>
      <c r="LTR162" s="33"/>
      <c r="LTS162" s="33"/>
      <c r="LTT162" s="33"/>
      <c r="LTU162" s="33"/>
      <c r="LTV162" s="33"/>
      <c r="LTW162" s="33"/>
      <c r="LTX162" s="33"/>
      <c r="LTY162" s="33"/>
      <c r="LTZ162" s="33"/>
      <c r="LUA162" s="33"/>
      <c r="LUB162" s="33"/>
      <c r="LUC162" s="33"/>
      <c r="LUD162" s="33"/>
      <c r="LUE162" s="33"/>
      <c r="LUF162" s="33"/>
      <c r="LUG162" s="33"/>
      <c r="LUH162" s="33"/>
      <c r="LUI162" s="33"/>
      <c r="LUJ162" s="33"/>
      <c r="LUK162" s="33"/>
      <c r="LUL162" s="33"/>
      <c r="LUM162" s="33"/>
      <c r="LUN162" s="33"/>
      <c r="LUO162" s="33"/>
      <c r="LUP162" s="33"/>
      <c r="LUQ162" s="33"/>
      <c r="LUR162" s="33"/>
      <c r="LUS162" s="33"/>
      <c r="LUT162" s="33"/>
      <c r="LUU162" s="33"/>
      <c r="LUV162" s="33"/>
      <c r="LUW162" s="33"/>
      <c r="LUX162" s="33"/>
      <c r="LUY162" s="33"/>
      <c r="LUZ162" s="33"/>
      <c r="LVA162" s="33"/>
      <c r="LVB162" s="33"/>
      <c r="LVC162" s="33"/>
      <c r="LVD162" s="33"/>
      <c r="LVE162" s="33"/>
      <c r="LVF162" s="33"/>
      <c r="LVG162" s="33"/>
      <c r="LVH162" s="33"/>
      <c r="LVI162" s="33"/>
      <c r="LVJ162" s="33"/>
      <c r="LVK162" s="33"/>
      <c r="LVL162" s="33"/>
      <c r="LVM162" s="33"/>
      <c r="LVN162" s="33"/>
      <c r="LVO162" s="33"/>
      <c r="LVP162" s="33"/>
      <c r="LVQ162" s="33"/>
      <c r="LVR162" s="33"/>
      <c r="LVS162" s="33"/>
      <c r="LVT162" s="33"/>
      <c r="LVU162" s="33"/>
      <c r="LVV162" s="33"/>
      <c r="LVW162" s="33"/>
      <c r="LVX162" s="33"/>
      <c r="LVY162" s="33"/>
      <c r="LVZ162" s="33"/>
      <c r="LWA162" s="33"/>
      <c r="LWB162" s="33"/>
      <c r="LWC162" s="33"/>
      <c r="LWD162" s="33"/>
      <c r="LWE162" s="33"/>
      <c r="LWF162" s="33"/>
      <c r="LWG162" s="33"/>
      <c r="LWH162" s="33"/>
      <c r="LWI162" s="33"/>
      <c r="LWJ162" s="33"/>
      <c r="LWK162" s="33"/>
      <c r="LWL162" s="33"/>
      <c r="LWM162" s="33"/>
      <c r="LWN162" s="33"/>
      <c r="LWO162" s="33"/>
      <c r="LWP162" s="33"/>
      <c r="LWQ162" s="33"/>
      <c r="LWR162" s="33"/>
      <c r="LWS162" s="33"/>
      <c r="LWT162" s="33"/>
      <c r="LWU162" s="33"/>
      <c r="LWV162" s="33"/>
      <c r="LWW162" s="33"/>
      <c r="LWX162" s="33"/>
      <c r="LWY162" s="33"/>
      <c r="LWZ162" s="33"/>
      <c r="LXA162" s="33"/>
      <c r="LXB162" s="33"/>
      <c r="LXC162" s="33"/>
      <c r="LXD162" s="33"/>
      <c r="LXE162" s="33"/>
      <c r="LXF162" s="33"/>
      <c r="LXG162" s="33"/>
      <c r="LXH162" s="33"/>
      <c r="LXI162" s="33"/>
      <c r="LXJ162" s="33"/>
      <c r="LXK162" s="33"/>
      <c r="LXL162" s="33"/>
      <c r="LXM162" s="33"/>
      <c r="LXN162" s="33"/>
      <c r="LXO162" s="33"/>
      <c r="LXP162" s="33"/>
      <c r="LXQ162" s="33"/>
      <c r="LXR162" s="33"/>
      <c r="LXS162" s="33"/>
      <c r="LXT162" s="33"/>
      <c r="LXU162" s="33"/>
      <c r="LXV162" s="33"/>
      <c r="LXW162" s="33"/>
      <c r="LXX162" s="33"/>
      <c r="LXY162" s="33"/>
      <c r="LXZ162" s="33"/>
      <c r="LYA162" s="33"/>
      <c r="LYB162" s="33"/>
      <c r="LYC162" s="33"/>
      <c r="LYD162" s="33"/>
      <c r="LYE162" s="33"/>
      <c r="LYF162" s="33"/>
      <c r="LYG162" s="33"/>
      <c r="LYH162" s="33"/>
      <c r="LYI162" s="33"/>
      <c r="LYJ162" s="33"/>
      <c r="LYK162" s="33"/>
      <c r="LYL162" s="33"/>
      <c r="LYM162" s="33"/>
      <c r="LYN162" s="33"/>
      <c r="LYO162" s="33"/>
      <c r="LYP162" s="33"/>
      <c r="LYQ162" s="33"/>
      <c r="LYR162" s="33"/>
      <c r="LYS162" s="33"/>
      <c r="LYT162" s="33"/>
      <c r="LYU162" s="33"/>
      <c r="LYV162" s="33"/>
      <c r="LYW162" s="33"/>
      <c r="LYX162" s="33"/>
      <c r="LYY162" s="33"/>
      <c r="LYZ162" s="33"/>
      <c r="LZA162" s="33"/>
      <c r="LZB162" s="33"/>
      <c r="LZC162" s="33"/>
      <c r="LZD162" s="33"/>
      <c r="LZE162" s="33"/>
      <c r="LZF162" s="33"/>
      <c r="LZG162" s="33"/>
      <c r="LZH162" s="33"/>
      <c r="LZI162" s="33"/>
      <c r="LZJ162" s="33"/>
      <c r="LZK162" s="33"/>
      <c r="LZL162" s="33"/>
      <c r="LZM162" s="33"/>
      <c r="LZN162" s="33"/>
      <c r="LZO162" s="33"/>
      <c r="LZP162" s="33"/>
      <c r="LZQ162" s="33"/>
      <c r="LZR162" s="33"/>
      <c r="LZS162" s="33"/>
      <c r="LZT162" s="33"/>
      <c r="LZU162" s="33"/>
      <c r="LZV162" s="33"/>
      <c r="LZW162" s="33"/>
      <c r="LZX162" s="33"/>
      <c r="LZY162" s="33"/>
      <c r="LZZ162" s="33"/>
      <c r="MAA162" s="33"/>
      <c r="MAB162" s="33"/>
      <c r="MAC162" s="33"/>
      <c r="MAD162" s="33"/>
      <c r="MAE162" s="33"/>
      <c r="MAF162" s="33"/>
      <c r="MAG162" s="33"/>
      <c r="MAH162" s="33"/>
      <c r="MAI162" s="33"/>
      <c r="MAJ162" s="33"/>
      <c r="MAK162" s="33"/>
      <c r="MAL162" s="33"/>
      <c r="MAM162" s="33"/>
      <c r="MAN162" s="33"/>
      <c r="MAO162" s="33"/>
      <c r="MAP162" s="33"/>
      <c r="MAQ162" s="33"/>
      <c r="MAR162" s="33"/>
      <c r="MAS162" s="33"/>
      <c r="MAT162" s="33"/>
      <c r="MAU162" s="33"/>
      <c r="MAV162" s="33"/>
      <c r="MAW162" s="33"/>
      <c r="MAX162" s="33"/>
      <c r="MAY162" s="33"/>
      <c r="MAZ162" s="33"/>
      <c r="MBA162" s="33"/>
      <c r="MBB162" s="33"/>
      <c r="MBC162" s="33"/>
      <c r="MBD162" s="33"/>
      <c r="MBE162" s="33"/>
      <c r="MBF162" s="33"/>
      <c r="MBG162" s="33"/>
      <c r="MBH162" s="33"/>
      <c r="MBI162" s="33"/>
      <c r="MBJ162" s="33"/>
      <c r="MBK162" s="33"/>
      <c r="MBL162" s="33"/>
      <c r="MBM162" s="33"/>
      <c r="MBN162" s="33"/>
      <c r="MBO162" s="33"/>
      <c r="MBP162" s="33"/>
      <c r="MBQ162" s="33"/>
      <c r="MBR162" s="33"/>
      <c r="MBS162" s="33"/>
      <c r="MBT162" s="33"/>
      <c r="MBU162" s="33"/>
      <c r="MBV162" s="33"/>
      <c r="MBW162" s="33"/>
      <c r="MBX162" s="33"/>
      <c r="MBY162" s="33"/>
      <c r="MBZ162" s="33"/>
      <c r="MCA162" s="33"/>
      <c r="MCB162" s="33"/>
      <c r="MCC162" s="33"/>
      <c r="MCD162" s="33"/>
      <c r="MCE162" s="33"/>
      <c r="MCF162" s="33"/>
      <c r="MCG162" s="33"/>
      <c r="MCH162" s="33"/>
      <c r="MCI162" s="33"/>
      <c r="MCJ162" s="33"/>
      <c r="MCK162" s="33"/>
      <c r="MCL162" s="33"/>
      <c r="MCM162" s="33"/>
      <c r="MCN162" s="33"/>
      <c r="MCO162" s="33"/>
      <c r="MCP162" s="33"/>
      <c r="MCQ162" s="33"/>
      <c r="MCR162" s="33"/>
      <c r="MCS162" s="33"/>
      <c r="MCT162" s="33"/>
      <c r="MCU162" s="33"/>
      <c r="MCV162" s="33"/>
      <c r="MCW162" s="33"/>
      <c r="MCX162" s="33"/>
      <c r="MCY162" s="33"/>
      <c r="MCZ162" s="33"/>
      <c r="MDA162" s="33"/>
      <c r="MDB162" s="33"/>
      <c r="MDC162" s="33"/>
      <c r="MDD162" s="33"/>
      <c r="MDE162" s="33"/>
      <c r="MDF162" s="33"/>
      <c r="MDG162" s="33"/>
      <c r="MDH162" s="33"/>
      <c r="MDI162" s="33"/>
      <c r="MDJ162" s="33"/>
      <c r="MDK162" s="33"/>
      <c r="MDL162" s="33"/>
      <c r="MDM162" s="33"/>
      <c r="MDN162" s="33"/>
      <c r="MDO162" s="33"/>
      <c r="MDP162" s="33"/>
      <c r="MDQ162" s="33"/>
      <c r="MDR162" s="33"/>
      <c r="MDS162" s="33"/>
      <c r="MDT162" s="33"/>
      <c r="MDU162" s="33"/>
      <c r="MDV162" s="33"/>
      <c r="MDW162" s="33"/>
      <c r="MDX162" s="33"/>
      <c r="MDY162" s="33"/>
      <c r="MDZ162" s="33"/>
      <c r="MEA162" s="33"/>
      <c r="MEB162" s="33"/>
      <c r="MEC162" s="33"/>
      <c r="MED162" s="33"/>
      <c r="MEE162" s="33"/>
      <c r="MEF162" s="33"/>
      <c r="MEG162" s="33"/>
      <c r="MEH162" s="33"/>
      <c r="MEI162" s="33"/>
      <c r="MEJ162" s="33"/>
      <c r="MEK162" s="33"/>
      <c r="MEL162" s="33"/>
      <c r="MEM162" s="33"/>
      <c r="MEN162" s="33"/>
      <c r="MEO162" s="33"/>
      <c r="MEP162" s="33"/>
      <c r="MEQ162" s="33"/>
      <c r="MER162" s="33"/>
      <c r="MES162" s="33"/>
      <c r="MET162" s="33"/>
      <c r="MEU162" s="33"/>
      <c r="MEV162" s="33"/>
      <c r="MEW162" s="33"/>
      <c r="MEX162" s="33"/>
      <c r="MEY162" s="33"/>
      <c r="MEZ162" s="33"/>
      <c r="MFA162" s="33"/>
      <c r="MFB162" s="33"/>
      <c r="MFC162" s="33"/>
      <c r="MFD162" s="33"/>
      <c r="MFE162" s="33"/>
      <c r="MFF162" s="33"/>
      <c r="MFG162" s="33"/>
      <c r="MFH162" s="33"/>
      <c r="MFI162" s="33"/>
      <c r="MFJ162" s="33"/>
      <c r="MFK162" s="33"/>
      <c r="MFL162" s="33"/>
      <c r="MFM162" s="33"/>
      <c r="MFN162" s="33"/>
      <c r="MFO162" s="33"/>
      <c r="MFP162" s="33"/>
      <c r="MFQ162" s="33"/>
      <c r="MFR162" s="33"/>
      <c r="MFS162" s="33"/>
      <c r="MFT162" s="33"/>
      <c r="MFU162" s="33"/>
      <c r="MFV162" s="33"/>
      <c r="MFW162" s="33"/>
      <c r="MFX162" s="33"/>
      <c r="MFY162" s="33"/>
      <c r="MFZ162" s="33"/>
      <c r="MGA162" s="33"/>
      <c r="MGB162" s="33"/>
      <c r="MGC162" s="33"/>
      <c r="MGD162" s="33"/>
      <c r="MGE162" s="33"/>
      <c r="MGF162" s="33"/>
      <c r="MGG162" s="33"/>
      <c r="MGH162" s="33"/>
      <c r="MGI162" s="33"/>
      <c r="MGJ162" s="33"/>
      <c r="MGK162" s="33"/>
      <c r="MGL162" s="33"/>
      <c r="MGM162" s="33"/>
      <c r="MGN162" s="33"/>
      <c r="MGO162" s="33"/>
      <c r="MGP162" s="33"/>
      <c r="MGQ162" s="33"/>
      <c r="MGR162" s="33"/>
      <c r="MGS162" s="33"/>
      <c r="MGT162" s="33"/>
      <c r="MGU162" s="33"/>
      <c r="MGV162" s="33"/>
      <c r="MGW162" s="33"/>
      <c r="MGX162" s="33"/>
      <c r="MGY162" s="33"/>
      <c r="MGZ162" s="33"/>
      <c r="MHA162" s="33"/>
      <c r="MHB162" s="33"/>
      <c r="MHC162" s="33"/>
      <c r="MHD162" s="33"/>
      <c r="MHE162" s="33"/>
      <c r="MHF162" s="33"/>
      <c r="MHG162" s="33"/>
      <c r="MHH162" s="33"/>
      <c r="MHI162" s="33"/>
      <c r="MHJ162" s="33"/>
      <c r="MHK162" s="33"/>
      <c r="MHL162" s="33"/>
      <c r="MHM162" s="33"/>
      <c r="MHN162" s="33"/>
      <c r="MHO162" s="33"/>
      <c r="MHP162" s="33"/>
      <c r="MHQ162" s="33"/>
      <c r="MHR162" s="33"/>
      <c r="MHS162" s="33"/>
      <c r="MHT162" s="33"/>
      <c r="MHU162" s="33"/>
      <c r="MHV162" s="33"/>
      <c r="MHW162" s="33"/>
      <c r="MHX162" s="33"/>
      <c r="MHY162" s="33"/>
      <c r="MHZ162" s="33"/>
      <c r="MIA162" s="33"/>
      <c r="MIB162" s="33"/>
      <c r="MIC162" s="33"/>
      <c r="MID162" s="33"/>
      <c r="MIE162" s="33"/>
      <c r="MIF162" s="33"/>
      <c r="MIG162" s="33"/>
      <c r="MIH162" s="33"/>
      <c r="MII162" s="33"/>
      <c r="MIJ162" s="33"/>
      <c r="MIK162" s="33"/>
      <c r="MIL162" s="33"/>
      <c r="MIM162" s="33"/>
      <c r="MIN162" s="33"/>
      <c r="MIO162" s="33"/>
      <c r="MIP162" s="33"/>
      <c r="MIQ162" s="33"/>
      <c r="MIR162" s="33"/>
      <c r="MIS162" s="33"/>
      <c r="MIT162" s="33"/>
      <c r="MIU162" s="33"/>
      <c r="MIV162" s="33"/>
      <c r="MIW162" s="33"/>
      <c r="MIX162" s="33"/>
      <c r="MIY162" s="33"/>
      <c r="MIZ162" s="33"/>
      <c r="MJA162" s="33"/>
      <c r="MJB162" s="33"/>
      <c r="MJC162" s="33"/>
      <c r="MJD162" s="33"/>
      <c r="MJE162" s="33"/>
      <c r="MJF162" s="33"/>
      <c r="MJG162" s="33"/>
      <c r="MJH162" s="33"/>
      <c r="MJI162" s="33"/>
      <c r="MJJ162" s="33"/>
      <c r="MJK162" s="33"/>
      <c r="MJL162" s="33"/>
      <c r="MJM162" s="33"/>
      <c r="MJN162" s="33"/>
      <c r="MJO162" s="33"/>
      <c r="MJP162" s="33"/>
      <c r="MJQ162" s="33"/>
      <c r="MJR162" s="33"/>
      <c r="MJS162" s="33"/>
      <c r="MJT162" s="33"/>
      <c r="MJU162" s="33"/>
      <c r="MJV162" s="33"/>
      <c r="MJW162" s="33"/>
      <c r="MJX162" s="33"/>
      <c r="MJY162" s="33"/>
      <c r="MJZ162" s="33"/>
      <c r="MKA162" s="33"/>
      <c r="MKB162" s="33"/>
      <c r="MKC162" s="33"/>
      <c r="MKD162" s="33"/>
      <c r="MKE162" s="33"/>
      <c r="MKF162" s="33"/>
      <c r="MKG162" s="33"/>
      <c r="MKH162" s="33"/>
      <c r="MKI162" s="33"/>
      <c r="MKJ162" s="33"/>
      <c r="MKK162" s="33"/>
      <c r="MKL162" s="33"/>
      <c r="MKM162" s="33"/>
      <c r="MKN162" s="33"/>
      <c r="MKO162" s="33"/>
      <c r="MKP162" s="33"/>
      <c r="MKQ162" s="33"/>
      <c r="MKR162" s="33"/>
      <c r="MKS162" s="33"/>
      <c r="MKT162" s="33"/>
      <c r="MKU162" s="33"/>
      <c r="MKV162" s="33"/>
      <c r="MKW162" s="33"/>
      <c r="MKX162" s="33"/>
      <c r="MKY162" s="33"/>
      <c r="MKZ162" s="33"/>
      <c r="MLA162" s="33"/>
      <c r="MLB162" s="33"/>
      <c r="MLC162" s="33"/>
      <c r="MLD162" s="33"/>
      <c r="MLE162" s="33"/>
      <c r="MLF162" s="33"/>
      <c r="MLG162" s="33"/>
      <c r="MLH162" s="33"/>
      <c r="MLI162" s="33"/>
      <c r="MLJ162" s="33"/>
      <c r="MLK162" s="33"/>
      <c r="MLL162" s="33"/>
      <c r="MLM162" s="33"/>
      <c r="MLN162" s="33"/>
      <c r="MLO162" s="33"/>
      <c r="MLP162" s="33"/>
      <c r="MLQ162" s="33"/>
      <c r="MLR162" s="33"/>
      <c r="MLS162" s="33"/>
      <c r="MLT162" s="33"/>
      <c r="MLU162" s="33"/>
      <c r="MLV162" s="33"/>
      <c r="MLW162" s="33"/>
      <c r="MLX162" s="33"/>
      <c r="MLY162" s="33"/>
      <c r="MLZ162" s="33"/>
      <c r="MMA162" s="33"/>
      <c r="MMB162" s="33"/>
      <c r="MMC162" s="33"/>
      <c r="MMD162" s="33"/>
      <c r="MME162" s="33"/>
      <c r="MMF162" s="33"/>
      <c r="MMG162" s="33"/>
      <c r="MMH162" s="33"/>
      <c r="MMI162" s="33"/>
      <c r="MMJ162" s="33"/>
      <c r="MMK162" s="33"/>
      <c r="MML162" s="33"/>
      <c r="MMM162" s="33"/>
      <c r="MMN162" s="33"/>
      <c r="MMO162" s="33"/>
      <c r="MMP162" s="33"/>
      <c r="MMQ162" s="33"/>
      <c r="MMR162" s="33"/>
      <c r="MMS162" s="33"/>
      <c r="MMT162" s="33"/>
      <c r="MMU162" s="33"/>
      <c r="MMV162" s="33"/>
      <c r="MMW162" s="33"/>
      <c r="MMX162" s="33"/>
      <c r="MMY162" s="33"/>
      <c r="MMZ162" s="33"/>
      <c r="MNA162" s="33"/>
      <c r="MNB162" s="33"/>
      <c r="MNC162" s="33"/>
      <c r="MND162" s="33"/>
      <c r="MNE162" s="33"/>
      <c r="MNF162" s="33"/>
      <c r="MNG162" s="33"/>
      <c r="MNH162" s="33"/>
      <c r="MNI162" s="33"/>
      <c r="MNJ162" s="33"/>
      <c r="MNK162" s="33"/>
      <c r="MNL162" s="33"/>
      <c r="MNM162" s="33"/>
      <c r="MNN162" s="33"/>
      <c r="MNO162" s="33"/>
      <c r="MNP162" s="33"/>
      <c r="MNQ162" s="33"/>
      <c r="MNR162" s="33"/>
      <c r="MNS162" s="33"/>
      <c r="MNT162" s="33"/>
      <c r="MNU162" s="33"/>
      <c r="MNV162" s="33"/>
      <c r="MNW162" s="33"/>
      <c r="MNX162" s="33"/>
      <c r="MNY162" s="33"/>
      <c r="MNZ162" s="33"/>
      <c r="MOA162" s="33"/>
      <c r="MOB162" s="33"/>
      <c r="MOC162" s="33"/>
      <c r="MOD162" s="33"/>
      <c r="MOE162" s="33"/>
      <c r="MOF162" s="33"/>
      <c r="MOG162" s="33"/>
      <c r="MOH162" s="33"/>
      <c r="MOI162" s="33"/>
      <c r="MOJ162" s="33"/>
      <c r="MOK162" s="33"/>
      <c r="MOL162" s="33"/>
      <c r="MOM162" s="33"/>
      <c r="MON162" s="33"/>
      <c r="MOO162" s="33"/>
      <c r="MOP162" s="33"/>
      <c r="MOQ162" s="33"/>
      <c r="MOR162" s="33"/>
      <c r="MOS162" s="33"/>
      <c r="MOT162" s="33"/>
      <c r="MOU162" s="33"/>
      <c r="MOV162" s="33"/>
      <c r="MOW162" s="33"/>
      <c r="MOX162" s="33"/>
      <c r="MOY162" s="33"/>
      <c r="MOZ162" s="33"/>
      <c r="MPA162" s="33"/>
      <c r="MPB162" s="33"/>
      <c r="MPC162" s="33"/>
      <c r="MPD162" s="33"/>
      <c r="MPE162" s="33"/>
      <c r="MPF162" s="33"/>
      <c r="MPG162" s="33"/>
      <c r="MPH162" s="33"/>
      <c r="MPI162" s="33"/>
      <c r="MPJ162" s="33"/>
      <c r="MPK162" s="33"/>
      <c r="MPL162" s="33"/>
      <c r="MPM162" s="33"/>
      <c r="MPN162" s="33"/>
      <c r="MPO162" s="33"/>
      <c r="MPP162" s="33"/>
      <c r="MPQ162" s="33"/>
      <c r="MPR162" s="33"/>
      <c r="MPS162" s="33"/>
      <c r="MPT162" s="33"/>
      <c r="MPU162" s="33"/>
      <c r="MPV162" s="33"/>
      <c r="MPW162" s="33"/>
      <c r="MPX162" s="33"/>
      <c r="MPY162" s="33"/>
      <c r="MPZ162" s="33"/>
      <c r="MQA162" s="33"/>
      <c r="MQB162" s="33"/>
      <c r="MQC162" s="33"/>
      <c r="MQD162" s="33"/>
      <c r="MQE162" s="33"/>
      <c r="MQF162" s="33"/>
      <c r="MQG162" s="33"/>
      <c r="MQH162" s="33"/>
      <c r="MQI162" s="33"/>
      <c r="MQJ162" s="33"/>
      <c r="MQK162" s="33"/>
      <c r="MQL162" s="33"/>
      <c r="MQM162" s="33"/>
      <c r="MQN162" s="33"/>
      <c r="MQO162" s="33"/>
      <c r="MQP162" s="33"/>
      <c r="MQQ162" s="33"/>
      <c r="MQR162" s="33"/>
      <c r="MQS162" s="33"/>
      <c r="MQT162" s="33"/>
      <c r="MQU162" s="33"/>
      <c r="MQV162" s="33"/>
      <c r="MQW162" s="33"/>
      <c r="MQX162" s="33"/>
      <c r="MQY162" s="33"/>
      <c r="MQZ162" s="33"/>
      <c r="MRA162" s="33"/>
      <c r="MRB162" s="33"/>
      <c r="MRC162" s="33"/>
      <c r="MRD162" s="33"/>
      <c r="MRE162" s="33"/>
      <c r="MRF162" s="33"/>
      <c r="MRG162" s="33"/>
      <c r="MRH162" s="33"/>
      <c r="MRI162" s="33"/>
      <c r="MRJ162" s="33"/>
      <c r="MRK162" s="33"/>
      <c r="MRL162" s="33"/>
      <c r="MRM162" s="33"/>
      <c r="MRN162" s="33"/>
      <c r="MRO162" s="33"/>
      <c r="MRP162" s="33"/>
      <c r="MRQ162" s="33"/>
      <c r="MRR162" s="33"/>
      <c r="MRS162" s="33"/>
      <c r="MRT162" s="33"/>
      <c r="MRU162" s="33"/>
      <c r="MRV162" s="33"/>
      <c r="MRW162" s="33"/>
      <c r="MRX162" s="33"/>
      <c r="MRY162" s="33"/>
      <c r="MRZ162" s="33"/>
      <c r="MSA162" s="33"/>
      <c r="MSB162" s="33"/>
      <c r="MSC162" s="33"/>
      <c r="MSD162" s="33"/>
      <c r="MSE162" s="33"/>
      <c r="MSF162" s="33"/>
      <c r="MSG162" s="33"/>
      <c r="MSH162" s="33"/>
      <c r="MSI162" s="33"/>
      <c r="MSJ162" s="33"/>
      <c r="MSK162" s="33"/>
      <c r="MSL162" s="33"/>
      <c r="MSM162" s="33"/>
      <c r="MSN162" s="33"/>
      <c r="MSO162" s="33"/>
      <c r="MSP162" s="33"/>
      <c r="MSQ162" s="33"/>
      <c r="MSR162" s="33"/>
      <c r="MSS162" s="33"/>
      <c r="MST162" s="33"/>
      <c r="MSU162" s="33"/>
      <c r="MSV162" s="33"/>
      <c r="MSW162" s="33"/>
      <c r="MSX162" s="33"/>
      <c r="MSY162" s="33"/>
      <c r="MSZ162" s="33"/>
      <c r="MTA162" s="33"/>
      <c r="MTB162" s="33"/>
      <c r="MTC162" s="33"/>
      <c r="MTD162" s="33"/>
      <c r="MTE162" s="33"/>
      <c r="MTF162" s="33"/>
      <c r="MTG162" s="33"/>
      <c r="MTH162" s="33"/>
      <c r="MTI162" s="33"/>
      <c r="MTJ162" s="33"/>
      <c r="MTK162" s="33"/>
      <c r="MTL162" s="33"/>
      <c r="MTM162" s="33"/>
      <c r="MTN162" s="33"/>
      <c r="MTO162" s="33"/>
      <c r="MTP162" s="33"/>
      <c r="MTQ162" s="33"/>
      <c r="MTR162" s="33"/>
      <c r="MTS162" s="33"/>
      <c r="MTT162" s="33"/>
      <c r="MTU162" s="33"/>
      <c r="MTV162" s="33"/>
      <c r="MTW162" s="33"/>
      <c r="MTX162" s="33"/>
      <c r="MTY162" s="33"/>
      <c r="MTZ162" s="33"/>
      <c r="MUA162" s="33"/>
      <c r="MUB162" s="33"/>
      <c r="MUC162" s="33"/>
      <c r="MUD162" s="33"/>
      <c r="MUE162" s="33"/>
      <c r="MUF162" s="33"/>
      <c r="MUG162" s="33"/>
      <c r="MUH162" s="33"/>
      <c r="MUI162" s="33"/>
      <c r="MUJ162" s="33"/>
      <c r="MUK162" s="33"/>
      <c r="MUL162" s="33"/>
      <c r="MUM162" s="33"/>
      <c r="MUN162" s="33"/>
      <c r="MUO162" s="33"/>
      <c r="MUP162" s="33"/>
      <c r="MUQ162" s="33"/>
      <c r="MUR162" s="33"/>
      <c r="MUS162" s="33"/>
      <c r="MUT162" s="33"/>
      <c r="MUU162" s="33"/>
      <c r="MUV162" s="33"/>
      <c r="MUW162" s="33"/>
      <c r="MUX162" s="33"/>
      <c r="MUY162" s="33"/>
      <c r="MUZ162" s="33"/>
      <c r="MVA162" s="33"/>
      <c r="MVB162" s="33"/>
      <c r="MVC162" s="33"/>
      <c r="MVD162" s="33"/>
      <c r="MVE162" s="33"/>
      <c r="MVF162" s="33"/>
      <c r="MVG162" s="33"/>
      <c r="MVH162" s="33"/>
      <c r="MVI162" s="33"/>
      <c r="MVJ162" s="33"/>
      <c r="MVK162" s="33"/>
      <c r="MVL162" s="33"/>
      <c r="MVM162" s="33"/>
      <c r="MVN162" s="33"/>
      <c r="MVO162" s="33"/>
      <c r="MVP162" s="33"/>
      <c r="MVQ162" s="33"/>
      <c r="MVR162" s="33"/>
      <c r="MVS162" s="33"/>
      <c r="MVT162" s="33"/>
      <c r="MVU162" s="33"/>
      <c r="MVV162" s="33"/>
      <c r="MVW162" s="33"/>
      <c r="MVX162" s="33"/>
      <c r="MVY162" s="33"/>
      <c r="MVZ162" s="33"/>
      <c r="MWA162" s="33"/>
      <c r="MWB162" s="33"/>
      <c r="MWC162" s="33"/>
      <c r="MWD162" s="33"/>
      <c r="MWE162" s="33"/>
      <c r="MWF162" s="33"/>
      <c r="MWG162" s="33"/>
      <c r="MWH162" s="33"/>
      <c r="MWI162" s="33"/>
      <c r="MWJ162" s="33"/>
      <c r="MWK162" s="33"/>
      <c r="MWL162" s="33"/>
      <c r="MWM162" s="33"/>
      <c r="MWN162" s="33"/>
      <c r="MWO162" s="33"/>
      <c r="MWP162" s="33"/>
      <c r="MWQ162" s="33"/>
      <c r="MWR162" s="33"/>
      <c r="MWS162" s="33"/>
      <c r="MWT162" s="33"/>
      <c r="MWU162" s="33"/>
      <c r="MWV162" s="33"/>
      <c r="MWW162" s="33"/>
      <c r="MWX162" s="33"/>
      <c r="MWY162" s="33"/>
      <c r="MWZ162" s="33"/>
      <c r="MXA162" s="33"/>
      <c r="MXB162" s="33"/>
      <c r="MXC162" s="33"/>
      <c r="MXD162" s="33"/>
      <c r="MXE162" s="33"/>
      <c r="MXF162" s="33"/>
      <c r="MXG162" s="33"/>
      <c r="MXH162" s="33"/>
      <c r="MXI162" s="33"/>
      <c r="MXJ162" s="33"/>
      <c r="MXK162" s="33"/>
      <c r="MXL162" s="33"/>
      <c r="MXM162" s="33"/>
      <c r="MXN162" s="33"/>
      <c r="MXO162" s="33"/>
      <c r="MXP162" s="33"/>
      <c r="MXQ162" s="33"/>
      <c r="MXR162" s="33"/>
      <c r="MXS162" s="33"/>
      <c r="MXT162" s="33"/>
      <c r="MXU162" s="33"/>
      <c r="MXV162" s="33"/>
      <c r="MXW162" s="33"/>
      <c r="MXX162" s="33"/>
      <c r="MXY162" s="33"/>
      <c r="MXZ162" s="33"/>
      <c r="MYA162" s="33"/>
      <c r="MYB162" s="33"/>
      <c r="MYC162" s="33"/>
      <c r="MYD162" s="33"/>
      <c r="MYE162" s="33"/>
      <c r="MYF162" s="33"/>
      <c r="MYG162" s="33"/>
      <c r="MYH162" s="33"/>
      <c r="MYI162" s="33"/>
      <c r="MYJ162" s="33"/>
      <c r="MYK162" s="33"/>
      <c r="MYL162" s="33"/>
      <c r="MYM162" s="33"/>
      <c r="MYN162" s="33"/>
      <c r="MYO162" s="33"/>
      <c r="MYP162" s="33"/>
      <c r="MYQ162" s="33"/>
      <c r="MYR162" s="33"/>
      <c r="MYS162" s="33"/>
      <c r="MYT162" s="33"/>
      <c r="MYU162" s="33"/>
      <c r="MYV162" s="33"/>
      <c r="MYW162" s="33"/>
      <c r="MYX162" s="33"/>
      <c r="MYY162" s="33"/>
      <c r="MYZ162" s="33"/>
      <c r="MZA162" s="33"/>
      <c r="MZB162" s="33"/>
      <c r="MZC162" s="33"/>
      <c r="MZD162" s="33"/>
      <c r="MZE162" s="33"/>
      <c r="MZF162" s="33"/>
      <c r="MZG162" s="33"/>
      <c r="MZH162" s="33"/>
      <c r="MZI162" s="33"/>
      <c r="MZJ162" s="33"/>
      <c r="MZK162" s="33"/>
      <c r="MZL162" s="33"/>
      <c r="MZM162" s="33"/>
      <c r="MZN162" s="33"/>
      <c r="MZO162" s="33"/>
      <c r="MZP162" s="33"/>
      <c r="MZQ162" s="33"/>
      <c r="MZR162" s="33"/>
      <c r="MZS162" s="33"/>
      <c r="MZT162" s="33"/>
      <c r="MZU162" s="33"/>
      <c r="MZV162" s="33"/>
      <c r="MZW162" s="33"/>
      <c r="MZX162" s="33"/>
      <c r="MZY162" s="33"/>
      <c r="MZZ162" s="33"/>
      <c r="NAA162" s="33"/>
      <c r="NAB162" s="33"/>
      <c r="NAC162" s="33"/>
      <c r="NAD162" s="33"/>
      <c r="NAE162" s="33"/>
      <c r="NAF162" s="33"/>
      <c r="NAG162" s="33"/>
      <c r="NAH162" s="33"/>
      <c r="NAI162" s="33"/>
      <c r="NAJ162" s="33"/>
      <c r="NAK162" s="33"/>
      <c r="NAL162" s="33"/>
      <c r="NAM162" s="33"/>
      <c r="NAN162" s="33"/>
      <c r="NAO162" s="33"/>
      <c r="NAP162" s="33"/>
      <c r="NAQ162" s="33"/>
      <c r="NAR162" s="33"/>
      <c r="NAS162" s="33"/>
      <c r="NAT162" s="33"/>
      <c r="NAU162" s="33"/>
      <c r="NAV162" s="33"/>
      <c r="NAW162" s="33"/>
      <c r="NAX162" s="33"/>
      <c r="NAY162" s="33"/>
      <c r="NAZ162" s="33"/>
      <c r="NBA162" s="33"/>
      <c r="NBB162" s="33"/>
      <c r="NBC162" s="33"/>
      <c r="NBD162" s="33"/>
      <c r="NBE162" s="33"/>
      <c r="NBF162" s="33"/>
      <c r="NBG162" s="33"/>
      <c r="NBH162" s="33"/>
      <c r="NBI162" s="33"/>
      <c r="NBJ162" s="33"/>
      <c r="NBK162" s="33"/>
      <c r="NBL162" s="33"/>
      <c r="NBM162" s="33"/>
      <c r="NBN162" s="33"/>
      <c r="NBO162" s="33"/>
      <c r="NBP162" s="33"/>
      <c r="NBQ162" s="33"/>
      <c r="NBR162" s="33"/>
      <c r="NBS162" s="33"/>
      <c r="NBT162" s="33"/>
      <c r="NBU162" s="33"/>
      <c r="NBV162" s="33"/>
      <c r="NBW162" s="33"/>
      <c r="NBX162" s="33"/>
      <c r="NBY162" s="33"/>
      <c r="NBZ162" s="33"/>
      <c r="NCA162" s="33"/>
      <c r="NCB162" s="33"/>
      <c r="NCC162" s="33"/>
      <c r="NCD162" s="33"/>
      <c r="NCE162" s="33"/>
      <c r="NCF162" s="33"/>
      <c r="NCG162" s="33"/>
      <c r="NCH162" s="33"/>
      <c r="NCI162" s="33"/>
      <c r="NCJ162" s="33"/>
      <c r="NCK162" s="33"/>
      <c r="NCL162" s="33"/>
      <c r="NCM162" s="33"/>
      <c r="NCN162" s="33"/>
      <c r="NCO162" s="33"/>
      <c r="NCP162" s="33"/>
      <c r="NCQ162" s="33"/>
      <c r="NCR162" s="33"/>
      <c r="NCS162" s="33"/>
      <c r="NCT162" s="33"/>
      <c r="NCU162" s="33"/>
      <c r="NCV162" s="33"/>
      <c r="NCW162" s="33"/>
      <c r="NCX162" s="33"/>
      <c r="NCY162" s="33"/>
      <c r="NCZ162" s="33"/>
      <c r="NDA162" s="33"/>
      <c r="NDB162" s="33"/>
      <c r="NDC162" s="33"/>
      <c r="NDD162" s="33"/>
      <c r="NDE162" s="33"/>
      <c r="NDF162" s="33"/>
      <c r="NDG162" s="33"/>
      <c r="NDH162" s="33"/>
      <c r="NDI162" s="33"/>
      <c r="NDJ162" s="33"/>
      <c r="NDK162" s="33"/>
      <c r="NDL162" s="33"/>
      <c r="NDM162" s="33"/>
      <c r="NDN162" s="33"/>
      <c r="NDO162" s="33"/>
      <c r="NDP162" s="33"/>
      <c r="NDQ162" s="33"/>
      <c r="NDR162" s="33"/>
      <c r="NDS162" s="33"/>
      <c r="NDT162" s="33"/>
      <c r="NDU162" s="33"/>
      <c r="NDV162" s="33"/>
      <c r="NDW162" s="33"/>
      <c r="NDX162" s="33"/>
      <c r="NDY162" s="33"/>
      <c r="NDZ162" s="33"/>
      <c r="NEA162" s="33"/>
      <c r="NEB162" s="33"/>
      <c r="NEC162" s="33"/>
      <c r="NED162" s="33"/>
      <c r="NEE162" s="33"/>
      <c r="NEF162" s="33"/>
      <c r="NEG162" s="33"/>
      <c r="NEH162" s="33"/>
      <c r="NEI162" s="33"/>
      <c r="NEJ162" s="33"/>
      <c r="NEK162" s="33"/>
      <c r="NEL162" s="33"/>
      <c r="NEM162" s="33"/>
      <c r="NEN162" s="33"/>
      <c r="NEO162" s="33"/>
      <c r="NEP162" s="33"/>
      <c r="NEQ162" s="33"/>
      <c r="NER162" s="33"/>
      <c r="NES162" s="33"/>
      <c r="NET162" s="33"/>
      <c r="NEU162" s="33"/>
      <c r="NEV162" s="33"/>
      <c r="NEW162" s="33"/>
      <c r="NEX162" s="33"/>
      <c r="NEY162" s="33"/>
      <c r="NEZ162" s="33"/>
      <c r="NFA162" s="33"/>
      <c r="NFB162" s="33"/>
      <c r="NFC162" s="33"/>
      <c r="NFD162" s="33"/>
      <c r="NFE162" s="33"/>
      <c r="NFF162" s="33"/>
      <c r="NFG162" s="33"/>
      <c r="NFH162" s="33"/>
      <c r="NFI162" s="33"/>
      <c r="NFJ162" s="33"/>
      <c r="NFK162" s="33"/>
      <c r="NFL162" s="33"/>
      <c r="NFM162" s="33"/>
      <c r="NFN162" s="33"/>
      <c r="NFO162" s="33"/>
      <c r="NFP162" s="33"/>
      <c r="NFQ162" s="33"/>
      <c r="NFR162" s="33"/>
      <c r="NFS162" s="33"/>
      <c r="NFT162" s="33"/>
      <c r="NFU162" s="33"/>
      <c r="NFV162" s="33"/>
      <c r="NFW162" s="33"/>
      <c r="NFX162" s="33"/>
      <c r="NFY162" s="33"/>
      <c r="NFZ162" s="33"/>
      <c r="NGA162" s="33"/>
      <c r="NGB162" s="33"/>
      <c r="NGC162" s="33"/>
      <c r="NGD162" s="33"/>
      <c r="NGE162" s="33"/>
      <c r="NGF162" s="33"/>
      <c r="NGG162" s="33"/>
      <c r="NGH162" s="33"/>
      <c r="NGI162" s="33"/>
      <c r="NGJ162" s="33"/>
      <c r="NGK162" s="33"/>
      <c r="NGL162" s="33"/>
      <c r="NGM162" s="33"/>
      <c r="NGN162" s="33"/>
      <c r="NGO162" s="33"/>
      <c r="NGP162" s="33"/>
      <c r="NGQ162" s="33"/>
      <c r="NGR162" s="33"/>
      <c r="NGS162" s="33"/>
      <c r="NGT162" s="33"/>
      <c r="NGU162" s="33"/>
      <c r="NGV162" s="33"/>
      <c r="NGW162" s="33"/>
      <c r="NGX162" s="33"/>
      <c r="NGY162" s="33"/>
      <c r="NGZ162" s="33"/>
      <c r="NHA162" s="33"/>
      <c r="NHB162" s="33"/>
      <c r="NHC162" s="33"/>
      <c r="NHD162" s="33"/>
      <c r="NHE162" s="33"/>
      <c r="NHF162" s="33"/>
      <c r="NHG162" s="33"/>
      <c r="NHH162" s="33"/>
      <c r="NHI162" s="33"/>
      <c r="NHJ162" s="33"/>
      <c r="NHK162" s="33"/>
      <c r="NHL162" s="33"/>
      <c r="NHM162" s="33"/>
      <c r="NHN162" s="33"/>
      <c r="NHO162" s="33"/>
      <c r="NHP162" s="33"/>
      <c r="NHQ162" s="33"/>
      <c r="NHR162" s="33"/>
      <c r="NHS162" s="33"/>
      <c r="NHT162" s="33"/>
      <c r="NHU162" s="33"/>
      <c r="NHV162" s="33"/>
      <c r="NHW162" s="33"/>
      <c r="NHX162" s="33"/>
      <c r="NHY162" s="33"/>
      <c r="NHZ162" s="33"/>
      <c r="NIA162" s="33"/>
      <c r="NIB162" s="33"/>
      <c r="NIC162" s="33"/>
      <c r="NID162" s="33"/>
      <c r="NIE162" s="33"/>
      <c r="NIF162" s="33"/>
      <c r="NIG162" s="33"/>
      <c r="NIH162" s="33"/>
      <c r="NII162" s="33"/>
      <c r="NIJ162" s="33"/>
      <c r="NIK162" s="33"/>
      <c r="NIL162" s="33"/>
      <c r="NIM162" s="33"/>
      <c r="NIN162" s="33"/>
      <c r="NIO162" s="33"/>
      <c r="NIP162" s="33"/>
      <c r="NIQ162" s="33"/>
      <c r="NIR162" s="33"/>
      <c r="NIS162" s="33"/>
      <c r="NIT162" s="33"/>
      <c r="NIU162" s="33"/>
      <c r="NIV162" s="33"/>
      <c r="NIW162" s="33"/>
      <c r="NIX162" s="33"/>
      <c r="NIY162" s="33"/>
      <c r="NIZ162" s="33"/>
      <c r="NJA162" s="33"/>
      <c r="NJB162" s="33"/>
      <c r="NJC162" s="33"/>
      <c r="NJD162" s="33"/>
      <c r="NJE162" s="33"/>
      <c r="NJF162" s="33"/>
      <c r="NJG162" s="33"/>
      <c r="NJH162" s="33"/>
      <c r="NJI162" s="33"/>
      <c r="NJJ162" s="33"/>
      <c r="NJK162" s="33"/>
      <c r="NJL162" s="33"/>
      <c r="NJM162" s="33"/>
      <c r="NJN162" s="33"/>
      <c r="NJO162" s="33"/>
      <c r="NJP162" s="33"/>
      <c r="NJQ162" s="33"/>
      <c r="NJR162" s="33"/>
      <c r="NJS162" s="33"/>
      <c r="NJT162" s="33"/>
      <c r="NJU162" s="33"/>
      <c r="NJV162" s="33"/>
      <c r="NJW162" s="33"/>
      <c r="NJX162" s="33"/>
      <c r="NJY162" s="33"/>
      <c r="NJZ162" s="33"/>
      <c r="NKA162" s="33"/>
      <c r="NKB162" s="33"/>
      <c r="NKC162" s="33"/>
      <c r="NKD162" s="33"/>
      <c r="NKE162" s="33"/>
      <c r="NKF162" s="33"/>
      <c r="NKG162" s="33"/>
      <c r="NKH162" s="33"/>
      <c r="NKI162" s="33"/>
      <c r="NKJ162" s="33"/>
      <c r="NKK162" s="33"/>
      <c r="NKL162" s="33"/>
      <c r="NKM162" s="33"/>
      <c r="NKN162" s="33"/>
      <c r="NKO162" s="33"/>
      <c r="NKP162" s="33"/>
      <c r="NKQ162" s="33"/>
      <c r="NKR162" s="33"/>
      <c r="NKS162" s="33"/>
      <c r="NKT162" s="33"/>
      <c r="NKU162" s="33"/>
      <c r="NKV162" s="33"/>
      <c r="NKW162" s="33"/>
      <c r="NKX162" s="33"/>
      <c r="NKY162" s="33"/>
      <c r="NKZ162" s="33"/>
      <c r="NLA162" s="33"/>
      <c r="NLB162" s="33"/>
      <c r="NLC162" s="33"/>
      <c r="NLD162" s="33"/>
      <c r="NLE162" s="33"/>
      <c r="NLF162" s="33"/>
      <c r="NLG162" s="33"/>
      <c r="NLH162" s="33"/>
      <c r="NLI162" s="33"/>
      <c r="NLJ162" s="33"/>
      <c r="NLK162" s="33"/>
      <c r="NLL162" s="33"/>
      <c r="NLM162" s="33"/>
      <c r="NLN162" s="33"/>
      <c r="NLO162" s="33"/>
      <c r="NLP162" s="33"/>
      <c r="NLQ162" s="33"/>
      <c r="NLR162" s="33"/>
      <c r="NLS162" s="33"/>
      <c r="NLT162" s="33"/>
      <c r="NLU162" s="33"/>
      <c r="NLV162" s="33"/>
      <c r="NLW162" s="33"/>
      <c r="NLX162" s="33"/>
      <c r="NLY162" s="33"/>
      <c r="NLZ162" s="33"/>
      <c r="NMA162" s="33"/>
      <c r="NMB162" s="33"/>
      <c r="NMC162" s="33"/>
      <c r="NMD162" s="33"/>
      <c r="NME162" s="33"/>
      <c r="NMF162" s="33"/>
      <c r="NMG162" s="33"/>
      <c r="NMH162" s="33"/>
      <c r="NMI162" s="33"/>
      <c r="NMJ162" s="33"/>
      <c r="NMK162" s="33"/>
      <c r="NML162" s="33"/>
      <c r="NMM162" s="33"/>
      <c r="NMN162" s="33"/>
      <c r="NMO162" s="33"/>
      <c r="NMP162" s="33"/>
      <c r="NMQ162" s="33"/>
      <c r="NMR162" s="33"/>
      <c r="NMS162" s="33"/>
      <c r="NMT162" s="33"/>
      <c r="NMU162" s="33"/>
      <c r="NMV162" s="33"/>
      <c r="NMW162" s="33"/>
      <c r="NMX162" s="33"/>
      <c r="NMY162" s="33"/>
      <c r="NMZ162" s="33"/>
      <c r="NNA162" s="33"/>
      <c r="NNB162" s="33"/>
      <c r="NNC162" s="33"/>
      <c r="NND162" s="33"/>
      <c r="NNE162" s="33"/>
      <c r="NNF162" s="33"/>
      <c r="NNG162" s="33"/>
      <c r="NNH162" s="33"/>
      <c r="NNI162" s="33"/>
      <c r="NNJ162" s="33"/>
      <c r="NNK162" s="33"/>
      <c r="NNL162" s="33"/>
      <c r="NNM162" s="33"/>
      <c r="NNN162" s="33"/>
      <c r="NNO162" s="33"/>
      <c r="NNP162" s="33"/>
      <c r="NNQ162" s="33"/>
      <c r="NNR162" s="33"/>
      <c r="NNS162" s="33"/>
      <c r="NNT162" s="33"/>
      <c r="NNU162" s="33"/>
      <c r="NNV162" s="33"/>
      <c r="NNW162" s="33"/>
      <c r="NNX162" s="33"/>
      <c r="NNY162" s="33"/>
      <c r="NNZ162" s="33"/>
      <c r="NOA162" s="33"/>
      <c r="NOB162" s="33"/>
      <c r="NOC162" s="33"/>
      <c r="NOD162" s="33"/>
      <c r="NOE162" s="33"/>
      <c r="NOF162" s="33"/>
      <c r="NOG162" s="33"/>
      <c r="NOH162" s="33"/>
      <c r="NOI162" s="33"/>
      <c r="NOJ162" s="33"/>
      <c r="NOK162" s="33"/>
      <c r="NOL162" s="33"/>
      <c r="NOM162" s="33"/>
      <c r="NON162" s="33"/>
      <c r="NOO162" s="33"/>
      <c r="NOP162" s="33"/>
      <c r="NOQ162" s="33"/>
      <c r="NOR162" s="33"/>
      <c r="NOS162" s="33"/>
      <c r="NOT162" s="33"/>
      <c r="NOU162" s="33"/>
      <c r="NOV162" s="33"/>
      <c r="NOW162" s="33"/>
      <c r="NOX162" s="33"/>
      <c r="NOY162" s="33"/>
      <c r="NOZ162" s="33"/>
      <c r="NPA162" s="33"/>
      <c r="NPB162" s="33"/>
      <c r="NPC162" s="33"/>
      <c r="NPD162" s="33"/>
      <c r="NPE162" s="33"/>
      <c r="NPF162" s="33"/>
      <c r="NPG162" s="33"/>
      <c r="NPH162" s="33"/>
      <c r="NPI162" s="33"/>
      <c r="NPJ162" s="33"/>
      <c r="NPK162" s="33"/>
      <c r="NPL162" s="33"/>
      <c r="NPM162" s="33"/>
      <c r="NPN162" s="33"/>
      <c r="NPO162" s="33"/>
      <c r="NPP162" s="33"/>
      <c r="NPQ162" s="33"/>
      <c r="NPR162" s="33"/>
      <c r="NPS162" s="33"/>
      <c r="NPT162" s="33"/>
      <c r="NPU162" s="33"/>
      <c r="NPV162" s="33"/>
      <c r="NPW162" s="33"/>
      <c r="NPX162" s="33"/>
      <c r="NPY162" s="33"/>
      <c r="NPZ162" s="33"/>
      <c r="NQA162" s="33"/>
      <c r="NQB162" s="33"/>
      <c r="NQC162" s="33"/>
      <c r="NQD162" s="33"/>
      <c r="NQE162" s="33"/>
      <c r="NQF162" s="33"/>
      <c r="NQG162" s="33"/>
      <c r="NQH162" s="33"/>
      <c r="NQI162" s="33"/>
      <c r="NQJ162" s="33"/>
      <c r="NQK162" s="33"/>
      <c r="NQL162" s="33"/>
      <c r="NQM162" s="33"/>
      <c r="NQN162" s="33"/>
      <c r="NQO162" s="33"/>
      <c r="NQP162" s="33"/>
      <c r="NQQ162" s="33"/>
      <c r="NQR162" s="33"/>
      <c r="NQS162" s="33"/>
      <c r="NQT162" s="33"/>
      <c r="NQU162" s="33"/>
      <c r="NQV162" s="33"/>
      <c r="NQW162" s="33"/>
      <c r="NQX162" s="33"/>
      <c r="NQY162" s="33"/>
      <c r="NQZ162" s="33"/>
      <c r="NRA162" s="33"/>
      <c r="NRB162" s="33"/>
      <c r="NRC162" s="33"/>
      <c r="NRD162" s="33"/>
      <c r="NRE162" s="33"/>
      <c r="NRF162" s="33"/>
      <c r="NRG162" s="33"/>
      <c r="NRH162" s="33"/>
      <c r="NRI162" s="33"/>
      <c r="NRJ162" s="33"/>
      <c r="NRK162" s="33"/>
      <c r="NRL162" s="33"/>
      <c r="NRM162" s="33"/>
      <c r="NRN162" s="33"/>
      <c r="NRO162" s="33"/>
      <c r="NRP162" s="33"/>
      <c r="NRQ162" s="33"/>
      <c r="NRR162" s="33"/>
      <c r="NRS162" s="33"/>
      <c r="NRT162" s="33"/>
      <c r="NRU162" s="33"/>
      <c r="NRV162" s="33"/>
      <c r="NRW162" s="33"/>
      <c r="NRX162" s="33"/>
      <c r="NRY162" s="33"/>
      <c r="NRZ162" s="33"/>
      <c r="NSA162" s="33"/>
      <c r="NSB162" s="33"/>
      <c r="NSC162" s="33"/>
      <c r="NSD162" s="33"/>
      <c r="NSE162" s="33"/>
      <c r="NSF162" s="33"/>
      <c r="NSG162" s="33"/>
      <c r="NSH162" s="33"/>
      <c r="NSI162" s="33"/>
      <c r="NSJ162" s="33"/>
      <c r="NSK162" s="33"/>
      <c r="NSL162" s="33"/>
      <c r="NSM162" s="33"/>
      <c r="NSN162" s="33"/>
      <c r="NSO162" s="33"/>
      <c r="NSP162" s="33"/>
      <c r="NSQ162" s="33"/>
      <c r="NSR162" s="33"/>
      <c r="NSS162" s="33"/>
      <c r="NST162" s="33"/>
      <c r="NSU162" s="33"/>
      <c r="NSV162" s="33"/>
      <c r="NSW162" s="33"/>
      <c r="NSX162" s="33"/>
      <c r="NSY162" s="33"/>
      <c r="NSZ162" s="33"/>
      <c r="NTA162" s="33"/>
      <c r="NTB162" s="33"/>
      <c r="NTC162" s="33"/>
      <c r="NTD162" s="33"/>
      <c r="NTE162" s="33"/>
      <c r="NTF162" s="33"/>
      <c r="NTG162" s="33"/>
      <c r="NTH162" s="33"/>
      <c r="NTI162" s="33"/>
      <c r="NTJ162" s="33"/>
      <c r="NTK162" s="33"/>
      <c r="NTL162" s="33"/>
      <c r="NTM162" s="33"/>
      <c r="NTN162" s="33"/>
      <c r="NTO162" s="33"/>
      <c r="NTP162" s="33"/>
      <c r="NTQ162" s="33"/>
      <c r="NTR162" s="33"/>
      <c r="NTS162" s="33"/>
      <c r="NTT162" s="33"/>
      <c r="NTU162" s="33"/>
      <c r="NTV162" s="33"/>
      <c r="NTW162" s="33"/>
      <c r="NTX162" s="33"/>
      <c r="NTY162" s="33"/>
      <c r="NTZ162" s="33"/>
      <c r="NUA162" s="33"/>
      <c r="NUB162" s="33"/>
      <c r="NUC162" s="33"/>
      <c r="NUD162" s="33"/>
      <c r="NUE162" s="33"/>
      <c r="NUF162" s="33"/>
      <c r="NUG162" s="33"/>
      <c r="NUH162" s="33"/>
      <c r="NUI162" s="33"/>
      <c r="NUJ162" s="33"/>
      <c r="NUK162" s="33"/>
      <c r="NUL162" s="33"/>
      <c r="NUM162" s="33"/>
      <c r="NUN162" s="33"/>
      <c r="NUO162" s="33"/>
      <c r="NUP162" s="33"/>
      <c r="NUQ162" s="33"/>
      <c r="NUR162" s="33"/>
      <c r="NUS162" s="33"/>
      <c r="NUT162" s="33"/>
      <c r="NUU162" s="33"/>
      <c r="NUV162" s="33"/>
      <c r="NUW162" s="33"/>
      <c r="NUX162" s="33"/>
      <c r="NUY162" s="33"/>
      <c r="NUZ162" s="33"/>
      <c r="NVA162" s="33"/>
      <c r="NVB162" s="33"/>
      <c r="NVC162" s="33"/>
      <c r="NVD162" s="33"/>
      <c r="NVE162" s="33"/>
      <c r="NVF162" s="33"/>
      <c r="NVG162" s="33"/>
      <c r="NVH162" s="33"/>
      <c r="NVI162" s="33"/>
      <c r="NVJ162" s="33"/>
      <c r="NVK162" s="33"/>
      <c r="NVL162" s="33"/>
      <c r="NVM162" s="33"/>
      <c r="NVN162" s="33"/>
      <c r="NVO162" s="33"/>
      <c r="NVP162" s="33"/>
      <c r="NVQ162" s="33"/>
      <c r="NVR162" s="33"/>
      <c r="NVS162" s="33"/>
      <c r="NVT162" s="33"/>
      <c r="NVU162" s="33"/>
      <c r="NVV162" s="33"/>
      <c r="NVW162" s="33"/>
      <c r="NVX162" s="33"/>
      <c r="NVY162" s="33"/>
      <c r="NVZ162" s="33"/>
      <c r="NWA162" s="33"/>
      <c r="NWB162" s="33"/>
      <c r="NWC162" s="33"/>
      <c r="NWD162" s="33"/>
      <c r="NWE162" s="33"/>
      <c r="NWF162" s="33"/>
      <c r="NWG162" s="33"/>
      <c r="NWH162" s="33"/>
      <c r="NWI162" s="33"/>
      <c r="NWJ162" s="33"/>
      <c r="NWK162" s="33"/>
      <c r="NWL162" s="33"/>
      <c r="NWM162" s="33"/>
      <c r="NWN162" s="33"/>
      <c r="NWO162" s="33"/>
      <c r="NWP162" s="33"/>
      <c r="NWQ162" s="33"/>
      <c r="NWR162" s="33"/>
      <c r="NWS162" s="33"/>
      <c r="NWT162" s="33"/>
      <c r="NWU162" s="33"/>
      <c r="NWV162" s="33"/>
      <c r="NWW162" s="33"/>
      <c r="NWX162" s="33"/>
      <c r="NWY162" s="33"/>
      <c r="NWZ162" s="33"/>
      <c r="NXA162" s="33"/>
      <c r="NXB162" s="33"/>
      <c r="NXC162" s="33"/>
      <c r="NXD162" s="33"/>
      <c r="NXE162" s="33"/>
      <c r="NXF162" s="33"/>
      <c r="NXG162" s="33"/>
      <c r="NXH162" s="33"/>
      <c r="NXI162" s="33"/>
      <c r="NXJ162" s="33"/>
      <c r="NXK162" s="33"/>
      <c r="NXL162" s="33"/>
      <c r="NXM162" s="33"/>
      <c r="NXN162" s="33"/>
      <c r="NXO162" s="33"/>
      <c r="NXP162" s="33"/>
      <c r="NXQ162" s="33"/>
      <c r="NXR162" s="33"/>
      <c r="NXS162" s="33"/>
      <c r="NXT162" s="33"/>
      <c r="NXU162" s="33"/>
      <c r="NXV162" s="33"/>
      <c r="NXW162" s="33"/>
      <c r="NXX162" s="33"/>
      <c r="NXY162" s="33"/>
      <c r="NXZ162" s="33"/>
      <c r="NYA162" s="33"/>
      <c r="NYB162" s="33"/>
      <c r="NYC162" s="33"/>
      <c r="NYD162" s="33"/>
      <c r="NYE162" s="33"/>
      <c r="NYF162" s="33"/>
      <c r="NYG162" s="33"/>
      <c r="NYH162" s="33"/>
      <c r="NYI162" s="33"/>
      <c r="NYJ162" s="33"/>
      <c r="NYK162" s="33"/>
      <c r="NYL162" s="33"/>
      <c r="NYM162" s="33"/>
      <c r="NYN162" s="33"/>
      <c r="NYO162" s="33"/>
      <c r="NYP162" s="33"/>
      <c r="NYQ162" s="33"/>
      <c r="NYR162" s="33"/>
      <c r="NYS162" s="33"/>
      <c r="NYT162" s="33"/>
      <c r="NYU162" s="33"/>
      <c r="NYV162" s="33"/>
      <c r="NYW162" s="33"/>
      <c r="NYX162" s="33"/>
      <c r="NYY162" s="33"/>
      <c r="NYZ162" s="33"/>
      <c r="NZA162" s="33"/>
      <c r="NZB162" s="33"/>
      <c r="NZC162" s="33"/>
      <c r="NZD162" s="33"/>
      <c r="NZE162" s="33"/>
      <c r="NZF162" s="33"/>
      <c r="NZG162" s="33"/>
      <c r="NZH162" s="33"/>
      <c r="NZI162" s="33"/>
      <c r="NZJ162" s="33"/>
      <c r="NZK162" s="33"/>
      <c r="NZL162" s="33"/>
      <c r="NZM162" s="33"/>
      <c r="NZN162" s="33"/>
      <c r="NZO162" s="33"/>
      <c r="NZP162" s="33"/>
      <c r="NZQ162" s="33"/>
      <c r="NZR162" s="33"/>
      <c r="NZS162" s="33"/>
      <c r="NZT162" s="33"/>
      <c r="NZU162" s="33"/>
      <c r="NZV162" s="33"/>
      <c r="NZW162" s="33"/>
      <c r="NZX162" s="33"/>
      <c r="NZY162" s="33"/>
      <c r="NZZ162" s="33"/>
      <c r="OAA162" s="33"/>
      <c r="OAB162" s="33"/>
      <c r="OAC162" s="33"/>
      <c r="OAD162" s="33"/>
      <c r="OAE162" s="33"/>
      <c r="OAF162" s="33"/>
      <c r="OAG162" s="33"/>
      <c r="OAH162" s="33"/>
      <c r="OAI162" s="33"/>
      <c r="OAJ162" s="33"/>
      <c r="OAK162" s="33"/>
      <c r="OAL162" s="33"/>
      <c r="OAM162" s="33"/>
      <c r="OAN162" s="33"/>
      <c r="OAO162" s="33"/>
      <c r="OAP162" s="33"/>
      <c r="OAQ162" s="33"/>
      <c r="OAR162" s="33"/>
      <c r="OAS162" s="33"/>
      <c r="OAT162" s="33"/>
      <c r="OAU162" s="33"/>
      <c r="OAV162" s="33"/>
      <c r="OAW162" s="33"/>
      <c r="OAX162" s="33"/>
      <c r="OAY162" s="33"/>
      <c r="OAZ162" s="33"/>
      <c r="OBA162" s="33"/>
      <c r="OBB162" s="33"/>
      <c r="OBC162" s="33"/>
      <c r="OBD162" s="33"/>
      <c r="OBE162" s="33"/>
      <c r="OBF162" s="33"/>
      <c r="OBG162" s="33"/>
      <c r="OBH162" s="33"/>
      <c r="OBI162" s="33"/>
      <c r="OBJ162" s="33"/>
      <c r="OBK162" s="33"/>
      <c r="OBL162" s="33"/>
      <c r="OBM162" s="33"/>
      <c r="OBN162" s="33"/>
      <c r="OBO162" s="33"/>
      <c r="OBP162" s="33"/>
      <c r="OBQ162" s="33"/>
      <c r="OBR162" s="33"/>
      <c r="OBS162" s="33"/>
      <c r="OBT162" s="33"/>
      <c r="OBU162" s="33"/>
      <c r="OBV162" s="33"/>
      <c r="OBW162" s="33"/>
      <c r="OBX162" s="33"/>
      <c r="OBY162" s="33"/>
      <c r="OBZ162" s="33"/>
      <c r="OCA162" s="33"/>
      <c r="OCB162" s="33"/>
      <c r="OCC162" s="33"/>
      <c r="OCD162" s="33"/>
      <c r="OCE162" s="33"/>
      <c r="OCF162" s="33"/>
      <c r="OCG162" s="33"/>
      <c r="OCH162" s="33"/>
      <c r="OCI162" s="33"/>
      <c r="OCJ162" s="33"/>
      <c r="OCK162" s="33"/>
      <c r="OCL162" s="33"/>
      <c r="OCM162" s="33"/>
      <c r="OCN162" s="33"/>
      <c r="OCO162" s="33"/>
      <c r="OCP162" s="33"/>
      <c r="OCQ162" s="33"/>
      <c r="OCR162" s="33"/>
      <c r="OCS162" s="33"/>
      <c r="OCT162" s="33"/>
      <c r="OCU162" s="33"/>
      <c r="OCV162" s="33"/>
      <c r="OCW162" s="33"/>
      <c r="OCX162" s="33"/>
      <c r="OCY162" s="33"/>
      <c r="OCZ162" s="33"/>
      <c r="ODA162" s="33"/>
      <c r="ODB162" s="33"/>
      <c r="ODC162" s="33"/>
      <c r="ODD162" s="33"/>
      <c r="ODE162" s="33"/>
      <c r="ODF162" s="33"/>
      <c r="ODG162" s="33"/>
      <c r="ODH162" s="33"/>
      <c r="ODI162" s="33"/>
      <c r="ODJ162" s="33"/>
      <c r="ODK162" s="33"/>
      <c r="ODL162" s="33"/>
      <c r="ODM162" s="33"/>
      <c r="ODN162" s="33"/>
      <c r="ODO162" s="33"/>
      <c r="ODP162" s="33"/>
      <c r="ODQ162" s="33"/>
      <c r="ODR162" s="33"/>
      <c r="ODS162" s="33"/>
      <c r="ODT162" s="33"/>
      <c r="ODU162" s="33"/>
      <c r="ODV162" s="33"/>
      <c r="ODW162" s="33"/>
      <c r="ODX162" s="33"/>
      <c r="ODY162" s="33"/>
      <c r="ODZ162" s="33"/>
      <c r="OEA162" s="33"/>
      <c r="OEB162" s="33"/>
      <c r="OEC162" s="33"/>
      <c r="OED162" s="33"/>
      <c r="OEE162" s="33"/>
      <c r="OEF162" s="33"/>
      <c r="OEG162" s="33"/>
      <c r="OEH162" s="33"/>
      <c r="OEI162" s="33"/>
      <c r="OEJ162" s="33"/>
      <c r="OEK162" s="33"/>
      <c r="OEL162" s="33"/>
      <c r="OEM162" s="33"/>
      <c r="OEN162" s="33"/>
      <c r="OEO162" s="33"/>
      <c r="OEP162" s="33"/>
      <c r="OEQ162" s="33"/>
      <c r="OER162" s="33"/>
      <c r="OES162" s="33"/>
      <c r="OET162" s="33"/>
      <c r="OEU162" s="33"/>
      <c r="OEV162" s="33"/>
      <c r="OEW162" s="33"/>
      <c r="OEX162" s="33"/>
      <c r="OEY162" s="33"/>
      <c r="OEZ162" s="33"/>
      <c r="OFA162" s="33"/>
      <c r="OFB162" s="33"/>
      <c r="OFC162" s="33"/>
      <c r="OFD162" s="33"/>
      <c r="OFE162" s="33"/>
      <c r="OFF162" s="33"/>
      <c r="OFG162" s="33"/>
      <c r="OFH162" s="33"/>
      <c r="OFI162" s="33"/>
      <c r="OFJ162" s="33"/>
      <c r="OFK162" s="33"/>
      <c r="OFL162" s="33"/>
      <c r="OFM162" s="33"/>
      <c r="OFN162" s="33"/>
      <c r="OFO162" s="33"/>
      <c r="OFP162" s="33"/>
      <c r="OFQ162" s="33"/>
      <c r="OFR162" s="33"/>
      <c r="OFS162" s="33"/>
      <c r="OFT162" s="33"/>
      <c r="OFU162" s="33"/>
      <c r="OFV162" s="33"/>
      <c r="OFW162" s="33"/>
      <c r="OFX162" s="33"/>
      <c r="OFY162" s="33"/>
      <c r="OFZ162" s="33"/>
      <c r="OGA162" s="33"/>
      <c r="OGB162" s="33"/>
      <c r="OGC162" s="33"/>
      <c r="OGD162" s="33"/>
      <c r="OGE162" s="33"/>
      <c r="OGF162" s="33"/>
      <c r="OGG162" s="33"/>
      <c r="OGH162" s="33"/>
      <c r="OGI162" s="33"/>
      <c r="OGJ162" s="33"/>
      <c r="OGK162" s="33"/>
      <c r="OGL162" s="33"/>
      <c r="OGM162" s="33"/>
      <c r="OGN162" s="33"/>
      <c r="OGO162" s="33"/>
      <c r="OGP162" s="33"/>
      <c r="OGQ162" s="33"/>
      <c r="OGR162" s="33"/>
      <c r="OGS162" s="33"/>
      <c r="OGT162" s="33"/>
      <c r="OGU162" s="33"/>
      <c r="OGV162" s="33"/>
      <c r="OGW162" s="33"/>
      <c r="OGX162" s="33"/>
      <c r="OGY162" s="33"/>
      <c r="OGZ162" s="33"/>
      <c r="OHA162" s="33"/>
      <c r="OHB162" s="33"/>
      <c r="OHC162" s="33"/>
      <c r="OHD162" s="33"/>
      <c r="OHE162" s="33"/>
      <c r="OHF162" s="33"/>
      <c r="OHG162" s="33"/>
      <c r="OHH162" s="33"/>
      <c r="OHI162" s="33"/>
      <c r="OHJ162" s="33"/>
      <c r="OHK162" s="33"/>
      <c r="OHL162" s="33"/>
      <c r="OHM162" s="33"/>
      <c r="OHN162" s="33"/>
      <c r="OHO162" s="33"/>
      <c r="OHP162" s="33"/>
      <c r="OHQ162" s="33"/>
      <c r="OHR162" s="33"/>
      <c r="OHS162" s="33"/>
      <c r="OHT162" s="33"/>
      <c r="OHU162" s="33"/>
      <c r="OHV162" s="33"/>
      <c r="OHW162" s="33"/>
      <c r="OHX162" s="33"/>
      <c r="OHY162" s="33"/>
      <c r="OHZ162" s="33"/>
      <c r="OIA162" s="33"/>
      <c r="OIB162" s="33"/>
      <c r="OIC162" s="33"/>
      <c r="OID162" s="33"/>
      <c r="OIE162" s="33"/>
      <c r="OIF162" s="33"/>
      <c r="OIG162" s="33"/>
      <c r="OIH162" s="33"/>
      <c r="OII162" s="33"/>
      <c r="OIJ162" s="33"/>
      <c r="OIK162" s="33"/>
      <c r="OIL162" s="33"/>
      <c r="OIM162" s="33"/>
      <c r="OIN162" s="33"/>
      <c r="OIO162" s="33"/>
      <c r="OIP162" s="33"/>
      <c r="OIQ162" s="33"/>
      <c r="OIR162" s="33"/>
      <c r="OIS162" s="33"/>
      <c r="OIT162" s="33"/>
      <c r="OIU162" s="33"/>
      <c r="OIV162" s="33"/>
      <c r="OIW162" s="33"/>
      <c r="OIX162" s="33"/>
      <c r="OIY162" s="33"/>
      <c r="OIZ162" s="33"/>
      <c r="OJA162" s="33"/>
      <c r="OJB162" s="33"/>
      <c r="OJC162" s="33"/>
      <c r="OJD162" s="33"/>
      <c r="OJE162" s="33"/>
      <c r="OJF162" s="33"/>
      <c r="OJG162" s="33"/>
      <c r="OJH162" s="33"/>
      <c r="OJI162" s="33"/>
      <c r="OJJ162" s="33"/>
      <c r="OJK162" s="33"/>
      <c r="OJL162" s="33"/>
      <c r="OJM162" s="33"/>
      <c r="OJN162" s="33"/>
      <c r="OJO162" s="33"/>
      <c r="OJP162" s="33"/>
      <c r="OJQ162" s="33"/>
      <c r="OJR162" s="33"/>
      <c r="OJS162" s="33"/>
      <c r="OJT162" s="33"/>
      <c r="OJU162" s="33"/>
      <c r="OJV162" s="33"/>
      <c r="OJW162" s="33"/>
      <c r="OJX162" s="33"/>
      <c r="OJY162" s="33"/>
      <c r="OJZ162" s="33"/>
      <c r="OKA162" s="33"/>
      <c r="OKB162" s="33"/>
      <c r="OKC162" s="33"/>
      <c r="OKD162" s="33"/>
      <c r="OKE162" s="33"/>
      <c r="OKF162" s="33"/>
      <c r="OKG162" s="33"/>
      <c r="OKH162" s="33"/>
      <c r="OKI162" s="33"/>
      <c r="OKJ162" s="33"/>
      <c r="OKK162" s="33"/>
      <c r="OKL162" s="33"/>
      <c r="OKM162" s="33"/>
      <c r="OKN162" s="33"/>
      <c r="OKO162" s="33"/>
      <c r="OKP162" s="33"/>
      <c r="OKQ162" s="33"/>
      <c r="OKR162" s="33"/>
      <c r="OKS162" s="33"/>
      <c r="OKT162" s="33"/>
      <c r="OKU162" s="33"/>
      <c r="OKV162" s="33"/>
      <c r="OKW162" s="33"/>
      <c r="OKX162" s="33"/>
      <c r="OKY162" s="33"/>
      <c r="OKZ162" s="33"/>
      <c r="OLA162" s="33"/>
      <c r="OLB162" s="33"/>
      <c r="OLC162" s="33"/>
      <c r="OLD162" s="33"/>
      <c r="OLE162" s="33"/>
      <c r="OLF162" s="33"/>
      <c r="OLG162" s="33"/>
      <c r="OLH162" s="33"/>
      <c r="OLI162" s="33"/>
      <c r="OLJ162" s="33"/>
      <c r="OLK162" s="33"/>
      <c r="OLL162" s="33"/>
      <c r="OLM162" s="33"/>
      <c r="OLN162" s="33"/>
      <c r="OLO162" s="33"/>
      <c r="OLP162" s="33"/>
      <c r="OLQ162" s="33"/>
      <c r="OLR162" s="33"/>
      <c r="OLS162" s="33"/>
      <c r="OLT162" s="33"/>
      <c r="OLU162" s="33"/>
      <c r="OLV162" s="33"/>
      <c r="OLW162" s="33"/>
      <c r="OLX162" s="33"/>
      <c r="OLY162" s="33"/>
      <c r="OLZ162" s="33"/>
      <c r="OMA162" s="33"/>
      <c r="OMB162" s="33"/>
      <c r="OMC162" s="33"/>
      <c r="OMD162" s="33"/>
      <c r="OME162" s="33"/>
      <c r="OMF162" s="33"/>
      <c r="OMG162" s="33"/>
      <c r="OMH162" s="33"/>
      <c r="OMI162" s="33"/>
      <c r="OMJ162" s="33"/>
      <c r="OMK162" s="33"/>
      <c r="OML162" s="33"/>
      <c r="OMM162" s="33"/>
      <c r="OMN162" s="33"/>
      <c r="OMO162" s="33"/>
      <c r="OMP162" s="33"/>
      <c r="OMQ162" s="33"/>
      <c r="OMR162" s="33"/>
      <c r="OMS162" s="33"/>
      <c r="OMT162" s="33"/>
      <c r="OMU162" s="33"/>
      <c r="OMV162" s="33"/>
      <c r="OMW162" s="33"/>
      <c r="OMX162" s="33"/>
      <c r="OMY162" s="33"/>
      <c r="OMZ162" s="33"/>
      <c r="ONA162" s="33"/>
      <c r="ONB162" s="33"/>
      <c r="ONC162" s="33"/>
      <c r="OND162" s="33"/>
      <c r="ONE162" s="33"/>
      <c r="ONF162" s="33"/>
      <c r="ONG162" s="33"/>
      <c r="ONH162" s="33"/>
      <c r="ONI162" s="33"/>
      <c r="ONJ162" s="33"/>
      <c r="ONK162" s="33"/>
      <c r="ONL162" s="33"/>
      <c r="ONM162" s="33"/>
      <c r="ONN162" s="33"/>
      <c r="ONO162" s="33"/>
      <c r="ONP162" s="33"/>
      <c r="ONQ162" s="33"/>
      <c r="ONR162" s="33"/>
      <c r="ONS162" s="33"/>
      <c r="ONT162" s="33"/>
      <c r="ONU162" s="33"/>
      <c r="ONV162" s="33"/>
      <c r="ONW162" s="33"/>
      <c r="ONX162" s="33"/>
      <c r="ONY162" s="33"/>
      <c r="ONZ162" s="33"/>
      <c r="OOA162" s="33"/>
      <c r="OOB162" s="33"/>
      <c r="OOC162" s="33"/>
      <c r="OOD162" s="33"/>
      <c r="OOE162" s="33"/>
      <c r="OOF162" s="33"/>
      <c r="OOG162" s="33"/>
      <c r="OOH162" s="33"/>
      <c r="OOI162" s="33"/>
      <c r="OOJ162" s="33"/>
      <c r="OOK162" s="33"/>
      <c r="OOL162" s="33"/>
      <c r="OOM162" s="33"/>
      <c r="OON162" s="33"/>
      <c r="OOO162" s="33"/>
      <c r="OOP162" s="33"/>
      <c r="OOQ162" s="33"/>
      <c r="OOR162" s="33"/>
      <c r="OOS162" s="33"/>
      <c r="OOT162" s="33"/>
      <c r="OOU162" s="33"/>
      <c r="OOV162" s="33"/>
      <c r="OOW162" s="33"/>
      <c r="OOX162" s="33"/>
      <c r="OOY162" s="33"/>
      <c r="OOZ162" s="33"/>
      <c r="OPA162" s="33"/>
      <c r="OPB162" s="33"/>
      <c r="OPC162" s="33"/>
      <c r="OPD162" s="33"/>
      <c r="OPE162" s="33"/>
      <c r="OPF162" s="33"/>
      <c r="OPG162" s="33"/>
      <c r="OPH162" s="33"/>
      <c r="OPI162" s="33"/>
      <c r="OPJ162" s="33"/>
      <c r="OPK162" s="33"/>
      <c r="OPL162" s="33"/>
      <c r="OPM162" s="33"/>
      <c r="OPN162" s="33"/>
      <c r="OPO162" s="33"/>
      <c r="OPP162" s="33"/>
      <c r="OPQ162" s="33"/>
      <c r="OPR162" s="33"/>
      <c r="OPS162" s="33"/>
      <c r="OPT162" s="33"/>
      <c r="OPU162" s="33"/>
      <c r="OPV162" s="33"/>
      <c r="OPW162" s="33"/>
      <c r="OPX162" s="33"/>
      <c r="OPY162" s="33"/>
      <c r="OPZ162" s="33"/>
      <c r="OQA162" s="33"/>
      <c r="OQB162" s="33"/>
      <c r="OQC162" s="33"/>
      <c r="OQD162" s="33"/>
      <c r="OQE162" s="33"/>
      <c r="OQF162" s="33"/>
      <c r="OQG162" s="33"/>
      <c r="OQH162" s="33"/>
      <c r="OQI162" s="33"/>
      <c r="OQJ162" s="33"/>
      <c r="OQK162" s="33"/>
      <c r="OQL162" s="33"/>
      <c r="OQM162" s="33"/>
      <c r="OQN162" s="33"/>
      <c r="OQO162" s="33"/>
      <c r="OQP162" s="33"/>
      <c r="OQQ162" s="33"/>
      <c r="OQR162" s="33"/>
      <c r="OQS162" s="33"/>
      <c r="OQT162" s="33"/>
      <c r="OQU162" s="33"/>
      <c r="OQV162" s="33"/>
      <c r="OQW162" s="33"/>
      <c r="OQX162" s="33"/>
      <c r="OQY162" s="33"/>
      <c r="OQZ162" s="33"/>
      <c r="ORA162" s="33"/>
      <c r="ORB162" s="33"/>
      <c r="ORC162" s="33"/>
      <c r="ORD162" s="33"/>
      <c r="ORE162" s="33"/>
      <c r="ORF162" s="33"/>
      <c r="ORG162" s="33"/>
      <c r="ORH162" s="33"/>
      <c r="ORI162" s="33"/>
      <c r="ORJ162" s="33"/>
      <c r="ORK162" s="33"/>
      <c r="ORL162" s="33"/>
      <c r="ORM162" s="33"/>
      <c r="ORN162" s="33"/>
      <c r="ORO162" s="33"/>
      <c r="ORP162" s="33"/>
      <c r="ORQ162" s="33"/>
      <c r="ORR162" s="33"/>
      <c r="ORS162" s="33"/>
      <c r="ORT162" s="33"/>
      <c r="ORU162" s="33"/>
      <c r="ORV162" s="33"/>
      <c r="ORW162" s="33"/>
      <c r="ORX162" s="33"/>
      <c r="ORY162" s="33"/>
      <c r="ORZ162" s="33"/>
      <c r="OSA162" s="33"/>
      <c r="OSB162" s="33"/>
      <c r="OSC162" s="33"/>
      <c r="OSD162" s="33"/>
      <c r="OSE162" s="33"/>
      <c r="OSF162" s="33"/>
      <c r="OSG162" s="33"/>
      <c r="OSH162" s="33"/>
      <c r="OSI162" s="33"/>
      <c r="OSJ162" s="33"/>
      <c r="OSK162" s="33"/>
      <c r="OSL162" s="33"/>
      <c r="OSM162" s="33"/>
      <c r="OSN162" s="33"/>
      <c r="OSO162" s="33"/>
      <c r="OSP162" s="33"/>
      <c r="OSQ162" s="33"/>
      <c r="OSR162" s="33"/>
      <c r="OSS162" s="33"/>
      <c r="OST162" s="33"/>
      <c r="OSU162" s="33"/>
      <c r="OSV162" s="33"/>
      <c r="OSW162" s="33"/>
      <c r="OSX162" s="33"/>
      <c r="OSY162" s="33"/>
      <c r="OSZ162" s="33"/>
      <c r="OTA162" s="33"/>
      <c r="OTB162" s="33"/>
      <c r="OTC162" s="33"/>
      <c r="OTD162" s="33"/>
      <c r="OTE162" s="33"/>
      <c r="OTF162" s="33"/>
      <c r="OTG162" s="33"/>
      <c r="OTH162" s="33"/>
      <c r="OTI162" s="33"/>
      <c r="OTJ162" s="33"/>
      <c r="OTK162" s="33"/>
      <c r="OTL162" s="33"/>
      <c r="OTM162" s="33"/>
      <c r="OTN162" s="33"/>
      <c r="OTO162" s="33"/>
      <c r="OTP162" s="33"/>
      <c r="OTQ162" s="33"/>
      <c r="OTR162" s="33"/>
      <c r="OTS162" s="33"/>
      <c r="OTT162" s="33"/>
      <c r="OTU162" s="33"/>
      <c r="OTV162" s="33"/>
      <c r="OTW162" s="33"/>
      <c r="OTX162" s="33"/>
      <c r="OTY162" s="33"/>
      <c r="OTZ162" s="33"/>
      <c r="OUA162" s="33"/>
      <c r="OUB162" s="33"/>
      <c r="OUC162" s="33"/>
      <c r="OUD162" s="33"/>
      <c r="OUE162" s="33"/>
      <c r="OUF162" s="33"/>
      <c r="OUG162" s="33"/>
      <c r="OUH162" s="33"/>
      <c r="OUI162" s="33"/>
      <c r="OUJ162" s="33"/>
      <c r="OUK162" s="33"/>
      <c r="OUL162" s="33"/>
      <c r="OUM162" s="33"/>
      <c r="OUN162" s="33"/>
      <c r="OUO162" s="33"/>
      <c r="OUP162" s="33"/>
      <c r="OUQ162" s="33"/>
      <c r="OUR162" s="33"/>
      <c r="OUS162" s="33"/>
      <c r="OUT162" s="33"/>
      <c r="OUU162" s="33"/>
      <c r="OUV162" s="33"/>
      <c r="OUW162" s="33"/>
      <c r="OUX162" s="33"/>
      <c r="OUY162" s="33"/>
      <c r="OUZ162" s="33"/>
      <c r="OVA162" s="33"/>
      <c r="OVB162" s="33"/>
      <c r="OVC162" s="33"/>
      <c r="OVD162" s="33"/>
      <c r="OVE162" s="33"/>
      <c r="OVF162" s="33"/>
      <c r="OVG162" s="33"/>
      <c r="OVH162" s="33"/>
      <c r="OVI162" s="33"/>
      <c r="OVJ162" s="33"/>
      <c r="OVK162" s="33"/>
      <c r="OVL162" s="33"/>
      <c r="OVM162" s="33"/>
      <c r="OVN162" s="33"/>
      <c r="OVO162" s="33"/>
      <c r="OVP162" s="33"/>
      <c r="OVQ162" s="33"/>
      <c r="OVR162" s="33"/>
      <c r="OVS162" s="33"/>
      <c r="OVT162" s="33"/>
      <c r="OVU162" s="33"/>
      <c r="OVV162" s="33"/>
      <c r="OVW162" s="33"/>
      <c r="OVX162" s="33"/>
      <c r="OVY162" s="33"/>
      <c r="OVZ162" s="33"/>
      <c r="OWA162" s="33"/>
      <c r="OWB162" s="33"/>
      <c r="OWC162" s="33"/>
      <c r="OWD162" s="33"/>
      <c r="OWE162" s="33"/>
      <c r="OWF162" s="33"/>
      <c r="OWG162" s="33"/>
      <c r="OWH162" s="33"/>
      <c r="OWI162" s="33"/>
      <c r="OWJ162" s="33"/>
      <c r="OWK162" s="33"/>
      <c r="OWL162" s="33"/>
      <c r="OWM162" s="33"/>
      <c r="OWN162" s="33"/>
      <c r="OWO162" s="33"/>
      <c r="OWP162" s="33"/>
      <c r="OWQ162" s="33"/>
      <c r="OWR162" s="33"/>
      <c r="OWS162" s="33"/>
      <c r="OWT162" s="33"/>
      <c r="OWU162" s="33"/>
      <c r="OWV162" s="33"/>
      <c r="OWW162" s="33"/>
      <c r="OWX162" s="33"/>
      <c r="OWY162" s="33"/>
      <c r="OWZ162" s="33"/>
      <c r="OXA162" s="33"/>
      <c r="OXB162" s="33"/>
      <c r="OXC162" s="33"/>
      <c r="OXD162" s="33"/>
      <c r="OXE162" s="33"/>
      <c r="OXF162" s="33"/>
      <c r="OXG162" s="33"/>
      <c r="OXH162" s="33"/>
      <c r="OXI162" s="33"/>
      <c r="OXJ162" s="33"/>
      <c r="OXK162" s="33"/>
      <c r="OXL162" s="33"/>
      <c r="OXM162" s="33"/>
      <c r="OXN162" s="33"/>
      <c r="OXO162" s="33"/>
      <c r="OXP162" s="33"/>
      <c r="OXQ162" s="33"/>
      <c r="OXR162" s="33"/>
      <c r="OXS162" s="33"/>
      <c r="OXT162" s="33"/>
      <c r="OXU162" s="33"/>
      <c r="OXV162" s="33"/>
      <c r="OXW162" s="33"/>
      <c r="OXX162" s="33"/>
      <c r="OXY162" s="33"/>
      <c r="OXZ162" s="33"/>
      <c r="OYA162" s="33"/>
      <c r="OYB162" s="33"/>
      <c r="OYC162" s="33"/>
      <c r="OYD162" s="33"/>
      <c r="OYE162" s="33"/>
      <c r="OYF162" s="33"/>
      <c r="OYG162" s="33"/>
      <c r="OYH162" s="33"/>
      <c r="OYI162" s="33"/>
      <c r="OYJ162" s="33"/>
      <c r="OYK162" s="33"/>
      <c r="OYL162" s="33"/>
      <c r="OYM162" s="33"/>
      <c r="OYN162" s="33"/>
      <c r="OYO162" s="33"/>
      <c r="OYP162" s="33"/>
      <c r="OYQ162" s="33"/>
      <c r="OYR162" s="33"/>
      <c r="OYS162" s="33"/>
      <c r="OYT162" s="33"/>
      <c r="OYU162" s="33"/>
      <c r="OYV162" s="33"/>
      <c r="OYW162" s="33"/>
      <c r="OYX162" s="33"/>
      <c r="OYY162" s="33"/>
      <c r="OYZ162" s="33"/>
      <c r="OZA162" s="33"/>
      <c r="OZB162" s="33"/>
      <c r="OZC162" s="33"/>
      <c r="OZD162" s="33"/>
      <c r="OZE162" s="33"/>
      <c r="OZF162" s="33"/>
      <c r="OZG162" s="33"/>
      <c r="OZH162" s="33"/>
      <c r="OZI162" s="33"/>
      <c r="OZJ162" s="33"/>
      <c r="OZK162" s="33"/>
      <c r="OZL162" s="33"/>
      <c r="OZM162" s="33"/>
      <c r="OZN162" s="33"/>
      <c r="OZO162" s="33"/>
      <c r="OZP162" s="33"/>
      <c r="OZQ162" s="33"/>
      <c r="OZR162" s="33"/>
      <c r="OZS162" s="33"/>
      <c r="OZT162" s="33"/>
      <c r="OZU162" s="33"/>
      <c r="OZV162" s="33"/>
      <c r="OZW162" s="33"/>
      <c r="OZX162" s="33"/>
      <c r="OZY162" s="33"/>
      <c r="OZZ162" s="33"/>
      <c r="PAA162" s="33"/>
      <c r="PAB162" s="33"/>
      <c r="PAC162" s="33"/>
      <c r="PAD162" s="33"/>
      <c r="PAE162" s="33"/>
      <c r="PAF162" s="33"/>
      <c r="PAG162" s="33"/>
      <c r="PAH162" s="33"/>
      <c r="PAI162" s="33"/>
      <c r="PAJ162" s="33"/>
      <c r="PAK162" s="33"/>
      <c r="PAL162" s="33"/>
      <c r="PAM162" s="33"/>
      <c r="PAN162" s="33"/>
      <c r="PAO162" s="33"/>
      <c r="PAP162" s="33"/>
      <c r="PAQ162" s="33"/>
      <c r="PAR162" s="33"/>
      <c r="PAS162" s="33"/>
      <c r="PAT162" s="33"/>
      <c r="PAU162" s="33"/>
      <c r="PAV162" s="33"/>
      <c r="PAW162" s="33"/>
      <c r="PAX162" s="33"/>
      <c r="PAY162" s="33"/>
      <c r="PAZ162" s="33"/>
      <c r="PBA162" s="33"/>
      <c r="PBB162" s="33"/>
      <c r="PBC162" s="33"/>
      <c r="PBD162" s="33"/>
      <c r="PBE162" s="33"/>
      <c r="PBF162" s="33"/>
      <c r="PBG162" s="33"/>
      <c r="PBH162" s="33"/>
      <c r="PBI162" s="33"/>
      <c r="PBJ162" s="33"/>
      <c r="PBK162" s="33"/>
      <c r="PBL162" s="33"/>
      <c r="PBM162" s="33"/>
      <c r="PBN162" s="33"/>
      <c r="PBO162" s="33"/>
      <c r="PBP162" s="33"/>
      <c r="PBQ162" s="33"/>
      <c r="PBR162" s="33"/>
      <c r="PBS162" s="33"/>
      <c r="PBT162" s="33"/>
      <c r="PBU162" s="33"/>
      <c r="PBV162" s="33"/>
      <c r="PBW162" s="33"/>
      <c r="PBX162" s="33"/>
      <c r="PBY162" s="33"/>
      <c r="PBZ162" s="33"/>
      <c r="PCA162" s="33"/>
      <c r="PCB162" s="33"/>
      <c r="PCC162" s="33"/>
      <c r="PCD162" s="33"/>
      <c r="PCE162" s="33"/>
      <c r="PCF162" s="33"/>
      <c r="PCG162" s="33"/>
      <c r="PCH162" s="33"/>
      <c r="PCI162" s="33"/>
      <c r="PCJ162" s="33"/>
      <c r="PCK162" s="33"/>
      <c r="PCL162" s="33"/>
      <c r="PCM162" s="33"/>
      <c r="PCN162" s="33"/>
      <c r="PCO162" s="33"/>
      <c r="PCP162" s="33"/>
      <c r="PCQ162" s="33"/>
      <c r="PCR162" s="33"/>
      <c r="PCS162" s="33"/>
      <c r="PCT162" s="33"/>
      <c r="PCU162" s="33"/>
      <c r="PCV162" s="33"/>
      <c r="PCW162" s="33"/>
      <c r="PCX162" s="33"/>
      <c r="PCY162" s="33"/>
      <c r="PCZ162" s="33"/>
      <c r="PDA162" s="33"/>
      <c r="PDB162" s="33"/>
      <c r="PDC162" s="33"/>
      <c r="PDD162" s="33"/>
      <c r="PDE162" s="33"/>
      <c r="PDF162" s="33"/>
      <c r="PDG162" s="33"/>
      <c r="PDH162" s="33"/>
      <c r="PDI162" s="33"/>
      <c r="PDJ162" s="33"/>
      <c r="PDK162" s="33"/>
      <c r="PDL162" s="33"/>
      <c r="PDM162" s="33"/>
      <c r="PDN162" s="33"/>
      <c r="PDO162" s="33"/>
      <c r="PDP162" s="33"/>
      <c r="PDQ162" s="33"/>
      <c r="PDR162" s="33"/>
      <c r="PDS162" s="33"/>
      <c r="PDT162" s="33"/>
      <c r="PDU162" s="33"/>
      <c r="PDV162" s="33"/>
      <c r="PDW162" s="33"/>
      <c r="PDX162" s="33"/>
      <c r="PDY162" s="33"/>
      <c r="PDZ162" s="33"/>
      <c r="PEA162" s="33"/>
      <c r="PEB162" s="33"/>
      <c r="PEC162" s="33"/>
      <c r="PED162" s="33"/>
      <c r="PEE162" s="33"/>
      <c r="PEF162" s="33"/>
      <c r="PEG162" s="33"/>
      <c r="PEH162" s="33"/>
      <c r="PEI162" s="33"/>
      <c r="PEJ162" s="33"/>
      <c r="PEK162" s="33"/>
      <c r="PEL162" s="33"/>
      <c r="PEM162" s="33"/>
      <c r="PEN162" s="33"/>
      <c r="PEO162" s="33"/>
      <c r="PEP162" s="33"/>
      <c r="PEQ162" s="33"/>
      <c r="PER162" s="33"/>
      <c r="PES162" s="33"/>
      <c r="PET162" s="33"/>
      <c r="PEU162" s="33"/>
      <c r="PEV162" s="33"/>
      <c r="PEW162" s="33"/>
      <c r="PEX162" s="33"/>
      <c r="PEY162" s="33"/>
      <c r="PEZ162" s="33"/>
      <c r="PFA162" s="33"/>
      <c r="PFB162" s="33"/>
      <c r="PFC162" s="33"/>
      <c r="PFD162" s="33"/>
      <c r="PFE162" s="33"/>
      <c r="PFF162" s="33"/>
      <c r="PFG162" s="33"/>
      <c r="PFH162" s="33"/>
      <c r="PFI162" s="33"/>
      <c r="PFJ162" s="33"/>
      <c r="PFK162" s="33"/>
      <c r="PFL162" s="33"/>
      <c r="PFM162" s="33"/>
      <c r="PFN162" s="33"/>
      <c r="PFO162" s="33"/>
      <c r="PFP162" s="33"/>
      <c r="PFQ162" s="33"/>
      <c r="PFR162" s="33"/>
      <c r="PFS162" s="33"/>
      <c r="PFT162" s="33"/>
      <c r="PFU162" s="33"/>
      <c r="PFV162" s="33"/>
      <c r="PFW162" s="33"/>
      <c r="PFX162" s="33"/>
      <c r="PFY162" s="33"/>
      <c r="PFZ162" s="33"/>
      <c r="PGA162" s="33"/>
      <c r="PGB162" s="33"/>
      <c r="PGC162" s="33"/>
      <c r="PGD162" s="33"/>
      <c r="PGE162" s="33"/>
      <c r="PGF162" s="33"/>
      <c r="PGG162" s="33"/>
      <c r="PGH162" s="33"/>
      <c r="PGI162" s="33"/>
      <c r="PGJ162" s="33"/>
      <c r="PGK162" s="33"/>
      <c r="PGL162" s="33"/>
      <c r="PGM162" s="33"/>
      <c r="PGN162" s="33"/>
      <c r="PGO162" s="33"/>
      <c r="PGP162" s="33"/>
      <c r="PGQ162" s="33"/>
      <c r="PGR162" s="33"/>
      <c r="PGS162" s="33"/>
      <c r="PGT162" s="33"/>
      <c r="PGU162" s="33"/>
      <c r="PGV162" s="33"/>
      <c r="PGW162" s="33"/>
      <c r="PGX162" s="33"/>
      <c r="PGY162" s="33"/>
      <c r="PGZ162" s="33"/>
      <c r="PHA162" s="33"/>
      <c r="PHB162" s="33"/>
      <c r="PHC162" s="33"/>
      <c r="PHD162" s="33"/>
      <c r="PHE162" s="33"/>
      <c r="PHF162" s="33"/>
      <c r="PHG162" s="33"/>
      <c r="PHH162" s="33"/>
      <c r="PHI162" s="33"/>
      <c r="PHJ162" s="33"/>
      <c r="PHK162" s="33"/>
      <c r="PHL162" s="33"/>
      <c r="PHM162" s="33"/>
      <c r="PHN162" s="33"/>
      <c r="PHO162" s="33"/>
      <c r="PHP162" s="33"/>
      <c r="PHQ162" s="33"/>
      <c r="PHR162" s="33"/>
      <c r="PHS162" s="33"/>
      <c r="PHT162" s="33"/>
      <c r="PHU162" s="33"/>
      <c r="PHV162" s="33"/>
      <c r="PHW162" s="33"/>
      <c r="PHX162" s="33"/>
      <c r="PHY162" s="33"/>
      <c r="PHZ162" s="33"/>
      <c r="PIA162" s="33"/>
      <c r="PIB162" s="33"/>
      <c r="PIC162" s="33"/>
      <c r="PID162" s="33"/>
      <c r="PIE162" s="33"/>
      <c r="PIF162" s="33"/>
      <c r="PIG162" s="33"/>
      <c r="PIH162" s="33"/>
      <c r="PII162" s="33"/>
      <c r="PIJ162" s="33"/>
      <c r="PIK162" s="33"/>
      <c r="PIL162" s="33"/>
      <c r="PIM162" s="33"/>
      <c r="PIN162" s="33"/>
      <c r="PIO162" s="33"/>
      <c r="PIP162" s="33"/>
      <c r="PIQ162" s="33"/>
      <c r="PIR162" s="33"/>
      <c r="PIS162" s="33"/>
      <c r="PIT162" s="33"/>
      <c r="PIU162" s="33"/>
      <c r="PIV162" s="33"/>
      <c r="PIW162" s="33"/>
      <c r="PIX162" s="33"/>
      <c r="PIY162" s="33"/>
      <c r="PIZ162" s="33"/>
      <c r="PJA162" s="33"/>
      <c r="PJB162" s="33"/>
      <c r="PJC162" s="33"/>
      <c r="PJD162" s="33"/>
      <c r="PJE162" s="33"/>
      <c r="PJF162" s="33"/>
      <c r="PJG162" s="33"/>
      <c r="PJH162" s="33"/>
      <c r="PJI162" s="33"/>
      <c r="PJJ162" s="33"/>
      <c r="PJK162" s="33"/>
      <c r="PJL162" s="33"/>
      <c r="PJM162" s="33"/>
      <c r="PJN162" s="33"/>
      <c r="PJO162" s="33"/>
      <c r="PJP162" s="33"/>
      <c r="PJQ162" s="33"/>
      <c r="PJR162" s="33"/>
      <c r="PJS162" s="33"/>
      <c r="PJT162" s="33"/>
      <c r="PJU162" s="33"/>
      <c r="PJV162" s="33"/>
      <c r="PJW162" s="33"/>
      <c r="PJX162" s="33"/>
      <c r="PJY162" s="33"/>
      <c r="PJZ162" s="33"/>
      <c r="PKA162" s="33"/>
      <c r="PKB162" s="33"/>
      <c r="PKC162" s="33"/>
      <c r="PKD162" s="33"/>
      <c r="PKE162" s="33"/>
      <c r="PKF162" s="33"/>
      <c r="PKG162" s="33"/>
      <c r="PKH162" s="33"/>
      <c r="PKI162" s="33"/>
      <c r="PKJ162" s="33"/>
      <c r="PKK162" s="33"/>
      <c r="PKL162" s="33"/>
      <c r="PKM162" s="33"/>
      <c r="PKN162" s="33"/>
      <c r="PKO162" s="33"/>
      <c r="PKP162" s="33"/>
      <c r="PKQ162" s="33"/>
      <c r="PKR162" s="33"/>
      <c r="PKS162" s="33"/>
      <c r="PKT162" s="33"/>
      <c r="PKU162" s="33"/>
      <c r="PKV162" s="33"/>
      <c r="PKW162" s="33"/>
      <c r="PKX162" s="33"/>
      <c r="PKY162" s="33"/>
      <c r="PKZ162" s="33"/>
      <c r="PLA162" s="33"/>
      <c r="PLB162" s="33"/>
      <c r="PLC162" s="33"/>
      <c r="PLD162" s="33"/>
      <c r="PLE162" s="33"/>
      <c r="PLF162" s="33"/>
      <c r="PLG162" s="33"/>
      <c r="PLH162" s="33"/>
      <c r="PLI162" s="33"/>
      <c r="PLJ162" s="33"/>
      <c r="PLK162" s="33"/>
      <c r="PLL162" s="33"/>
      <c r="PLM162" s="33"/>
      <c r="PLN162" s="33"/>
      <c r="PLO162" s="33"/>
      <c r="PLP162" s="33"/>
      <c r="PLQ162" s="33"/>
      <c r="PLR162" s="33"/>
      <c r="PLS162" s="33"/>
      <c r="PLT162" s="33"/>
      <c r="PLU162" s="33"/>
      <c r="PLV162" s="33"/>
      <c r="PLW162" s="33"/>
      <c r="PLX162" s="33"/>
      <c r="PLY162" s="33"/>
      <c r="PLZ162" s="33"/>
      <c r="PMA162" s="33"/>
      <c r="PMB162" s="33"/>
      <c r="PMC162" s="33"/>
      <c r="PMD162" s="33"/>
      <c r="PME162" s="33"/>
      <c r="PMF162" s="33"/>
      <c r="PMG162" s="33"/>
      <c r="PMH162" s="33"/>
      <c r="PMI162" s="33"/>
      <c r="PMJ162" s="33"/>
      <c r="PMK162" s="33"/>
      <c r="PML162" s="33"/>
      <c r="PMM162" s="33"/>
      <c r="PMN162" s="33"/>
      <c r="PMO162" s="33"/>
      <c r="PMP162" s="33"/>
      <c r="PMQ162" s="33"/>
      <c r="PMR162" s="33"/>
      <c r="PMS162" s="33"/>
      <c r="PMT162" s="33"/>
      <c r="PMU162" s="33"/>
      <c r="PMV162" s="33"/>
      <c r="PMW162" s="33"/>
      <c r="PMX162" s="33"/>
      <c r="PMY162" s="33"/>
      <c r="PMZ162" s="33"/>
      <c r="PNA162" s="33"/>
      <c r="PNB162" s="33"/>
      <c r="PNC162" s="33"/>
      <c r="PND162" s="33"/>
      <c r="PNE162" s="33"/>
      <c r="PNF162" s="33"/>
      <c r="PNG162" s="33"/>
      <c r="PNH162" s="33"/>
      <c r="PNI162" s="33"/>
      <c r="PNJ162" s="33"/>
      <c r="PNK162" s="33"/>
      <c r="PNL162" s="33"/>
      <c r="PNM162" s="33"/>
      <c r="PNN162" s="33"/>
      <c r="PNO162" s="33"/>
      <c r="PNP162" s="33"/>
      <c r="PNQ162" s="33"/>
      <c r="PNR162" s="33"/>
      <c r="PNS162" s="33"/>
      <c r="PNT162" s="33"/>
      <c r="PNU162" s="33"/>
      <c r="PNV162" s="33"/>
      <c r="PNW162" s="33"/>
      <c r="PNX162" s="33"/>
      <c r="PNY162" s="33"/>
      <c r="PNZ162" s="33"/>
      <c r="POA162" s="33"/>
      <c r="POB162" s="33"/>
      <c r="POC162" s="33"/>
      <c r="POD162" s="33"/>
      <c r="POE162" s="33"/>
      <c r="POF162" s="33"/>
      <c r="POG162" s="33"/>
      <c r="POH162" s="33"/>
      <c r="POI162" s="33"/>
      <c r="POJ162" s="33"/>
      <c r="POK162" s="33"/>
      <c r="POL162" s="33"/>
      <c r="POM162" s="33"/>
      <c r="PON162" s="33"/>
      <c r="POO162" s="33"/>
      <c r="POP162" s="33"/>
      <c r="POQ162" s="33"/>
      <c r="POR162" s="33"/>
      <c r="POS162" s="33"/>
      <c r="POT162" s="33"/>
      <c r="POU162" s="33"/>
      <c r="POV162" s="33"/>
      <c r="POW162" s="33"/>
      <c r="POX162" s="33"/>
      <c r="POY162" s="33"/>
      <c r="POZ162" s="33"/>
      <c r="PPA162" s="33"/>
      <c r="PPB162" s="33"/>
      <c r="PPC162" s="33"/>
      <c r="PPD162" s="33"/>
      <c r="PPE162" s="33"/>
      <c r="PPF162" s="33"/>
      <c r="PPG162" s="33"/>
      <c r="PPH162" s="33"/>
      <c r="PPI162" s="33"/>
      <c r="PPJ162" s="33"/>
      <c r="PPK162" s="33"/>
      <c r="PPL162" s="33"/>
      <c r="PPM162" s="33"/>
      <c r="PPN162" s="33"/>
      <c r="PPO162" s="33"/>
      <c r="PPP162" s="33"/>
      <c r="PPQ162" s="33"/>
      <c r="PPR162" s="33"/>
      <c r="PPS162" s="33"/>
      <c r="PPT162" s="33"/>
      <c r="PPU162" s="33"/>
      <c r="PPV162" s="33"/>
      <c r="PPW162" s="33"/>
      <c r="PPX162" s="33"/>
      <c r="PPY162" s="33"/>
      <c r="PPZ162" s="33"/>
      <c r="PQA162" s="33"/>
      <c r="PQB162" s="33"/>
      <c r="PQC162" s="33"/>
      <c r="PQD162" s="33"/>
      <c r="PQE162" s="33"/>
      <c r="PQF162" s="33"/>
      <c r="PQG162" s="33"/>
      <c r="PQH162" s="33"/>
      <c r="PQI162" s="33"/>
      <c r="PQJ162" s="33"/>
      <c r="PQK162" s="33"/>
      <c r="PQL162" s="33"/>
      <c r="PQM162" s="33"/>
      <c r="PQN162" s="33"/>
      <c r="PQO162" s="33"/>
      <c r="PQP162" s="33"/>
      <c r="PQQ162" s="33"/>
      <c r="PQR162" s="33"/>
      <c r="PQS162" s="33"/>
      <c r="PQT162" s="33"/>
      <c r="PQU162" s="33"/>
      <c r="PQV162" s="33"/>
      <c r="PQW162" s="33"/>
      <c r="PQX162" s="33"/>
      <c r="PQY162" s="33"/>
      <c r="PQZ162" s="33"/>
      <c r="PRA162" s="33"/>
      <c r="PRB162" s="33"/>
      <c r="PRC162" s="33"/>
      <c r="PRD162" s="33"/>
      <c r="PRE162" s="33"/>
      <c r="PRF162" s="33"/>
      <c r="PRG162" s="33"/>
      <c r="PRH162" s="33"/>
      <c r="PRI162" s="33"/>
      <c r="PRJ162" s="33"/>
      <c r="PRK162" s="33"/>
      <c r="PRL162" s="33"/>
      <c r="PRM162" s="33"/>
      <c r="PRN162" s="33"/>
      <c r="PRO162" s="33"/>
      <c r="PRP162" s="33"/>
      <c r="PRQ162" s="33"/>
      <c r="PRR162" s="33"/>
      <c r="PRS162" s="33"/>
      <c r="PRT162" s="33"/>
      <c r="PRU162" s="33"/>
      <c r="PRV162" s="33"/>
      <c r="PRW162" s="33"/>
      <c r="PRX162" s="33"/>
      <c r="PRY162" s="33"/>
      <c r="PRZ162" s="33"/>
      <c r="PSA162" s="33"/>
      <c r="PSB162" s="33"/>
      <c r="PSC162" s="33"/>
      <c r="PSD162" s="33"/>
      <c r="PSE162" s="33"/>
      <c r="PSF162" s="33"/>
      <c r="PSG162" s="33"/>
      <c r="PSH162" s="33"/>
      <c r="PSI162" s="33"/>
      <c r="PSJ162" s="33"/>
      <c r="PSK162" s="33"/>
      <c r="PSL162" s="33"/>
      <c r="PSM162" s="33"/>
      <c r="PSN162" s="33"/>
      <c r="PSO162" s="33"/>
      <c r="PSP162" s="33"/>
      <c r="PSQ162" s="33"/>
      <c r="PSR162" s="33"/>
      <c r="PSS162" s="33"/>
      <c r="PST162" s="33"/>
      <c r="PSU162" s="33"/>
      <c r="PSV162" s="33"/>
      <c r="PSW162" s="33"/>
      <c r="PSX162" s="33"/>
      <c r="PSY162" s="33"/>
      <c r="PSZ162" s="33"/>
      <c r="PTA162" s="33"/>
      <c r="PTB162" s="33"/>
      <c r="PTC162" s="33"/>
      <c r="PTD162" s="33"/>
      <c r="PTE162" s="33"/>
      <c r="PTF162" s="33"/>
      <c r="PTG162" s="33"/>
      <c r="PTH162" s="33"/>
      <c r="PTI162" s="33"/>
      <c r="PTJ162" s="33"/>
      <c r="PTK162" s="33"/>
      <c r="PTL162" s="33"/>
      <c r="PTM162" s="33"/>
      <c r="PTN162" s="33"/>
      <c r="PTO162" s="33"/>
      <c r="PTP162" s="33"/>
      <c r="PTQ162" s="33"/>
      <c r="PTR162" s="33"/>
      <c r="PTS162" s="33"/>
      <c r="PTT162" s="33"/>
      <c r="PTU162" s="33"/>
      <c r="PTV162" s="33"/>
      <c r="PTW162" s="33"/>
      <c r="PTX162" s="33"/>
      <c r="PTY162" s="33"/>
      <c r="PTZ162" s="33"/>
      <c r="PUA162" s="33"/>
      <c r="PUB162" s="33"/>
      <c r="PUC162" s="33"/>
      <c r="PUD162" s="33"/>
      <c r="PUE162" s="33"/>
      <c r="PUF162" s="33"/>
      <c r="PUG162" s="33"/>
      <c r="PUH162" s="33"/>
      <c r="PUI162" s="33"/>
      <c r="PUJ162" s="33"/>
      <c r="PUK162" s="33"/>
      <c r="PUL162" s="33"/>
      <c r="PUM162" s="33"/>
      <c r="PUN162" s="33"/>
      <c r="PUO162" s="33"/>
      <c r="PUP162" s="33"/>
      <c r="PUQ162" s="33"/>
      <c r="PUR162" s="33"/>
      <c r="PUS162" s="33"/>
      <c r="PUT162" s="33"/>
      <c r="PUU162" s="33"/>
      <c r="PUV162" s="33"/>
      <c r="PUW162" s="33"/>
      <c r="PUX162" s="33"/>
      <c r="PUY162" s="33"/>
      <c r="PUZ162" s="33"/>
      <c r="PVA162" s="33"/>
      <c r="PVB162" s="33"/>
      <c r="PVC162" s="33"/>
      <c r="PVD162" s="33"/>
      <c r="PVE162" s="33"/>
      <c r="PVF162" s="33"/>
      <c r="PVG162" s="33"/>
      <c r="PVH162" s="33"/>
      <c r="PVI162" s="33"/>
      <c r="PVJ162" s="33"/>
      <c r="PVK162" s="33"/>
      <c r="PVL162" s="33"/>
      <c r="PVM162" s="33"/>
      <c r="PVN162" s="33"/>
      <c r="PVO162" s="33"/>
      <c r="PVP162" s="33"/>
      <c r="PVQ162" s="33"/>
      <c r="PVR162" s="33"/>
      <c r="PVS162" s="33"/>
      <c r="PVT162" s="33"/>
      <c r="PVU162" s="33"/>
      <c r="PVV162" s="33"/>
      <c r="PVW162" s="33"/>
      <c r="PVX162" s="33"/>
      <c r="PVY162" s="33"/>
      <c r="PVZ162" s="33"/>
      <c r="PWA162" s="33"/>
      <c r="PWB162" s="33"/>
      <c r="PWC162" s="33"/>
      <c r="PWD162" s="33"/>
      <c r="PWE162" s="33"/>
      <c r="PWF162" s="33"/>
      <c r="PWG162" s="33"/>
      <c r="PWH162" s="33"/>
      <c r="PWI162" s="33"/>
      <c r="PWJ162" s="33"/>
      <c r="PWK162" s="33"/>
      <c r="PWL162" s="33"/>
      <c r="PWM162" s="33"/>
      <c r="PWN162" s="33"/>
      <c r="PWO162" s="33"/>
      <c r="PWP162" s="33"/>
      <c r="PWQ162" s="33"/>
      <c r="PWR162" s="33"/>
      <c r="PWS162" s="33"/>
      <c r="PWT162" s="33"/>
      <c r="PWU162" s="33"/>
      <c r="PWV162" s="33"/>
      <c r="PWW162" s="33"/>
      <c r="PWX162" s="33"/>
      <c r="PWY162" s="33"/>
      <c r="PWZ162" s="33"/>
      <c r="PXA162" s="33"/>
      <c r="PXB162" s="33"/>
      <c r="PXC162" s="33"/>
      <c r="PXD162" s="33"/>
      <c r="PXE162" s="33"/>
      <c r="PXF162" s="33"/>
      <c r="PXG162" s="33"/>
      <c r="PXH162" s="33"/>
      <c r="PXI162" s="33"/>
      <c r="PXJ162" s="33"/>
      <c r="PXK162" s="33"/>
      <c r="PXL162" s="33"/>
      <c r="PXM162" s="33"/>
      <c r="PXN162" s="33"/>
      <c r="PXO162" s="33"/>
      <c r="PXP162" s="33"/>
      <c r="PXQ162" s="33"/>
      <c r="PXR162" s="33"/>
      <c r="PXS162" s="33"/>
      <c r="PXT162" s="33"/>
      <c r="PXU162" s="33"/>
      <c r="PXV162" s="33"/>
      <c r="PXW162" s="33"/>
      <c r="PXX162" s="33"/>
      <c r="PXY162" s="33"/>
      <c r="PXZ162" s="33"/>
      <c r="PYA162" s="33"/>
      <c r="PYB162" s="33"/>
      <c r="PYC162" s="33"/>
      <c r="PYD162" s="33"/>
      <c r="PYE162" s="33"/>
      <c r="PYF162" s="33"/>
      <c r="PYG162" s="33"/>
      <c r="PYH162" s="33"/>
      <c r="PYI162" s="33"/>
      <c r="PYJ162" s="33"/>
      <c r="PYK162" s="33"/>
      <c r="PYL162" s="33"/>
      <c r="PYM162" s="33"/>
      <c r="PYN162" s="33"/>
      <c r="PYO162" s="33"/>
      <c r="PYP162" s="33"/>
      <c r="PYQ162" s="33"/>
      <c r="PYR162" s="33"/>
      <c r="PYS162" s="33"/>
      <c r="PYT162" s="33"/>
      <c r="PYU162" s="33"/>
      <c r="PYV162" s="33"/>
      <c r="PYW162" s="33"/>
      <c r="PYX162" s="33"/>
      <c r="PYY162" s="33"/>
      <c r="PYZ162" s="33"/>
      <c r="PZA162" s="33"/>
      <c r="PZB162" s="33"/>
      <c r="PZC162" s="33"/>
      <c r="PZD162" s="33"/>
      <c r="PZE162" s="33"/>
      <c r="PZF162" s="33"/>
      <c r="PZG162" s="33"/>
      <c r="PZH162" s="33"/>
      <c r="PZI162" s="33"/>
      <c r="PZJ162" s="33"/>
      <c r="PZK162" s="33"/>
      <c r="PZL162" s="33"/>
      <c r="PZM162" s="33"/>
      <c r="PZN162" s="33"/>
      <c r="PZO162" s="33"/>
      <c r="PZP162" s="33"/>
      <c r="PZQ162" s="33"/>
      <c r="PZR162" s="33"/>
      <c r="PZS162" s="33"/>
      <c r="PZT162" s="33"/>
      <c r="PZU162" s="33"/>
      <c r="PZV162" s="33"/>
      <c r="PZW162" s="33"/>
      <c r="PZX162" s="33"/>
      <c r="PZY162" s="33"/>
      <c r="PZZ162" s="33"/>
      <c r="QAA162" s="33"/>
      <c r="QAB162" s="33"/>
      <c r="QAC162" s="33"/>
      <c r="QAD162" s="33"/>
      <c r="QAE162" s="33"/>
      <c r="QAF162" s="33"/>
      <c r="QAG162" s="33"/>
      <c r="QAH162" s="33"/>
      <c r="QAI162" s="33"/>
      <c r="QAJ162" s="33"/>
      <c r="QAK162" s="33"/>
      <c r="QAL162" s="33"/>
      <c r="QAM162" s="33"/>
      <c r="QAN162" s="33"/>
      <c r="QAO162" s="33"/>
      <c r="QAP162" s="33"/>
      <c r="QAQ162" s="33"/>
      <c r="QAR162" s="33"/>
      <c r="QAS162" s="33"/>
      <c r="QAT162" s="33"/>
      <c r="QAU162" s="33"/>
      <c r="QAV162" s="33"/>
      <c r="QAW162" s="33"/>
      <c r="QAX162" s="33"/>
      <c r="QAY162" s="33"/>
      <c r="QAZ162" s="33"/>
      <c r="QBA162" s="33"/>
      <c r="QBB162" s="33"/>
      <c r="QBC162" s="33"/>
      <c r="QBD162" s="33"/>
      <c r="QBE162" s="33"/>
      <c r="QBF162" s="33"/>
      <c r="QBG162" s="33"/>
      <c r="QBH162" s="33"/>
      <c r="QBI162" s="33"/>
      <c r="QBJ162" s="33"/>
      <c r="QBK162" s="33"/>
      <c r="QBL162" s="33"/>
      <c r="QBM162" s="33"/>
      <c r="QBN162" s="33"/>
      <c r="QBO162" s="33"/>
      <c r="QBP162" s="33"/>
      <c r="QBQ162" s="33"/>
      <c r="QBR162" s="33"/>
      <c r="QBS162" s="33"/>
      <c r="QBT162" s="33"/>
      <c r="QBU162" s="33"/>
      <c r="QBV162" s="33"/>
      <c r="QBW162" s="33"/>
      <c r="QBX162" s="33"/>
      <c r="QBY162" s="33"/>
      <c r="QBZ162" s="33"/>
      <c r="QCA162" s="33"/>
      <c r="QCB162" s="33"/>
      <c r="QCC162" s="33"/>
      <c r="QCD162" s="33"/>
      <c r="QCE162" s="33"/>
      <c r="QCF162" s="33"/>
      <c r="QCG162" s="33"/>
      <c r="QCH162" s="33"/>
      <c r="QCI162" s="33"/>
      <c r="QCJ162" s="33"/>
      <c r="QCK162" s="33"/>
      <c r="QCL162" s="33"/>
      <c r="QCM162" s="33"/>
      <c r="QCN162" s="33"/>
      <c r="QCO162" s="33"/>
      <c r="QCP162" s="33"/>
      <c r="QCQ162" s="33"/>
      <c r="QCR162" s="33"/>
      <c r="QCS162" s="33"/>
      <c r="QCT162" s="33"/>
      <c r="QCU162" s="33"/>
      <c r="QCV162" s="33"/>
      <c r="QCW162" s="33"/>
      <c r="QCX162" s="33"/>
      <c r="QCY162" s="33"/>
      <c r="QCZ162" s="33"/>
      <c r="QDA162" s="33"/>
      <c r="QDB162" s="33"/>
      <c r="QDC162" s="33"/>
      <c r="QDD162" s="33"/>
      <c r="QDE162" s="33"/>
      <c r="QDF162" s="33"/>
      <c r="QDG162" s="33"/>
      <c r="QDH162" s="33"/>
      <c r="QDI162" s="33"/>
      <c r="QDJ162" s="33"/>
      <c r="QDK162" s="33"/>
      <c r="QDL162" s="33"/>
      <c r="QDM162" s="33"/>
      <c r="QDN162" s="33"/>
      <c r="QDO162" s="33"/>
      <c r="QDP162" s="33"/>
      <c r="QDQ162" s="33"/>
      <c r="QDR162" s="33"/>
      <c r="QDS162" s="33"/>
      <c r="QDT162" s="33"/>
      <c r="QDU162" s="33"/>
      <c r="QDV162" s="33"/>
      <c r="QDW162" s="33"/>
      <c r="QDX162" s="33"/>
      <c r="QDY162" s="33"/>
      <c r="QDZ162" s="33"/>
      <c r="QEA162" s="33"/>
      <c r="QEB162" s="33"/>
      <c r="QEC162" s="33"/>
      <c r="QED162" s="33"/>
      <c r="QEE162" s="33"/>
      <c r="QEF162" s="33"/>
      <c r="QEG162" s="33"/>
      <c r="QEH162" s="33"/>
      <c r="QEI162" s="33"/>
      <c r="QEJ162" s="33"/>
      <c r="QEK162" s="33"/>
      <c r="QEL162" s="33"/>
      <c r="QEM162" s="33"/>
      <c r="QEN162" s="33"/>
      <c r="QEO162" s="33"/>
      <c r="QEP162" s="33"/>
      <c r="QEQ162" s="33"/>
      <c r="QER162" s="33"/>
      <c r="QES162" s="33"/>
      <c r="QET162" s="33"/>
      <c r="QEU162" s="33"/>
      <c r="QEV162" s="33"/>
      <c r="QEW162" s="33"/>
      <c r="QEX162" s="33"/>
      <c r="QEY162" s="33"/>
      <c r="QEZ162" s="33"/>
      <c r="QFA162" s="33"/>
      <c r="QFB162" s="33"/>
      <c r="QFC162" s="33"/>
      <c r="QFD162" s="33"/>
      <c r="QFE162" s="33"/>
      <c r="QFF162" s="33"/>
      <c r="QFG162" s="33"/>
      <c r="QFH162" s="33"/>
      <c r="QFI162" s="33"/>
      <c r="QFJ162" s="33"/>
      <c r="QFK162" s="33"/>
      <c r="QFL162" s="33"/>
      <c r="QFM162" s="33"/>
      <c r="QFN162" s="33"/>
      <c r="QFO162" s="33"/>
      <c r="QFP162" s="33"/>
      <c r="QFQ162" s="33"/>
      <c r="QFR162" s="33"/>
      <c r="QFS162" s="33"/>
      <c r="QFT162" s="33"/>
      <c r="QFU162" s="33"/>
      <c r="QFV162" s="33"/>
      <c r="QFW162" s="33"/>
      <c r="QFX162" s="33"/>
      <c r="QFY162" s="33"/>
      <c r="QFZ162" s="33"/>
      <c r="QGA162" s="33"/>
      <c r="QGB162" s="33"/>
      <c r="QGC162" s="33"/>
      <c r="QGD162" s="33"/>
      <c r="QGE162" s="33"/>
      <c r="QGF162" s="33"/>
      <c r="QGG162" s="33"/>
      <c r="QGH162" s="33"/>
      <c r="QGI162" s="33"/>
      <c r="QGJ162" s="33"/>
      <c r="QGK162" s="33"/>
      <c r="QGL162" s="33"/>
      <c r="QGM162" s="33"/>
      <c r="QGN162" s="33"/>
      <c r="QGO162" s="33"/>
      <c r="QGP162" s="33"/>
      <c r="QGQ162" s="33"/>
      <c r="QGR162" s="33"/>
      <c r="QGS162" s="33"/>
      <c r="QGT162" s="33"/>
      <c r="QGU162" s="33"/>
      <c r="QGV162" s="33"/>
      <c r="QGW162" s="33"/>
      <c r="QGX162" s="33"/>
      <c r="QGY162" s="33"/>
      <c r="QGZ162" s="33"/>
      <c r="QHA162" s="33"/>
      <c r="QHB162" s="33"/>
      <c r="QHC162" s="33"/>
      <c r="QHD162" s="33"/>
      <c r="QHE162" s="33"/>
      <c r="QHF162" s="33"/>
      <c r="QHG162" s="33"/>
      <c r="QHH162" s="33"/>
      <c r="QHI162" s="33"/>
      <c r="QHJ162" s="33"/>
      <c r="QHK162" s="33"/>
      <c r="QHL162" s="33"/>
      <c r="QHM162" s="33"/>
      <c r="QHN162" s="33"/>
      <c r="QHO162" s="33"/>
      <c r="QHP162" s="33"/>
      <c r="QHQ162" s="33"/>
      <c r="QHR162" s="33"/>
      <c r="QHS162" s="33"/>
      <c r="QHT162" s="33"/>
      <c r="QHU162" s="33"/>
      <c r="QHV162" s="33"/>
      <c r="QHW162" s="33"/>
      <c r="QHX162" s="33"/>
      <c r="QHY162" s="33"/>
      <c r="QHZ162" s="33"/>
      <c r="QIA162" s="33"/>
      <c r="QIB162" s="33"/>
      <c r="QIC162" s="33"/>
      <c r="QID162" s="33"/>
      <c r="QIE162" s="33"/>
      <c r="QIF162" s="33"/>
      <c r="QIG162" s="33"/>
      <c r="QIH162" s="33"/>
      <c r="QII162" s="33"/>
      <c r="QIJ162" s="33"/>
      <c r="QIK162" s="33"/>
      <c r="QIL162" s="33"/>
      <c r="QIM162" s="33"/>
      <c r="QIN162" s="33"/>
      <c r="QIO162" s="33"/>
      <c r="QIP162" s="33"/>
      <c r="QIQ162" s="33"/>
      <c r="QIR162" s="33"/>
      <c r="QIS162" s="33"/>
      <c r="QIT162" s="33"/>
      <c r="QIU162" s="33"/>
      <c r="QIV162" s="33"/>
      <c r="QIW162" s="33"/>
      <c r="QIX162" s="33"/>
      <c r="QIY162" s="33"/>
      <c r="QIZ162" s="33"/>
      <c r="QJA162" s="33"/>
      <c r="QJB162" s="33"/>
      <c r="QJC162" s="33"/>
      <c r="QJD162" s="33"/>
      <c r="QJE162" s="33"/>
      <c r="QJF162" s="33"/>
      <c r="QJG162" s="33"/>
      <c r="QJH162" s="33"/>
      <c r="QJI162" s="33"/>
      <c r="QJJ162" s="33"/>
      <c r="QJK162" s="33"/>
      <c r="QJL162" s="33"/>
      <c r="QJM162" s="33"/>
      <c r="QJN162" s="33"/>
      <c r="QJO162" s="33"/>
      <c r="QJP162" s="33"/>
      <c r="QJQ162" s="33"/>
      <c r="QJR162" s="33"/>
      <c r="QJS162" s="33"/>
      <c r="QJT162" s="33"/>
      <c r="QJU162" s="33"/>
      <c r="QJV162" s="33"/>
      <c r="QJW162" s="33"/>
      <c r="QJX162" s="33"/>
      <c r="QJY162" s="33"/>
      <c r="QJZ162" s="33"/>
      <c r="QKA162" s="33"/>
      <c r="QKB162" s="33"/>
      <c r="QKC162" s="33"/>
      <c r="QKD162" s="33"/>
      <c r="QKE162" s="33"/>
      <c r="QKF162" s="33"/>
      <c r="QKG162" s="33"/>
      <c r="QKH162" s="33"/>
      <c r="QKI162" s="33"/>
      <c r="QKJ162" s="33"/>
      <c r="QKK162" s="33"/>
      <c r="QKL162" s="33"/>
      <c r="QKM162" s="33"/>
      <c r="QKN162" s="33"/>
      <c r="QKO162" s="33"/>
      <c r="QKP162" s="33"/>
      <c r="QKQ162" s="33"/>
      <c r="QKR162" s="33"/>
      <c r="QKS162" s="33"/>
      <c r="QKT162" s="33"/>
      <c r="QKU162" s="33"/>
      <c r="QKV162" s="33"/>
      <c r="QKW162" s="33"/>
      <c r="QKX162" s="33"/>
      <c r="QKY162" s="33"/>
      <c r="QKZ162" s="33"/>
      <c r="QLA162" s="33"/>
      <c r="QLB162" s="33"/>
      <c r="QLC162" s="33"/>
      <c r="QLD162" s="33"/>
      <c r="QLE162" s="33"/>
      <c r="QLF162" s="33"/>
      <c r="QLG162" s="33"/>
      <c r="QLH162" s="33"/>
      <c r="QLI162" s="33"/>
      <c r="QLJ162" s="33"/>
      <c r="QLK162" s="33"/>
      <c r="QLL162" s="33"/>
      <c r="QLM162" s="33"/>
      <c r="QLN162" s="33"/>
      <c r="QLO162" s="33"/>
      <c r="QLP162" s="33"/>
      <c r="QLQ162" s="33"/>
      <c r="QLR162" s="33"/>
      <c r="QLS162" s="33"/>
      <c r="QLT162" s="33"/>
      <c r="QLU162" s="33"/>
      <c r="QLV162" s="33"/>
      <c r="QLW162" s="33"/>
      <c r="QLX162" s="33"/>
      <c r="QLY162" s="33"/>
      <c r="QLZ162" s="33"/>
      <c r="QMA162" s="33"/>
      <c r="QMB162" s="33"/>
      <c r="QMC162" s="33"/>
      <c r="QMD162" s="33"/>
      <c r="QME162" s="33"/>
      <c r="QMF162" s="33"/>
      <c r="QMG162" s="33"/>
      <c r="QMH162" s="33"/>
      <c r="QMI162" s="33"/>
      <c r="QMJ162" s="33"/>
      <c r="QMK162" s="33"/>
      <c r="QML162" s="33"/>
      <c r="QMM162" s="33"/>
      <c r="QMN162" s="33"/>
      <c r="QMO162" s="33"/>
      <c r="QMP162" s="33"/>
      <c r="QMQ162" s="33"/>
      <c r="QMR162" s="33"/>
      <c r="QMS162" s="33"/>
      <c r="QMT162" s="33"/>
      <c r="QMU162" s="33"/>
      <c r="QMV162" s="33"/>
      <c r="QMW162" s="33"/>
      <c r="QMX162" s="33"/>
      <c r="QMY162" s="33"/>
      <c r="QMZ162" s="33"/>
      <c r="QNA162" s="33"/>
      <c r="QNB162" s="33"/>
      <c r="QNC162" s="33"/>
      <c r="QND162" s="33"/>
      <c r="QNE162" s="33"/>
      <c r="QNF162" s="33"/>
      <c r="QNG162" s="33"/>
      <c r="QNH162" s="33"/>
      <c r="QNI162" s="33"/>
      <c r="QNJ162" s="33"/>
      <c r="QNK162" s="33"/>
      <c r="QNL162" s="33"/>
      <c r="QNM162" s="33"/>
      <c r="QNN162" s="33"/>
      <c r="QNO162" s="33"/>
      <c r="QNP162" s="33"/>
      <c r="QNQ162" s="33"/>
      <c r="QNR162" s="33"/>
      <c r="QNS162" s="33"/>
      <c r="QNT162" s="33"/>
      <c r="QNU162" s="33"/>
      <c r="QNV162" s="33"/>
      <c r="QNW162" s="33"/>
      <c r="QNX162" s="33"/>
      <c r="QNY162" s="33"/>
      <c r="QNZ162" s="33"/>
      <c r="QOA162" s="33"/>
      <c r="QOB162" s="33"/>
      <c r="QOC162" s="33"/>
      <c r="QOD162" s="33"/>
      <c r="QOE162" s="33"/>
      <c r="QOF162" s="33"/>
      <c r="QOG162" s="33"/>
      <c r="QOH162" s="33"/>
      <c r="QOI162" s="33"/>
      <c r="QOJ162" s="33"/>
      <c r="QOK162" s="33"/>
      <c r="QOL162" s="33"/>
      <c r="QOM162" s="33"/>
      <c r="QON162" s="33"/>
      <c r="QOO162" s="33"/>
      <c r="QOP162" s="33"/>
      <c r="QOQ162" s="33"/>
      <c r="QOR162" s="33"/>
      <c r="QOS162" s="33"/>
      <c r="QOT162" s="33"/>
      <c r="QOU162" s="33"/>
      <c r="QOV162" s="33"/>
      <c r="QOW162" s="33"/>
      <c r="QOX162" s="33"/>
      <c r="QOY162" s="33"/>
      <c r="QOZ162" s="33"/>
      <c r="QPA162" s="33"/>
      <c r="QPB162" s="33"/>
      <c r="QPC162" s="33"/>
      <c r="QPD162" s="33"/>
      <c r="QPE162" s="33"/>
      <c r="QPF162" s="33"/>
      <c r="QPG162" s="33"/>
      <c r="QPH162" s="33"/>
      <c r="QPI162" s="33"/>
      <c r="QPJ162" s="33"/>
      <c r="QPK162" s="33"/>
      <c r="QPL162" s="33"/>
      <c r="QPM162" s="33"/>
      <c r="QPN162" s="33"/>
      <c r="QPO162" s="33"/>
      <c r="QPP162" s="33"/>
      <c r="QPQ162" s="33"/>
      <c r="QPR162" s="33"/>
      <c r="QPS162" s="33"/>
      <c r="QPT162" s="33"/>
      <c r="QPU162" s="33"/>
      <c r="QPV162" s="33"/>
      <c r="QPW162" s="33"/>
      <c r="QPX162" s="33"/>
      <c r="QPY162" s="33"/>
      <c r="QPZ162" s="33"/>
      <c r="QQA162" s="33"/>
      <c r="QQB162" s="33"/>
      <c r="QQC162" s="33"/>
      <c r="QQD162" s="33"/>
      <c r="QQE162" s="33"/>
      <c r="QQF162" s="33"/>
      <c r="QQG162" s="33"/>
      <c r="QQH162" s="33"/>
      <c r="QQI162" s="33"/>
      <c r="QQJ162" s="33"/>
      <c r="QQK162" s="33"/>
      <c r="QQL162" s="33"/>
      <c r="QQM162" s="33"/>
      <c r="QQN162" s="33"/>
      <c r="QQO162" s="33"/>
      <c r="QQP162" s="33"/>
      <c r="QQQ162" s="33"/>
      <c r="QQR162" s="33"/>
      <c r="QQS162" s="33"/>
      <c r="QQT162" s="33"/>
      <c r="QQU162" s="33"/>
      <c r="QQV162" s="33"/>
      <c r="QQW162" s="33"/>
      <c r="QQX162" s="33"/>
      <c r="QQY162" s="33"/>
      <c r="QQZ162" s="33"/>
      <c r="QRA162" s="33"/>
      <c r="QRB162" s="33"/>
      <c r="QRC162" s="33"/>
      <c r="QRD162" s="33"/>
      <c r="QRE162" s="33"/>
      <c r="QRF162" s="33"/>
      <c r="QRG162" s="33"/>
      <c r="QRH162" s="33"/>
      <c r="QRI162" s="33"/>
      <c r="QRJ162" s="33"/>
      <c r="QRK162" s="33"/>
      <c r="QRL162" s="33"/>
      <c r="QRM162" s="33"/>
      <c r="QRN162" s="33"/>
      <c r="QRO162" s="33"/>
      <c r="QRP162" s="33"/>
      <c r="QRQ162" s="33"/>
      <c r="QRR162" s="33"/>
      <c r="QRS162" s="33"/>
      <c r="QRT162" s="33"/>
      <c r="QRU162" s="33"/>
      <c r="QRV162" s="33"/>
      <c r="QRW162" s="33"/>
      <c r="QRX162" s="33"/>
      <c r="QRY162" s="33"/>
      <c r="QRZ162" s="33"/>
      <c r="QSA162" s="33"/>
      <c r="QSB162" s="33"/>
      <c r="QSC162" s="33"/>
      <c r="QSD162" s="33"/>
      <c r="QSE162" s="33"/>
      <c r="QSF162" s="33"/>
      <c r="QSG162" s="33"/>
      <c r="QSH162" s="33"/>
      <c r="QSI162" s="33"/>
      <c r="QSJ162" s="33"/>
      <c r="QSK162" s="33"/>
      <c r="QSL162" s="33"/>
      <c r="QSM162" s="33"/>
      <c r="QSN162" s="33"/>
      <c r="QSO162" s="33"/>
      <c r="QSP162" s="33"/>
      <c r="QSQ162" s="33"/>
      <c r="QSR162" s="33"/>
      <c r="QSS162" s="33"/>
      <c r="QST162" s="33"/>
      <c r="QSU162" s="33"/>
      <c r="QSV162" s="33"/>
      <c r="QSW162" s="33"/>
      <c r="QSX162" s="33"/>
      <c r="QSY162" s="33"/>
      <c r="QSZ162" s="33"/>
      <c r="QTA162" s="33"/>
      <c r="QTB162" s="33"/>
      <c r="QTC162" s="33"/>
      <c r="QTD162" s="33"/>
      <c r="QTE162" s="33"/>
      <c r="QTF162" s="33"/>
      <c r="QTG162" s="33"/>
      <c r="QTH162" s="33"/>
      <c r="QTI162" s="33"/>
      <c r="QTJ162" s="33"/>
      <c r="QTK162" s="33"/>
      <c r="QTL162" s="33"/>
      <c r="QTM162" s="33"/>
      <c r="QTN162" s="33"/>
      <c r="QTO162" s="33"/>
      <c r="QTP162" s="33"/>
      <c r="QTQ162" s="33"/>
      <c r="QTR162" s="33"/>
      <c r="QTS162" s="33"/>
      <c r="QTT162" s="33"/>
      <c r="QTU162" s="33"/>
      <c r="QTV162" s="33"/>
      <c r="QTW162" s="33"/>
      <c r="QTX162" s="33"/>
      <c r="QTY162" s="33"/>
      <c r="QTZ162" s="33"/>
      <c r="QUA162" s="33"/>
      <c r="QUB162" s="33"/>
      <c r="QUC162" s="33"/>
      <c r="QUD162" s="33"/>
      <c r="QUE162" s="33"/>
      <c r="QUF162" s="33"/>
      <c r="QUG162" s="33"/>
      <c r="QUH162" s="33"/>
      <c r="QUI162" s="33"/>
      <c r="QUJ162" s="33"/>
      <c r="QUK162" s="33"/>
      <c r="QUL162" s="33"/>
      <c r="QUM162" s="33"/>
      <c r="QUN162" s="33"/>
      <c r="QUO162" s="33"/>
      <c r="QUP162" s="33"/>
      <c r="QUQ162" s="33"/>
      <c r="QUR162" s="33"/>
      <c r="QUS162" s="33"/>
      <c r="QUT162" s="33"/>
      <c r="QUU162" s="33"/>
      <c r="QUV162" s="33"/>
      <c r="QUW162" s="33"/>
      <c r="QUX162" s="33"/>
      <c r="QUY162" s="33"/>
      <c r="QUZ162" s="33"/>
      <c r="QVA162" s="33"/>
      <c r="QVB162" s="33"/>
      <c r="QVC162" s="33"/>
      <c r="QVD162" s="33"/>
      <c r="QVE162" s="33"/>
      <c r="QVF162" s="33"/>
      <c r="QVG162" s="33"/>
      <c r="QVH162" s="33"/>
      <c r="QVI162" s="33"/>
      <c r="QVJ162" s="33"/>
      <c r="QVK162" s="33"/>
      <c r="QVL162" s="33"/>
      <c r="QVM162" s="33"/>
      <c r="QVN162" s="33"/>
      <c r="QVO162" s="33"/>
      <c r="QVP162" s="33"/>
      <c r="QVQ162" s="33"/>
      <c r="QVR162" s="33"/>
      <c r="QVS162" s="33"/>
      <c r="QVT162" s="33"/>
      <c r="QVU162" s="33"/>
      <c r="QVV162" s="33"/>
      <c r="QVW162" s="33"/>
      <c r="QVX162" s="33"/>
      <c r="QVY162" s="33"/>
      <c r="QVZ162" s="33"/>
      <c r="QWA162" s="33"/>
      <c r="QWB162" s="33"/>
      <c r="QWC162" s="33"/>
      <c r="QWD162" s="33"/>
      <c r="QWE162" s="33"/>
      <c r="QWF162" s="33"/>
      <c r="QWG162" s="33"/>
      <c r="QWH162" s="33"/>
      <c r="QWI162" s="33"/>
      <c r="QWJ162" s="33"/>
      <c r="QWK162" s="33"/>
      <c r="QWL162" s="33"/>
      <c r="QWM162" s="33"/>
      <c r="QWN162" s="33"/>
      <c r="QWO162" s="33"/>
      <c r="QWP162" s="33"/>
      <c r="QWQ162" s="33"/>
      <c r="QWR162" s="33"/>
      <c r="QWS162" s="33"/>
      <c r="QWT162" s="33"/>
      <c r="QWU162" s="33"/>
      <c r="QWV162" s="33"/>
      <c r="QWW162" s="33"/>
      <c r="QWX162" s="33"/>
      <c r="QWY162" s="33"/>
      <c r="QWZ162" s="33"/>
      <c r="QXA162" s="33"/>
      <c r="QXB162" s="33"/>
      <c r="QXC162" s="33"/>
      <c r="QXD162" s="33"/>
      <c r="QXE162" s="33"/>
      <c r="QXF162" s="33"/>
      <c r="QXG162" s="33"/>
      <c r="QXH162" s="33"/>
      <c r="QXI162" s="33"/>
      <c r="QXJ162" s="33"/>
      <c r="QXK162" s="33"/>
      <c r="QXL162" s="33"/>
      <c r="QXM162" s="33"/>
      <c r="QXN162" s="33"/>
      <c r="QXO162" s="33"/>
      <c r="QXP162" s="33"/>
      <c r="QXQ162" s="33"/>
      <c r="QXR162" s="33"/>
      <c r="QXS162" s="33"/>
      <c r="QXT162" s="33"/>
      <c r="QXU162" s="33"/>
      <c r="QXV162" s="33"/>
      <c r="QXW162" s="33"/>
      <c r="QXX162" s="33"/>
      <c r="QXY162" s="33"/>
      <c r="QXZ162" s="33"/>
      <c r="QYA162" s="33"/>
      <c r="QYB162" s="33"/>
      <c r="QYC162" s="33"/>
      <c r="QYD162" s="33"/>
      <c r="QYE162" s="33"/>
      <c r="QYF162" s="33"/>
      <c r="QYG162" s="33"/>
      <c r="QYH162" s="33"/>
      <c r="QYI162" s="33"/>
      <c r="QYJ162" s="33"/>
      <c r="QYK162" s="33"/>
      <c r="QYL162" s="33"/>
      <c r="QYM162" s="33"/>
      <c r="QYN162" s="33"/>
      <c r="QYO162" s="33"/>
      <c r="QYP162" s="33"/>
      <c r="QYQ162" s="33"/>
      <c r="QYR162" s="33"/>
      <c r="QYS162" s="33"/>
      <c r="QYT162" s="33"/>
      <c r="QYU162" s="33"/>
      <c r="QYV162" s="33"/>
      <c r="QYW162" s="33"/>
      <c r="QYX162" s="33"/>
      <c r="QYY162" s="33"/>
      <c r="QYZ162" s="33"/>
      <c r="QZA162" s="33"/>
      <c r="QZB162" s="33"/>
      <c r="QZC162" s="33"/>
      <c r="QZD162" s="33"/>
      <c r="QZE162" s="33"/>
      <c r="QZF162" s="33"/>
      <c r="QZG162" s="33"/>
      <c r="QZH162" s="33"/>
      <c r="QZI162" s="33"/>
      <c r="QZJ162" s="33"/>
      <c r="QZK162" s="33"/>
      <c r="QZL162" s="33"/>
      <c r="QZM162" s="33"/>
      <c r="QZN162" s="33"/>
      <c r="QZO162" s="33"/>
      <c r="QZP162" s="33"/>
      <c r="QZQ162" s="33"/>
      <c r="QZR162" s="33"/>
      <c r="QZS162" s="33"/>
      <c r="QZT162" s="33"/>
      <c r="QZU162" s="33"/>
      <c r="QZV162" s="33"/>
      <c r="QZW162" s="33"/>
      <c r="QZX162" s="33"/>
      <c r="QZY162" s="33"/>
      <c r="QZZ162" s="33"/>
      <c r="RAA162" s="33"/>
      <c r="RAB162" s="33"/>
      <c r="RAC162" s="33"/>
      <c r="RAD162" s="33"/>
      <c r="RAE162" s="33"/>
      <c r="RAF162" s="33"/>
      <c r="RAG162" s="33"/>
      <c r="RAH162" s="33"/>
      <c r="RAI162" s="33"/>
      <c r="RAJ162" s="33"/>
      <c r="RAK162" s="33"/>
      <c r="RAL162" s="33"/>
      <c r="RAM162" s="33"/>
      <c r="RAN162" s="33"/>
      <c r="RAO162" s="33"/>
      <c r="RAP162" s="33"/>
      <c r="RAQ162" s="33"/>
      <c r="RAR162" s="33"/>
      <c r="RAS162" s="33"/>
      <c r="RAT162" s="33"/>
      <c r="RAU162" s="33"/>
      <c r="RAV162" s="33"/>
      <c r="RAW162" s="33"/>
      <c r="RAX162" s="33"/>
      <c r="RAY162" s="33"/>
      <c r="RAZ162" s="33"/>
      <c r="RBA162" s="33"/>
      <c r="RBB162" s="33"/>
      <c r="RBC162" s="33"/>
      <c r="RBD162" s="33"/>
      <c r="RBE162" s="33"/>
      <c r="RBF162" s="33"/>
      <c r="RBG162" s="33"/>
      <c r="RBH162" s="33"/>
      <c r="RBI162" s="33"/>
      <c r="RBJ162" s="33"/>
      <c r="RBK162" s="33"/>
      <c r="RBL162" s="33"/>
      <c r="RBM162" s="33"/>
      <c r="RBN162" s="33"/>
      <c r="RBO162" s="33"/>
      <c r="RBP162" s="33"/>
      <c r="RBQ162" s="33"/>
      <c r="RBR162" s="33"/>
      <c r="RBS162" s="33"/>
      <c r="RBT162" s="33"/>
      <c r="RBU162" s="33"/>
      <c r="RBV162" s="33"/>
      <c r="RBW162" s="33"/>
      <c r="RBX162" s="33"/>
      <c r="RBY162" s="33"/>
      <c r="RBZ162" s="33"/>
      <c r="RCA162" s="33"/>
      <c r="RCB162" s="33"/>
      <c r="RCC162" s="33"/>
      <c r="RCD162" s="33"/>
      <c r="RCE162" s="33"/>
      <c r="RCF162" s="33"/>
      <c r="RCG162" s="33"/>
      <c r="RCH162" s="33"/>
      <c r="RCI162" s="33"/>
      <c r="RCJ162" s="33"/>
      <c r="RCK162" s="33"/>
      <c r="RCL162" s="33"/>
      <c r="RCM162" s="33"/>
      <c r="RCN162" s="33"/>
      <c r="RCO162" s="33"/>
      <c r="RCP162" s="33"/>
      <c r="RCQ162" s="33"/>
      <c r="RCR162" s="33"/>
      <c r="RCS162" s="33"/>
      <c r="RCT162" s="33"/>
      <c r="RCU162" s="33"/>
      <c r="RCV162" s="33"/>
      <c r="RCW162" s="33"/>
      <c r="RCX162" s="33"/>
      <c r="RCY162" s="33"/>
      <c r="RCZ162" s="33"/>
      <c r="RDA162" s="33"/>
      <c r="RDB162" s="33"/>
      <c r="RDC162" s="33"/>
      <c r="RDD162" s="33"/>
      <c r="RDE162" s="33"/>
      <c r="RDF162" s="33"/>
      <c r="RDG162" s="33"/>
      <c r="RDH162" s="33"/>
      <c r="RDI162" s="33"/>
      <c r="RDJ162" s="33"/>
      <c r="RDK162" s="33"/>
      <c r="RDL162" s="33"/>
      <c r="RDM162" s="33"/>
      <c r="RDN162" s="33"/>
      <c r="RDO162" s="33"/>
      <c r="RDP162" s="33"/>
      <c r="RDQ162" s="33"/>
      <c r="RDR162" s="33"/>
      <c r="RDS162" s="33"/>
      <c r="RDT162" s="33"/>
      <c r="RDU162" s="33"/>
      <c r="RDV162" s="33"/>
      <c r="RDW162" s="33"/>
      <c r="RDX162" s="33"/>
      <c r="RDY162" s="33"/>
      <c r="RDZ162" s="33"/>
      <c r="REA162" s="33"/>
      <c r="REB162" s="33"/>
      <c r="REC162" s="33"/>
      <c r="RED162" s="33"/>
      <c r="REE162" s="33"/>
      <c r="REF162" s="33"/>
      <c r="REG162" s="33"/>
      <c r="REH162" s="33"/>
      <c r="REI162" s="33"/>
      <c r="REJ162" s="33"/>
      <c r="REK162" s="33"/>
      <c r="REL162" s="33"/>
      <c r="REM162" s="33"/>
      <c r="REN162" s="33"/>
      <c r="REO162" s="33"/>
      <c r="REP162" s="33"/>
      <c r="REQ162" s="33"/>
      <c r="RER162" s="33"/>
      <c r="RES162" s="33"/>
      <c r="RET162" s="33"/>
      <c r="REU162" s="33"/>
      <c r="REV162" s="33"/>
      <c r="REW162" s="33"/>
      <c r="REX162" s="33"/>
      <c r="REY162" s="33"/>
      <c r="REZ162" s="33"/>
      <c r="RFA162" s="33"/>
      <c r="RFB162" s="33"/>
      <c r="RFC162" s="33"/>
      <c r="RFD162" s="33"/>
      <c r="RFE162" s="33"/>
      <c r="RFF162" s="33"/>
      <c r="RFG162" s="33"/>
      <c r="RFH162" s="33"/>
      <c r="RFI162" s="33"/>
      <c r="RFJ162" s="33"/>
      <c r="RFK162" s="33"/>
      <c r="RFL162" s="33"/>
      <c r="RFM162" s="33"/>
      <c r="RFN162" s="33"/>
      <c r="RFO162" s="33"/>
      <c r="RFP162" s="33"/>
      <c r="RFQ162" s="33"/>
      <c r="RFR162" s="33"/>
      <c r="RFS162" s="33"/>
      <c r="RFT162" s="33"/>
      <c r="RFU162" s="33"/>
      <c r="RFV162" s="33"/>
      <c r="RFW162" s="33"/>
      <c r="RFX162" s="33"/>
      <c r="RFY162" s="33"/>
      <c r="RFZ162" s="33"/>
      <c r="RGA162" s="33"/>
      <c r="RGB162" s="33"/>
      <c r="RGC162" s="33"/>
      <c r="RGD162" s="33"/>
      <c r="RGE162" s="33"/>
      <c r="RGF162" s="33"/>
      <c r="RGG162" s="33"/>
      <c r="RGH162" s="33"/>
      <c r="RGI162" s="33"/>
      <c r="RGJ162" s="33"/>
      <c r="RGK162" s="33"/>
      <c r="RGL162" s="33"/>
      <c r="RGM162" s="33"/>
      <c r="RGN162" s="33"/>
      <c r="RGO162" s="33"/>
      <c r="RGP162" s="33"/>
      <c r="RGQ162" s="33"/>
      <c r="RGR162" s="33"/>
      <c r="RGS162" s="33"/>
      <c r="RGT162" s="33"/>
      <c r="RGU162" s="33"/>
      <c r="RGV162" s="33"/>
      <c r="RGW162" s="33"/>
      <c r="RGX162" s="33"/>
      <c r="RGY162" s="33"/>
      <c r="RGZ162" s="33"/>
      <c r="RHA162" s="33"/>
      <c r="RHB162" s="33"/>
      <c r="RHC162" s="33"/>
      <c r="RHD162" s="33"/>
      <c r="RHE162" s="33"/>
      <c r="RHF162" s="33"/>
      <c r="RHG162" s="33"/>
      <c r="RHH162" s="33"/>
      <c r="RHI162" s="33"/>
      <c r="RHJ162" s="33"/>
      <c r="RHK162" s="33"/>
      <c r="RHL162" s="33"/>
      <c r="RHM162" s="33"/>
      <c r="RHN162" s="33"/>
      <c r="RHO162" s="33"/>
      <c r="RHP162" s="33"/>
      <c r="RHQ162" s="33"/>
      <c r="RHR162" s="33"/>
      <c r="RHS162" s="33"/>
      <c r="RHT162" s="33"/>
      <c r="RHU162" s="33"/>
      <c r="RHV162" s="33"/>
      <c r="RHW162" s="33"/>
      <c r="RHX162" s="33"/>
      <c r="RHY162" s="33"/>
      <c r="RHZ162" s="33"/>
      <c r="RIA162" s="33"/>
      <c r="RIB162" s="33"/>
      <c r="RIC162" s="33"/>
      <c r="RID162" s="33"/>
      <c r="RIE162" s="33"/>
      <c r="RIF162" s="33"/>
      <c r="RIG162" s="33"/>
      <c r="RIH162" s="33"/>
      <c r="RII162" s="33"/>
      <c r="RIJ162" s="33"/>
      <c r="RIK162" s="33"/>
      <c r="RIL162" s="33"/>
      <c r="RIM162" s="33"/>
      <c r="RIN162" s="33"/>
      <c r="RIO162" s="33"/>
      <c r="RIP162" s="33"/>
      <c r="RIQ162" s="33"/>
      <c r="RIR162" s="33"/>
      <c r="RIS162" s="33"/>
      <c r="RIT162" s="33"/>
      <c r="RIU162" s="33"/>
      <c r="RIV162" s="33"/>
      <c r="RIW162" s="33"/>
      <c r="RIX162" s="33"/>
      <c r="RIY162" s="33"/>
      <c r="RIZ162" s="33"/>
      <c r="RJA162" s="33"/>
      <c r="RJB162" s="33"/>
      <c r="RJC162" s="33"/>
      <c r="RJD162" s="33"/>
      <c r="RJE162" s="33"/>
      <c r="RJF162" s="33"/>
      <c r="RJG162" s="33"/>
      <c r="RJH162" s="33"/>
      <c r="RJI162" s="33"/>
      <c r="RJJ162" s="33"/>
      <c r="RJK162" s="33"/>
      <c r="RJL162" s="33"/>
      <c r="RJM162" s="33"/>
      <c r="RJN162" s="33"/>
      <c r="RJO162" s="33"/>
      <c r="RJP162" s="33"/>
      <c r="RJQ162" s="33"/>
      <c r="RJR162" s="33"/>
      <c r="RJS162" s="33"/>
      <c r="RJT162" s="33"/>
      <c r="RJU162" s="33"/>
      <c r="RJV162" s="33"/>
      <c r="RJW162" s="33"/>
      <c r="RJX162" s="33"/>
      <c r="RJY162" s="33"/>
      <c r="RJZ162" s="33"/>
      <c r="RKA162" s="33"/>
      <c r="RKB162" s="33"/>
      <c r="RKC162" s="33"/>
      <c r="RKD162" s="33"/>
      <c r="RKE162" s="33"/>
      <c r="RKF162" s="33"/>
      <c r="RKG162" s="33"/>
      <c r="RKH162" s="33"/>
      <c r="RKI162" s="33"/>
      <c r="RKJ162" s="33"/>
      <c r="RKK162" s="33"/>
      <c r="RKL162" s="33"/>
      <c r="RKM162" s="33"/>
      <c r="RKN162" s="33"/>
      <c r="RKO162" s="33"/>
      <c r="RKP162" s="33"/>
      <c r="RKQ162" s="33"/>
      <c r="RKR162" s="33"/>
      <c r="RKS162" s="33"/>
      <c r="RKT162" s="33"/>
      <c r="RKU162" s="33"/>
      <c r="RKV162" s="33"/>
      <c r="RKW162" s="33"/>
      <c r="RKX162" s="33"/>
      <c r="RKY162" s="33"/>
      <c r="RKZ162" s="33"/>
      <c r="RLA162" s="33"/>
      <c r="RLB162" s="33"/>
      <c r="RLC162" s="33"/>
      <c r="RLD162" s="33"/>
      <c r="RLE162" s="33"/>
      <c r="RLF162" s="33"/>
      <c r="RLG162" s="33"/>
      <c r="RLH162" s="33"/>
      <c r="RLI162" s="33"/>
      <c r="RLJ162" s="33"/>
      <c r="RLK162" s="33"/>
      <c r="RLL162" s="33"/>
      <c r="RLM162" s="33"/>
      <c r="RLN162" s="33"/>
      <c r="RLO162" s="33"/>
      <c r="RLP162" s="33"/>
      <c r="RLQ162" s="33"/>
      <c r="RLR162" s="33"/>
      <c r="RLS162" s="33"/>
      <c r="RLT162" s="33"/>
      <c r="RLU162" s="33"/>
      <c r="RLV162" s="33"/>
      <c r="RLW162" s="33"/>
      <c r="RLX162" s="33"/>
      <c r="RLY162" s="33"/>
      <c r="RLZ162" s="33"/>
      <c r="RMA162" s="33"/>
      <c r="RMB162" s="33"/>
      <c r="RMC162" s="33"/>
      <c r="RMD162" s="33"/>
      <c r="RME162" s="33"/>
      <c r="RMF162" s="33"/>
      <c r="RMG162" s="33"/>
      <c r="RMH162" s="33"/>
      <c r="RMI162" s="33"/>
      <c r="RMJ162" s="33"/>
      <c r="RMK162" s="33"/>
      <c r="RML162" s="33"/>
      <c r="RMM162" s="33"/>
      <c r="RMN162" s="33"/>
      <c r="RMO162" s="33"/>
      <c r="RMP162" s="33"/>
      <c r="RMQ162" s="33"/>
      <c r="RMR162" s="33"/>
      <c r="RMS162" s="33"/>
      <c r="RMT162" s="33"/>
      <c r="RMU162" s="33"/>
      <c r="RMV162" s="33"/>
      <c r="RMW162" s="33"/>
      <c r="RMX162" s="33"/>
      <c r="RMY162" s="33"/>
      <c r="RMZ162" s="33"/>
      <c r="RNA162" s="33"/>
      <c r="RNB162" s="33"/>
      <c r="RNC162" s="33"/>
      <c r="RND162" s="33"/>
      <c r="RNE162" s="33"/>
      <c r="RNF162" s="33"/>
      <c r="RNG162" s="33"/>
      <c r="RNH162" s="33"/>
      <c r="RNI162" s="33"/>
      <c r="RNJ162" s="33"/>
      <c r="RNK162" s="33"/>
      <c r="RNL162" s="33"/>
      <c r="RNM162" s="33"/>
      <c r="RNN162" s="33"/>
      <c r="RNO162" s="33"/>
      <c r="RNP162" s="33"/>
      <c r="RNQ162" s="33"/>
      <c r="RNR162" s="33"/>
      <c r="RNS162" s="33"/>
      <c r="RNT162" s="33"/>
      <c r="RNU162" s="33"/>
      <c r="RNV162" s="33"/>
      <c r="RNW162" s="33"/>
      <c r="RNX162" s="33"/>
      <c r="RNY162" s="33"/>
      <c r="RNZ162" s="33"/>
      <c r="ROA162" s="33"/>
      <c r="ROB162" s="33"/>
      <c r="ROC162" s="33"/>
      <c r="ROD162" s="33"/>
      <c r="ROE162" s="33"/>
      <c r="ROF162" s="33"/>
      <c r="ROG162" s="33"/>
      <c r="ROH162" s="33"/>
      <c r="ROI162" s="33"/>
      <c r="ROJ162" s="33"/>
      <c r="ROK162" s="33"/>
      <c r="ROL162" s="33"/>
      <c r="ROM162" s="33"/>
      <c r="RON162" s="33"/>
      <c r="ROO162" s="33"/>
      <c r="ROP162" s="33"/>
      <c r="ROQ162" s="33"/>
      <c r="ROR162" s="33"/>
      <c r="ROS162" s="33"/>
      <c r="ROT162" s="33"/>
      <c r="ROU162" s="33"/>
      <c r="ROV162" s="33"/>
      <c r="ROW162" s="33"/>
      <c r="ROX162" s="33"/>
      <c r="ROY162" s="33"/>
      <c r="ROZ162" s="33"/>
      <c r="RPA162" s="33"/>
      <c r="RPB162" s="33"/>
      <c r="RPC162" s="33"/>
      <c r="RPD162" s="33"/>
      <c r="RPE162" s="33"/>
      <c r="RPF162" s="33"/>
      <c r="RPG162" s="33"/>
      <c r="RPH162" s="33"/>
      <c r="RPI162" s="33"/>
      <c r="RPJ162" s="33"/>
      <c r="RPK162" s="33"/>
      <c r="RPL162" s="33"/>
      <c r="RPM162" s="33"/>
      <c r="RPN162" s="33"/>
      <c r="RPO162" s="33"/>
      <c r="RPP162" s="33"/>
      <c r="RPQ162" s="33"/>
      <c r="RPR162" s="33"/>
      <c r="RPS162" s="33"/>
      <c r="RPT162" s="33"/>
      <c r="RPU162" s="33"/>
      <c r="RPV162" s="33"/>
      <c r="RPW162" s="33"/>
      <c r="RPX162" s="33"/>
      <c r="RPY162" s="33"/>
      <c r="RPZ162" s="33"/>
      <c r="RQA162" s="33"/>
      <c r="RQB162" s="33"/>
      <c r="RQC162" s="33"/>
      <c r="RQD162" s="33"/>
      <c r="RQE162" s="33"/>
      <c r="RQF162" s="33"/>
      <c r="RQG162" s="33"/>
      <c r="RQH162" s="33"/>
      <c r="RQI162" s="33"/>
      <c r="RQJ162" s="33"/>
      <c r="RQK162" s="33"/>
      <c r="RQL162" s="33"/>
      <c r="RQM162" s="33"/>
      <c r="RQN162" s="33"/>
      <c r="RQO162" s="33"/>
      <c r="RQP162" s="33"/>
      <c r="RQQ162" s="33"/>
      <c r="RQR162" s="33"/>
      <c r="RQS162" s="33"/>
      <c r="RQT162" s="33"/>
      <c r="RQU162" s="33"/>
      <c r="RQV162" s="33"/>
      <c r="RQW162" s="33"/>
      <c r="RQX162" s="33"/>
      <c r="RQY162" s="33"/>
      <c r="RQZ162" s="33"/>
      <c r="RRA162" s="33"/>
      <c r="RRB162" s="33"/>
      <c r="RRC162" s="33"/>
      <c r="RRD162" s="33"/>
      <c r="RRE162" s="33"/>
      <c r="RRF162" s="33"/>
      <c r="RRG162" s="33"/>
      <c r="RRH162" s="33"/>
      <c r="RRI162" s="33"/>
      <c r="RRJ162" s="33"/>
      <c r="RRK162" s="33"/>
      <c r="RRL162" s="33"/>
      <c r="RRM162" s="33"/>
      <c r="RRN162" s="33"/>
      <c r="RRO162" s="33"/>
      <c r="RRP162" s="33"/>
      <c r="RRQ162" s="33"/>
      <c r="RRR162" s="33"/>
      <c r="RRS162" s="33"/>
      <c r="RRT162" s="33"/>
      <c r="RRU162" s="33"/>
      <c r="RRV162" s="33"/>
      <c r="RRW162" s="33"/>
      <c r="RRX162" s="33"/>
      <c r="RRY162" s="33"/>
      <c r="RRZ162" s="33"/>
      <c r="RSA162" s="33"/>
      <c r="RSB162" s="33"/>
      <c r="RSC162" s="33"/>
      <c r="RSD162" s="33"/>
      <c r="RSE162" s="33"/>
      <c r="RSF162" s="33"/>
      <c r="RSG162" s="33"/>
      <c r="RSH162" s="33"/>
      <c r="RSI162" s="33"/>
      <c r="RSJ162" s="33"/>
      <c r="RSK162" s="33"/>
      <c r="RSL162" s="33"/>
      <c r="RSM162" s="33"/>
      <c r="RSN162" s="33"/>
      <c r="RSO162" s="33"/>
      <c r="RSP162" s="33"/>
      <c r="RSQ162" s="33"/>
      <c r="RSR162" s="33"/>
      <c r="RSS162" s="33"/>
      <c r="RST162" s="33"/>
      <c r="RSU162" s="33"/>
      <c r="RSV162" s="33"/>
      <c r="RSW162" s="33"/>
      <c r="RSX162" s="33"/>
      <c r="RSY162" s="33"/>
      <c r="RSZ162" s="33"/>
      <c r="RTA162" s="33"/>
      <c r="RTB162" s="33"/>
      <c r="RTC162" s="33"/>
      <c r="RTD162" s="33"/>
      <c r="RTE162" s="33"/>
      <c r="RTF162" s="33"/>
      <c r="RTG162" s="33"/>
      <c r="RTH162" s="33"/>
      <c r="RTI162" s="33"/>
      <c r="RTJ162" s="33"/>
      <c r="RTK162" s="33"/>
      <c r="RTL162" s="33"/>
      <c r="RTM162" s="33"/>
      <c r="RTN162" s="33"/>
      <c r="RTO162" s="33"/>
      <c r="RTP162" s="33"/>
      <c r="RTQ162" s="33"/>
      <c r="RTR162" s="33"/>
      <c r="RTS162" s="33"/>
      <c r="RTT162" s="33"/>
      <c r="RTU162" s="33"/>
      <c r="RTV162" s="33"/>
      <c r="RTW162" s="33"/>
      <c r="RTX162" s="33"/>
      <c r="RTY162" s="33"/>
      <c r="RTZ162" s="33"/>
      <c r="RUA162" s="33"/>
      <c r="RUB162" s="33"/>
      <c r="RUC162" s="33"/>
      <c r="RUD162" s="33"/>
      <c r="RUE162" s="33"/>
      <c r="RUF162" s="33"/>
      <c r="RUG162" s="33"/>
      <c r="RUH162" s="33"/>
      <c r="RUI162" s="33"/>
      <c r="RUJ162" s="33"/>
      <c r="RUK162" s="33"/>
      <c r="RUL162" s="33"/>
      <c r="RUM162" s="33"/>
      <c r="RUN162" s="33"/>
      <c r="RUO162" s="33"/>
      <c r="RUP162" s="33"/>
      <c r="RUQ162" s="33"/>
      <c r="RUR162" s="33"/>
      <c r="RUS162" s="33"/>
      <c r="RUT162" s="33"/>
      <c r="RUU162" s="33"/>
      <c r="RUV162" s="33"/>
      <c r="RUW162" s="33"/>
      <c r="RUX162" s="33"/>
      <c r="RUY162" s="33"/>
      <c r="RUZ162" s="33"/>
      <c r="RVA162" s="33"/>
      <c r="RVB162" s="33"/>
      <c r="RVC162" s="33"/>
      <c r="RVD162" s="33"/>
      <c r="RVE162" s="33"/>
      <c r="RVF162" s="33"/>
      <c r="RVG162" s="33"/>
      <c r="RVH162" s="33"/>
      <c r="RVI162" s="33"/>
      <c r="RVJ162" s="33"/>
      <c r="RVK162" s="33"/>
      <c r="RVL162" s="33"/>
      <c r="RVM162" s="33"/>
      <c r="RVN162" s="33"/>
      <c r="RVO162" s="33"/>
      <c r="RVP162" s="33"/>
      <c r="RVQ162" s="33"/>
      <c r="RVR162" s="33"/>
      <c r="RVS162" s="33"/>
      <c r="RVT162" s="33"/>
      <c r="RVU162" s="33"/>
      <c r="RVV162" s="33"/>
      <c r="RVW162" s="33"/>
      <c r="RVX162" s="33"/>
      <c r="RVY162" s="33"/>
      <c r="RVZ162" s="33"/>
      <c r="RWA162" s="33"/>
      <c r="RWB162" s="33"/>
      <c r="RWC162" s="33"/>
      <c r="RWD162" s="33"/>
      <c r="RWE162" s="33"/>
      <c r="RWF162" s="33"/>
      <c r="RWG162" s="33"/>
      <c r="RWH162" s="33"/>
      <c r="RWI162" s="33"/>
      <c r="RWJ162" s="33"/>
      <c r="RWK162" s="33"/>
      <c r="RWL162" s="33"/>
      <c r="RWM162" s="33"/>
      <c r="RWN162" s="33"/>
      <c r="RWO162" s="33"/>
      <c r="RWP162" s="33"/>
      <c r="RWQ162" s="33"/>
      <c r="RWR162" s="33"/>
      <c r="RWS162" s="33"/>
      <c r="RWT162" s="33"/>
      <c r="RWU162" s="33"/>
      <c r="RWV162" s="33"/>
      <c r="RWW162" s="33"/>
      <c r="RWX162" s="33"/>
      <c r="RWY162" s="33"/>
      <c r="RWZ162" s="33"/>
      <c r="RXA162" s="33"/>
      <c r="RXB162" s="33"/>
      <c r="RXC162" s="33"/>
      <c r="RXD162" s="33"/>
      <c r="RXE162" s="33"/>
      <c r="RXF162" s="33"/>
      <c r="RXG162" s="33"/>
      <c r="RXH162" s="33"/>
      <c r="RXI162" s="33"/>
      <c r="RXJ162" s="33"/>
      <c r="RXK162" s="33"/>
      <c r="RXL162" s="33"/>
      <c r="RXM162" s="33"/>
      <c r="RXN162" s="33"/>
      <c r="RXO162" s="33"/>
      <c r="RXP162" s="33"/>
      <c r="RXQ162" s="33"/>
      <c r="RXR162" s="33"/>
      <c r="RXS162" s="33"/>
      <c r="RXT162" s="33"/>
      <c r="RXU162" s="33"/>
      <c r="RXV162" s="33"/>
      <c r="RXW162" s="33"/>
      <c r="RXX162" s="33"/>
      <c r="RXY162" s="33"/>
      <c r="RXZ162" s="33"/>
      <c r="RYA162" s="33"/>
      <c r="RYB162" s="33"/>
      <c r="RYC162" s="33"/>
      <c r="RYD162" s="33"/>
      <c r="RYE162" s="33"/>
      <c r="RYF162" s="33"/>
      <c r="RYG162" s="33"/>
      <c r="RYH162" s="33"/>
      <c r="RYI162" s="33"/>
      <c r="RYJ162" s="33"/>
      <c r="RYK162" s="33"/>
      <c r="RYL162" s="33"/>
      <c r="RYM162" s="33"/>
      <c r="RYN162" s="33"/>
      <c r="RYO162" s="33"/>
      <c r="RYP162" s="33"/>
      <c r="RYQ162" s="33"/>
      <c r="RYR162" s="33"/>
      <c r="RYS162" s="33"/>
      <c r="RYT162" s="33"/>
      <c r="RYU162" s="33"/>
      <c r="RYV162" s="33"/>
      <c r="RYW162" s="33"/>
      <c r="RYX162" s="33"/>
      <c r="RYY162" s="33"/>
      <c r="RYZ162" s="33"/>
      <c r="RZA162" s="33"/>
      <c r="RZB162" s="33"/>
      <c r="RZC162" s="33"/>
      <c r="RZD162" s="33"/>
      <c r="RZE162" s="33"/>
      <c r="RZF162" s="33"/>
      <c r="RZG162" s="33"/>
      <c r="RZH162" s="33"/>
      <c r="RZI162" s="33"/>
      <c r="RZJ162" s="33"/>
      <c r="RZK162" s="33"/>
      <c r="RZL162" s="33"/>
      <c r="RZM162" s="33"/>
      <c r="RZN162" s="33"/>
      <c r="RZO162" s="33"/>
      <c r="RZP162" s="33"/>
      <c r="RZQ162" s="33"/>
      <c r="RZR162" s="33"/>
      <c r="RZS162" s="33"/>
      <c r="RZT162" s="33"/>
      <c r="RZU162" s="33"/>
      <c r="RZV162" s="33"/>
      <c r="RZW162" s="33"/>
      <c r="RZX162" s="33"/>
      <c r="RZY162" s="33"/>
      <c r="RZZ162" s="33"/>
      <c r="SAA162" s="33"/>
      <c r="SAB162" s="33"/>
      <c r="SAC162" s="33"/>
      <c r="SAD162" s="33"/>
      <c r="SAE162" s="33"/>
      <c r="SAF162" s="33"/>
      <c r="SAG162" s="33"/>
      <c r="SAH162" s="33"/>
      <c r="SAI162" s="33"/>
      <c r="SAJ162" s="33"/>
      <c r="SAK162" s="33"/>
      <c r="SAL162" s="33"/>
      <c r="SAM162" s="33"/>
      <c r="SAN162" s="33"/>
      <c r="SAO162" s="33"/>
      <c r="SAP162" s="33"/>
      <c r="SAQ162" s="33"/>
      <c r="SAR162" s="33"/>
      <c r="SAS162" s="33"/>
      <c r="SAT162" s="33"/>
      <c r="SAU162" s="33"/>
      <c r="SAV162" s="33"/>
      <c r="SAW162" s="33"/>
      <c r="SAX162" s="33"/>
      <c r="SAY162" s="33"/>
      <c r="SAZ162" s="33"/>
      <c r="SBA162" s="33"/>
      <c r="SBB162" s="33"/>
      <c r="SBC162" s="33"/>
      <c r="SBD162" s="33"/>
      <c r="SBE162" s="33"/>
      <c r="SBF162" s="33"/>
      <c r="SBG162" s="33"/>
      <c r="SBH162" s="33"/>
      <c r="SBI162" s="33"/>
      <c r="SBJ162" s="33"/>
      <c r="SBK162" s="33"/>
      <c r="SBL162" s="33"/>
      <c r="SBM162" s="33"/>
      <c r="SBN162" s="33"/>
      <c r="SBO162" s="33"/>
      <c r="SBP162" s="33"/>
      <c r="SBQ162" s="33"/>
      <c r="SBR162" s="33"/>
      <c r="SBS162" s="33"/>
      <c r="SBT162" s="33"/>
      <c r="SBU162" s="33"/>
      <c r="SBV162" s="33"/>
      <c r="SBW162" s="33"/>
      <c r="SBX162" s="33"/>
      <c r="SBY162" s="33"/>
      <c r="SBZ162" s="33"/>
      <c r="SCA162" s="33"/>
      <c r="SCB162" s="33"/>
      <c r="SCC162" s="33"/>
      <c r="SCD162" s="33"/>
      <c r="SCE162" s="33"/>
      <c r="SCF162" s="33"/>
      <c r="SCG162" s="33"/>
      <c r="SCH162" s="33"/>
      <c r="SCI162" s="33"/>
      <c r="SCJ162" s="33"/>
      <c r="SCK162" s="33"/>
      <c r="SCL162" s="33"/>
      <c r="SCM162" s="33"/>
      <c r="SCN162" s="33"/>
      <c r="SCO162" s="33"/>
      <c r="SCP162" s="33"/>
      <c r="SCQ162" s="33"/>
      <c r="SCR162" s="33"/>
      <c r="SCS162" s="33"/>
      <c r="SCT162" s="33"/>
      <c r="SCU162" s="33"/>
      <c r="SCV162" s="33"/>
      <c r="SCW162" s="33"/>
      <c r="SCX162" s="33"/>
      <c r="SCY162" s="33"/>
      <c r="SCZ162" s="33"/>
      <c r="SDA162" s="33"/>
      <c r="SDB162" s="33"/>
      <c r="SDC162" s="33"/>
      <c r="SDD162" s="33"/>
      <c r="SDE162" s="33"/>
      <c r="SDF162" s="33"/>
      <c r="SDG162" s="33"/>
      <c r="SDH162" s="33"/>
      <c r="SDI162" s="33"/>
      <c r="SDJ162" s="33"/>
      <c r="SDK162" s="33"/>
      <c r="SDL162" s="33"/>
      <c r="SDM162" s="33"/>
      <c r="SDN162" s="33"/>
      <c r="SDO162" s="33"/>
      <c r="SDP162" s="33"/>
      <c r="SDQ162" s="33"/>
      <c r="SDR162" s="33"/>
      <c r="SDS162" s="33"/>
      <c r="SDT162" s="33"/>
      <c r="SDU162" s="33"/>
      <c r="SDV162" s="33"/>
      <c r="SDW162" s="33"/>
      <c r="SDX162" s="33"/>
      <c r="SDY162" s="33"/>
      <c r="SDZ162" s="33"/>
      <c r="SEA162" s="33"/>
      <c r="SEB162" s="33"/>
      <c r="SEC162" s="33"/>
      <c r="SED162" s="33"/>
      <c r="SEE162" s="33"/>
      <c r="SEF162" s="33"/>
      <c r="SEG162" s="33"/>
      <c r="SEH162" s="33"/>
      <c r="SEI162" s="33"/>
      <c r="SEJ162" s="33"/>
      <c r="SEK162" s="33"/>
      <c r="SEL162" s="33"/>
      <c r="SEM162" s="33"/>
      <c r="SEN162" s="33"/>
      <c r="SEO162" s="33"/>
      <c r="SEP162" s="33"/>
      <c r="SEQ162" s="33"/>
      <c r="SER162" s="33"/>
      <c r="SES162" s="33"/>
      <c r="SET162" s="33"/>
      <c r="SEU162" s="33"/>
      <c r="SEV162" s="33"/>
      <c r="SEW162" s="33"/>
      <c r="SEX162" s="33"/>
      <c r="SEY162" s="33"/>
      <c r="SEZ162" s="33"/>
      <c r="SFA162" s="33"/>
      <c r="SFB162" s="33"/>
      <c r="SFC162" s="33"/>
      <c r="SFD162" s="33"/>
      <c r="SFE162" s="33"/>
      <c r="SFF162" s="33"/>
      <c r="SFG162" s="33"/>
      <c r="SFH162" s="33"/>
      <c r="SFI162" s="33"/>
      <c r="SFJ162" s="33"/>
      <c r="SFK162" s="33"/>
      <c r="SFL162" s="33"/>
      <c r="SFM162" s="33"/>
      <c r="SFN162" s="33"/>
      <c r="SFO162" s="33"/>
      <c r="SFP162" s="33"/>
      <c r="SFQ162" s="33"/>
      <c r="SFR162" s="33"/>
      <c r="SFS162" s="33"/>
      <c r="SFT162" s="33"/>
      <c r="SFU162" s="33"/>
      <c r="SFV162" s="33"/>
      <c r="SFW162" s="33"/>
      <c r="SFX162" s="33"/>
      <c r="SFY162" s="33"/>
      <c r="SFZ162" s="33"/>
      <c r="SGA162" s="33"/>
      <c r="SGB162" s="33"/>
      <c r="SGC162" s="33"/>
      <c r="SGD162" s="33"/>
      <c r="SGE162" s="33"/>
      <c r="SGF162" s="33"/>
      <c r="SGG162" s="33"/>
      <c r="SGH162" s="33"/>
      <c r="SGI162" s="33"/>
      <c r="SGJ162" s="33"/>
      <c r="SGK162" s="33"/>
      <c r="SGL162" s="33"/>
      <c r="SGM162" s="33"/>
      <c r="SGN162" s="33"/>
      <c r="SGO162" s="33"/>
      <c r="SGP162" s="33"/>
      <c r="SGQ162" s="33"/>
      <c r="SGR162" s="33"/>
      <c r="SGS162" s="33"/>
      <c r="SGT162" s="33"/>
      <c r="SGU162" s="33"/>
      <c r="SGV162" s="33"/>
      <c r="SGW162" s="33"/>
      <c r="SGX162" s="33"/>
      <c r="SGY162" s="33"/>
      <c r="SGZ162" s="33"/>
      <c r="SHA162" s="33"/>
      <c r="SHB162" s="33"/>
      <c r="SHC162" s="33"/>
      <c r="SHD162" s="33"/>
      <c r="SHE162" s="33"/>
      <c r="SHF162" s="33"/>
      <c r="SHG162" s="33"/>
      <c r="SHH162" s="33"/>
      <c r="SHI162" s="33"/>
      <c r="SHJ162" s="33"/>
      <c r="SHK162" s="33"/>
      <c r="SHL162" s="33"/>
      <c r="SHM162" s="33"/>
      <c r="SHN162" s="33"/>
      <c r="SHO162" s="33"/>
      <c r="SHP162" s="33"/>
      <c r="SHQ162" s="33"/>
      <c r="SHR162" s="33"/>
      <c r="SHS162" s="33"/>
      <c r="SHT162" s="33"/>
      <c r="SHU162" s="33"/>
      <c r="SHV162" s="33"/>
      <c r="SHW162" s="33"/>
      <c r="SHX162" s="33"/>
      <c r="SHY162" s="33"/>
      <c r="SHZ162" s="33"/>
      <c r="SIA162" s="33"/>
      <c r="SIB162" s="33"/>
      <c r="SIC162" s="33"/>
      <c r="SID162" s="33"/>
      <c r="SIE162" s="33"/>
      <c r="SIF162" s="33"/>
      <c r="SIG162" s="33"/>
      <c r="SIH162" s="33"/>
      <c r="SII162" s="33"/>
      <c r="SIJ162" s="33"/>
      <c r="SIK162" s="33"/>
      <c r="SIL162" s="33"/>
      <c r="SIM162" s="33"/>
      <c r="SIN162" s="33"/>
      <c r="SIO162" s="33"/>
      <c r="SIP162" s="33"/>
      <c r="SIQ162" s="33"/>
      <c r="SIR162" s="33"/>
      <c r="SIS162" s="33"/>
      <c r="SIT162" s="33"/>
      <c r="SIU162" s="33"/>
      <c r="SIV162" s="33"/>
      <c r="SIW162" s="33"/>
      <c r="SIX162" s="33"/>
      <c r="SIY162" s="33"/>
      <c r="SIZ162" s="33"/>
      <c r="SJA162" s="33"/>
      <c r="SJB162" s="33"/>
      <c r="SJC162" s="33"/>
      <c r="SJD162" s="33"/>
      <c r="SJE162" s="33"/>
      <c r="SJF162" s="33"/>
      <c r="SJG162" s="33"/>
      <c r="SJH162" s="33"/>
      <c r="SJI162" s="33"/>
      <c r="SJJ162" s="33"/>
      <c r="SJK162" s="33"/>
      <c r="SJL162" s="33"/>
      <c r="SJM162" s="33"/>
      <c r="SJN162" s="33"/>
      <c r="SJO162" s="33"/>
      <c r="SJP162" s="33"/>
      <c r="SJQ162" s="33"/>
      <c r="SJR162" s="33"/>
      <c r="SJS162" s="33"/>
      <c r="SJT162" s="33"/>
      <c r="SJU162" s="33"/>
      <c r="SJV162" s="33"/>
      <c r="SJW162" s="33"/>
      <c r="SJX162" s="33"/>
      <c r="SJY162" s="33"/>
      <c r="SJZ162" s="33"/>
      <c r="SKA162" s="33"/>
      <c r="SKB162" s="33"/>
      <c r="SKC162" s="33"/>
      <c r="SKD162" s="33"/>
      <c r="SKE162" s="33"/>
      <c r="SKF162" s="33"/>
      <c r="SKG162" s="33"/>
      <c r="SKH162" s="33"/>
      <c r="SKI162" s="33"/>
      <c r="SKJ162" s="33"/>
      <c r="SKK162" s="33"/>
      <c r="SKL162" s="33"/>
      <c r="SKM162" s="33"/>
      <c r="SKN162" s="33"/>
      <c r="SKO162" s="33"/>
      <c r="SKP162" s="33"/>
      <c r="SKQ162" s="33"/>
      <c r="SKR162" s="33"/>
      <c r="SKS162" s="33"/>
      <c r="SKT162" s="33"/>
      <c r="SKU162" s="33"/>
      <c r="SKV162" s="33"/>
      <c r="SKW162" s="33"/>
      <c r="SKX162" s="33"/>
      <c r="SKY162" s="33"/>
      <c r="SKZ162" s="33"/>
      <c r="SLA162" s="33"/>
      <c r="SLB162" s="33"/>
      <c r="SLC162" s="33"/>
      <c r="SLD162" s="33"/>
      <c r="SLE162" s="33"/>
      <c r="SLF162" s="33"/>
      <c r="SLG162" s="33"/>
      <c r="SLH162" s="33"/>
      <c r="SLI162" s="33"/>
      <c r="SLJ162" s="33"/>
      <c r="SLK162" s="33"/>
      <c r="SLL162" s="33"/>
      <c r="SLM162" s="33"/>
      <c r="SLN162" s="33"/>
      <c r="SLO162" s="33"/>
      <c r="SLP162" s="33"/>
      <c r="SLQ162" s="33"/>
      <c r="SLR162" s="33"/>
      <c r="SLS162" s="33"/>
      <c r="SLT162" s="33"/>
      <c r="SLU162" s="33"/>
      <c r="SLV162" s="33"/>
      <c r="SLW162" s="33"/>
      <c r="SLX162" s="33"/>
      <c r="SLY162" s="33"/>
      <c r="SLZ162" s="33"/>
      <c r="SMA162" s="33"/>
      <c r="SMB162" s="33"/>
      <c r="SMC162" s="33"/>
      <c r="SMD162" s="33"/>
      <c r="SME162" s="33"/>
      <c r="SMF162" s="33"/>
      <c r="SMG162" s="33"/>
      <c r="SMH162" s="33"/>
      <c r="SMI162" s="33"/>
      <c r="SMJ162" s="33"/>
      <c r="SMK162" s="33"/>
      <c r="SML162" s="33"/>
      <c r="SMM162" s="33"/>
      <c r="SMN162" s="33"/>
      <c r="SMO162" s="33"/>
      <c r="SMP162" s="33"/>
      <c r="SMQ162" s="33"/>
      <c r="SMR162" s="33"/>
      <c r="SMS162" s="33"/>
      <c r="SMT162" s="33"/>
      <c r="SMU162" s="33"/>
      <c r="SMV162" s="33"/>
      <c r="SMW162" s="33"/>
      <c r="SMX162" s="33"/>
      <c r="SMY162" s="33"/>
      <c r="SMZ162" s="33"/>
      <c r="SNA162" s="33"/>
      <c r="SNB162" s="33"/>
      <c r="SNC162" s="33"/>
      <c r="SND162" s="33"/>
      <c r="SNE162" s="33"/>
      <c r="SNF162" s="33"/>
      <c r="SNG162" s="33"/>
      <c r="SNH162" s="33"/>
      <c r="SNI162" s="33"/>
      <c r="SNJ162" s="33"/>
      <c r="SNK162" s="33"/>
      <c r="SNL162" s="33"/>
      <c r="SNM162" s="33"/>
      <c r="SNN162" s="33"/>
      <c r="SNO162" s="33"/>
      <c r="SNP162" s="33"/>
      <c r="SNQ162" s="33"/>
      <c r="SNR162" s="33"/>
      <c r="SNS162" s="33"/>
      <c r="SNT162" s="33"/>
      <c r="SNU162" s="33"/>
      <c r="SNV162" s="33"/>
      <c r="SNW162" s="33"/>
      <c r="SNX162" s="33"/>
      <c r="SNY162" s="33"/>
      <c r="SNZ162" s="33"/>
      <c r="SOA162" s="33"/>
      <c r="SOB162" s="33"/>
      <c r="SOC162" s="33"/>
      <c r="SOD162" s="33"/>
      <c r="SOE162" s="33"/>
      <c r="SOF162" s="33"/>
      <c r="SOG162" s="33"/>
      <c r="SOH162" s="33"/>
      <c r="SOI162" s="33"/>
      <c r="SOJ162" s="33"/>
      <c r="SOK162" s="33"/>
      <c r="SOL162" s="33"/>
      <c r="SOM162" s="33"/>
      <c r="SON162" s="33"/>
      <c r="SOO162" s="33"/>
      <c r="SOP162" s="33"/>
      <c r="SOQ162" s="33"/>
      <c r="SOR162" s="33"/>
      <c r="SOS162" s="33"/>
      <c r="SOT162" s="33"/>
      <c r="SOU162" s="33"/>
      <c r="SOV162" s="33"/>
      <c r="SOW162" s="33"/>
      <c r="SOX162" s="33"/>
      <c r="SOY162" s="33"/>
      <c r="SOZ162" s="33"/>
      <c r="SPA162" s="33"/>
      <c r="SPB162" s="33"/>
      <c r="SPC162" s="33"/>
      <c r="SPD162" s="33"/>
      <c r="SPE162" s="33"/>
      <c r="SPF162" s="33"/>
      <c r="SPG162" s="33"/>
      <c r="SPH162" s="33"/>
      <c r="SPI162" s="33"/>
      <c r="SPJ162" s="33"/>
      <c r="SPK162" s="33"/>
      <c r="SPL162" s="33"/>
      <c r="SPM162" s="33"/>
      <c r="SPN162" s="33"/>
      <c r="SPO162" s="33"/>
      <c r="SPP162" s="33"/>
      <c r="SPQ162" s="33"/>
      <c r="SPR162" s="33"/>
      <c r="SPS162" s="33"/>
      <c r="SPT162" s="33"/>
      <c r="SPU162" s="33"/>
      <c r="SPV162" s="33"/>
      <c r="SPW162" s="33"/>
      <c r="SPX162" s="33"/>
      <c r="SPY162" s="33"/>
      <c r="SPZ162" s="33"/>
      <c r="SQA162" s="33"/>
      <c r="SQB162" s="33"/>
      <c r="SQC162" s="33"/>
      <c r="SQD162" s="33"/>
      <c r="SQE162" s="33"/>
      <c r="SQF162" s="33"/>
      <c r="SQG162" s="33"/>
      <c r="SQH162" s="33"/>
      <c r="SQI162" s="33"/>
      <c r="SQJ162" s="33"/>
      <c r="SQK162" s="33"/>
      <c r="SQL162" s="33"/>
      <c r="SQM162" s="33"/>
      <c r="SQN162" s="33"/>
      <c r="SQO162" s="33"/>
      <c r="SQP162" s="33"/>
      <c r="SQQ162" s="33"/>
      <c r="SQR162" s="33"/>
      <c r="SQS162" s="33"/>
      <c r="SQT162" s="33"/>
      <c r="SQU162" s="33"/>
      <c r="SQV162" s="33"/>
      <c r="SQW162" s="33"/>
      <c r="SQX162" s="33"/>
      <c r="SQY162" s="33"/>
      <c r="SQZ162" s="33"/>
      <c r="SRA162" s="33"/>
      <c r="SRB162" s="33"/>
      <c r="SRC162" s="33"/>
      <c r="SRD162" s="33"/>
      <c r="SRE162" s="33"/>
      <c r="SRF162" s="33"/>
      <c r="SRG162" s="33"/>
      <c r="SRH162" s="33"/>
      <c r="SRI162" s="33"/>
      <c r="SRJ162" s="33"/>
      <c r="SRK162" s="33"/>
      <c r="SRL162" s="33"/>
      <c r="SRM162" s="33"/>
      <c r="SRN162" s="33"/>
      <c r="SRO162" s="33"/>
      <c r="SRP162" s="33"/>
      <c r="SRQ162" s="33"/>
      <c r="SRR162" s="33"/>
      <c r="SRS162" s="33"/>
      <c r="SRT162" s="33"/>
      <c r="SRU162" s="33"/>
      <c r="SRV162" s="33"/>
      <c r="SRW162" s="33"/>
      <c r="SRX162" s="33"/>
      <c r="SRY162" s="33"/>
      <c r="SRZ162" s="33"/>
      <c r="SSA162" s="33"/>
      <c r="SSB162" s="33"/>
      <c r="SSC162" s="33"/>
      <c r="SSD162" s="33"/>
      <c r="SSE162" s="33"/>
      <c r="SSF162" s="33"/>
      <c r="SSG162" s="33"/>
      <c r="SSH162" s="33"/>
      <c r="SSI162" s="33"/>
      <c r="SSJ162" s="33"/>
      <c r="SSK162" s="33"/>
      <c r="SSL162" s="33"/>
      <c r="SSM162" s="33"/>
      <c r="SSN162" s="33"/>
      <c r="SSO162" s="33"/>
      <c r="SSP162" s="33"/>
      <c r="SSQ162" s="33"/>
      <c r="SSR162" s="33"/>
      <c r="SSS162" s="33"/>
      <c r="SST162" s="33"/>
      <c r="SSU162" s="33"/>
      <c r="SSV162" s="33"/>
      <c r="SSW162" s="33"/>
      <c r="SSX162" s="33"/>
      <c r="SSY162" s="33"/>
      <c r="SSZ162" s="33"/>
      <c r="STA162" s="33"/>
      <c r="STB162" s="33"/>
      <c r="STC162" s="33"/>
      <c r="STD162" s="33"/>
      <c r="STE162" s="33"/>
      <c r="STF162" s="33"/>
      <c r="STG162" s="33"/>
      <c r="STH162" s="33"/>
      <c r="STI162" s="33"/>
      <c r="STJ162" s="33"/>
      <c r="STK162" s="33"/>
      <c r="STL162" s="33"/>
      <c r="STM162" s="33"/>
      <c r="STN162" s="33"/>
      <c r="STO162" s="33"/>
      <c r="STP162" s="33"/>
      <c r="STQ162" s="33"/>
      <c r="STR162" s="33"/>
      <c r="STS162" s="33"/>
      <c r="STT162" s="33"/>
      <c r="STU162" s="33"/>
      <c r="STV162" s="33"/>
      <c r="STW162" s="33"/>
      <c r="STX162" s="33"/>
      <c r="STY162" s="33"/>
      <c r="STZ162" s="33"/>
      <c r="SUA162" s="33"/>
      <c r="SUB162" s="33"/>
      <c r="SUC162" s="33"/>
      <c r="SUD162" s="33"/>
      <c r="SUE162" s="33"/>
      <c r="SUF162" s="33"/>
      <c r="SUG162" s="33"/>
      <c r="SUH162" s="33"/>
      <c r="SUI162" s="33"/>
      <c r="SUJ162" s="33"/>
      <c r="SUK162" s="33"/>
      <c r="SUL162" s="33"/>
      <c r="SUM162" s="33"/>
      <c r="SUN162" s="33"/>
      <c r="SUO162" s="33"/>
      <c r="SUP162" s="33"/>
      <c r="SUQ162" s="33"/>
      <c r="SUR162" s="33"/>
      <c r="SUS162" s="33"/>
      <c r="SUT162" s="33"/>
      <c r="SUU162" s="33"/>
      <c r="SUV162" s="33"/>
      <c r="SUW162" s="33"/>
      <c r="SUX162" s="33"/>
      <c r="SUY162" s="33"/>
      <c r="SUZ162" s="33"/>
      <c r="SVA162" s="33"/>
      <c r="SVB162" s="33"/>
      <c r="SVC162" s="33"/>
      <c r="SVD162" s="33"/>
      <c r="SVE162" s="33"/>
      <c r="SVF162" s="33"/>
      <c r="SVG162" s="33"/>
      <c r="SVH162" s="33"/>
      <c r="SVI162" s="33"/>
      <c r="SVJ162" s="33"/>
      <c r="SVK162" s="33"/>
      <c r="SVL162" s="33"/>
      <c r="SVM162" s="33"/>
      <c r="SVN162" s="33"/>
      <c r="SVO162" s="33"/>
      <c r="SVP162" s="33"/>
      <c r="SVQ162" s="33"/>
      <c r="SVR162" s="33"/>
      <c r="SVS162" s="33"/>
      <c r="SVT162" s="33"/>
      <c r="SVU162" s="33"/>
      <c r="SVV162" s="33"/>
      <c r="SVW162" s="33"/>
      <c r="SVX162" s="33"/>
      <c r="SVY162" s="33"/>
      <c r="SVZ162" s="33"/>
      <c r="SWA162" s="33"/>
      <c r="SWB162" s="33"/>
      <c r="SWC162" s="33"/>
      <c r="SWD162" s="33"/>
      <c r="SWE162" s="33"/>
      <c r="SWF162" s="33"/>
      <c r="SWG162" s="33"/>
      <c r="SWH162" s="33"/>
      <c r="SWI162" s="33"/>
      <c r="SWJ162" s="33"/>
      <c r="SWK162" s="33"/>
      <c r="SWL162" s="33"/>
      <c r="SWM162" s="33"/>
      <c r="SWN162" s="33"/>
      <c r="SWO162" s="33"/>
      <c r="SWP162" s="33"/>
      <c r="SWQ162" s="33"/>
      <c r="SWR162" s="33"/>
      <c r="SWS162" s="33"/>
      <c r="SWT162" s="33"/>
      <c r="SWU162" s="33"/>
      <c r="SWV162" s="33"/>
      <c r="SWW162" s="33"/>
      <c r="SWX162" s="33"/>
      <c r="SWY162" s="33"/>
      <c r="SWZ162" s="33"/>
      <c r="SXA162" s="33"/>
      <c r="SXB162" s="33"/>
      <c r="SXC162" s="33"/>
      <c r="SXD162" s="33"/>
      <c r="SXE162" s="33"/>
      <c r="SXF162" s="33"/>
      <c r="SXG162" s="33"/>
      <c r="SXH162" s="33"/>
      <c r="SXI162" s="33"/>
      <c r="SXJ162" s="33"/>
      <c r="SXK162" s="33"/>
      <c r="SXL162" s="33"/>
      <c r="SXM162" s="33"/>
      <c r="SXN162" s="33"/>
      <c r="SXO162" s="33"/>
      <c r="SXP162" s="33"/>
      <c r="SXQ162" s="33"/>
      <c r="SXR162" s="33"/>
      <c r="SXS162" s="33"/>
      <c r="SXT162" s="33"/>
      <c r="SXU162" s="33"/>
      <c r="SXV162" s="33"/>
      <c r="SXW162" s="33"/>
      <c r="SXX162" s="33"/>
      <c r="SXY162" s="33"/>
      <c r="SXZ162" s="33"/>
      <c r="SYA162" s="33"/>
      <c r="SYB162" s="33"/>
      <c r="SYC162" s="33"/>
      <c r="SYD162" s="33"/>
      <c r="SYE162" s="33"/>
      <c r="SYF162" s="33"/>
      <c r="SYG162" s="33"/>
      <c r="SYH162" s="33"/>
      <c r="SYI162" s="33"/>
      <c r="SYJ162" s="33"/>
      <c r="SYK162" s="33"/>
      <c r="SYL162" s="33"/>
      <c r="SYM162" s="33"/>
      <c r="SYN162" s="33"/>
      <c r="SYO162" s="33"/>
      <c r="SYP162" s="33"/>
      <c r="SYQ162" s="33"/>
      <c r="SYR162" s="33"/>
      <c r="SYS162" s="33"/>
      <c r="SYT162" s="33"/>
      <c r="SYU162" s="33"/>
      <c r="SYV162" s="33"/>
      <c r="SYW162" s="33"/>
      <c r="SYX162" s="33"/>
      <c r="SYY162" s="33"/>
      <c r="SYZ162" s="33"/>
      <c r="SZA162" s="33"/>
      <c r="SZB162" s="33"/>
      <c r="SZC162" s="33"/>
      <c r="SZD162" s="33"/>
      <c r="SZE162" s="33"/>
      <c r="SZF162" s="33"/>
      <c r="SZG162" s="33"/>
      <c r="SZH162" s="33"/>
      <c r="SZI162" s="33"/>
      <c r="SZJ162" s="33"/>
      <c r="SZK162" s="33"/>
      <c r="SZL162" s="33"/>
      <c r="SZM162" s="33"/>
      <c r="SZN162" s="33"/>
      <c r="SZO162" s="33"/>
      <c r="SZP162" s="33"/>
      <c r="SZQ162" s="33"/>
      <c r="SZR162" s="33"/>
      <c r="SZS162" s="33"/>
      <c r="SZT162" s="33"/>
      <c r="SZU162" s="33"/>
      <c r="SZV162" s="33"/>
      <c r="SZW162" s="33"/>
      <c r="SZX162" s="33"/>
      <c r="SZY162" s="33"/>
      <c r="SZZ162" s="33"/>
      <c r="TAA162" s="33"/>
      <c r="TAB162" s="33"/>
      <c r="TAC162" s="33"/>
      <c r="TAD162" s="33"/>
      <c r="TAE162" s="33"/>
      <c r="TAF162" s="33"/>
      <c r="TAG162" s="33"/>
      <c r="TAH162" s="33"/>
      <c r="TAI162" s="33"/>
      <c r="TAJ162" s="33"/>
      <c r="TAK162" s="33"/>
      <c r="TAL162" s="33"/>
      <c r="TAM162" s="33"/>
      <c r="TAN162" s="33"/>
      <c r="TAO162" s="33"/>
      <c r="TAP162" s="33"/>
      <c r="TAQ162" s="33"/>
      <c r="TAR162" s="33"/>
      <c r="TAS162" s="33"/>
      <c r="TAT162" s="33"/>
      <c r="TAU162" s="33"/>
      <c r="TAV162" s="33"/>
      <c r="TAW162" s="33"/>
      <c r="TAX162" s="33"/>
      <c r="TAY162" s="33"/>
      <c r="TAZ162" s="33"/>
      <c r="TBA162" s="33"/>
      <c r="TBB162" s="33"/>
      <c r="TBC162" s="33"/>
      <c r="TBD162" s="33"/>
      <c r="TBE162" s="33"/>
      <c r="TBF162" s="33"/>
      <c r="TBG162" s="33"/>
      <c r="TBH162" s="33"/>
      <c r="TBI162" s="33"/>
      <c r="TBJ162" s="33"/>
      <c r="TBK162" s="33"/>
      <c r="TBL162" s="33"/>
      <c r="TBM162" s="33"/>
      <c r="TBN162" s="33"/>
      <c r="TBO162" s="33"/>
      <c r="TBP162" s="33"/>
      <c r="TBQ162" s="33"/>
      <c r="TBR162" s="33"/>
      <c r="TBS162" s="33"/>
      <c r="TBT162" s="33"/>
      <c r="TBU162" s="33"/>
      <c r="TBV162" s="33"/>
      <c r="TBW162" s="33"/>
      <c r="TBX162" s="33"/>
      <c r="TBY162" s="33"/>
      <c r="TBZ162" s="33"/>
      <c r="TCA162" s="33"/>
      <c r="TCB162" s="33"/>
      <c r="TCC162" s="33"/>
      <c r="TCD162" s="33"/>
      <c r="TCE162" s="33"/>
      <c r="TCF162" s="33"/>
      <c r="TCG162" s="33"/>
      <c r="TCH162" s="33"/>
      <c r="TCI162" s="33"/>
      <c r="TCJ162" s="33"/>
      <c r="TCK162" s="33"/>
      <c r="TCL162" s="33"/>
      <c r="TCM162" s="33"/>
      <c r="TCN162" s="33"/>
      <c r="TCO162" s="33"/>
      <c r="TCP162" s="33"/>
      <c r="TCQ162" s="33"/>
      <c r="TCR162" s="33"/>
      <c r="TCS162" s="33"/>
      <c r="TCT162" s="33"/>
      <c r="TCU162" s="33"/>
      <c r="TCV162" s="33"/>
      <c r="TCW162" s="33"/>
      <c r="TCX162" s="33"/>
      <c r="TCY162" s="33"/>
      <c r="TCZ162" s="33"/>
      <c r="TDA162" s="33"/>
      <c r="TDB162" s="33"/>
      <c r="TDC162" s="33"/>
      <c r="TDD162" s="33"/>
      <c r="TDE162" s="33"/>
      <c r="TDF162" s="33"/>
      <c r="TDG162" s="33"/>
      <c r="TDH162" s="33"/>
      <c r="TDI162" s="33"/>
      <c r="TDJ162" s="33"/>
      <c r="TDK162" s="33"/>
      <c r="TDL162" s="33"/>
      <c r="TDM162" s="33"/>
      <c r="TDN162" s="33"/>
      <c r="TDO162" s="33"/>
      <c r="TDP162" s="33"/>
      <c r="TDQ162" s="33"/>
      <c r="TDR162" s="33"/>
      <c r="TDS162" s="33"/>
      <c r="TDT162" s="33"/>
      <c r="TDU162" s="33"/>
      <c r="TDV162" s="33"/>
      <c r="TDW162" s="33"/>
      <c r="TDX162" s="33"/>
      <c r="TDY162" s="33"/>
      <c r="TDZ162" s="33"/>
      <c r="TEA162" s="33"/>
      <c r="TEB162" s="33"/>
      <c r="TEC162" s="33"/>
      <c r="TED162" s="33"/>
      <c r="TEE162" s="33"/>
      <c r="TEF162" s="33"/>
      <c r="TEG162" s="33"/>
      <c r="TEH162" s="33"/>
      <c r="TEI162" s="33"/>
      <c r="TEJ162" s="33"/>
      <c r="TEK162" s="33"/>
      <c r="TEL162" s="33"/>
      <c r="TEM162" s="33"/>
      <c r="TEN162" s="33"/>
      <c r="TEO162" s="33"/>
      <c r="TEP162" s="33"/>
      <c r="TEQ162" s="33"/>
      <c r="TER162" s="33"/>
      <c r="TES162" s="33"/>
      <c r="TET162" s="33"/>
      <c r="TEU162" s="33"/>
      <c r="TEV162" s="33"/>
      <c r="TEW162" s="33"/>
      <c r="TEX162" s="33"/>
      <c r="TEY162" s="33"/>
      <c r="TEZ162" s="33"/>
      <c r="TFA162" s="33"/>
      <c r="TFB162" s="33"/>
      <c r="TFC162" s="33"/>
      <c r="TFD162" s="33"/>
      <c r="TFE162" s="33"/>
      <c r="TFF162" s="33"/>
      <c r="TFG162" s="33"/>
      <c r="TFH162" s="33"/>
      <c r="TFI162" s="33"/>
      <c r="TFJ162" s="33"/>
      <c r="TFK162" s="33"/>
      <c r="TFL162" s="33"/>
      <c r="TFM162" s="33"/>
      <c r="TFN162" s="33"/>
      <c r="TFO162" s="33"/>
      <c r="TFP162" s="33"/>
      <c r="TFQ162" s="33"/>
      <c r="TFR162" s="33"/>
      <c r="TFS162" s="33"/>
      <c r="TFT162" s="33"/>
      <c r="TFU162" s="33"/>
      <c r="TFV162" s="33"/>
      <c r="TFW162" s="33"/>
      <c r="TFX162" s="33"/>
      <c r="TFY162" s="33"/>
      <c r="TFZ162" s="33"/>
      <c r="TGA162" s="33"/>
      <c r="TGB162" s="33"/>
      <c r="TGC162" s="33"/>
      <c r="TGD162" s="33"/>
      <c r="TGE162" s="33"/>
      <c r="TGF162" s="33"/>
      <c r="TGG162" s="33"/>
      <c r="TGH162" s="33"/>
      <c r="TGI162" s="33"/>
      <c r="TGJ162" s="33"/>
      <c r="TGK162" s="33"/>
      <c r="TGL162" s="33"/>
      <c r="TGM162" s="33"/>
      <c r="TGN162" s="33"/>
      <c r="TGO162" s="33"/>
      <c r="TGP162" s="33"/>
      <c r="TGQ162" s="33"/>
      <c r="TGR162" s="33"/>
      <c r="TGS162" s="33"/>
      <c r="TGT162" s="33"/>
      <c r="TGU162" s="33"/>
      <c r="TGV162" s="33"/>
      <c r="TGW162" s="33"/>
      <c r="TGX162" s="33"/>
      <c r="TGY162" s="33"/>
      <c r="TGZ162" s="33"/>
      <c r="THA162" s="33"/>
      <c r="THB162" s="33"/>
      <c r="THC162" s="33"/>
      <c r="THD162" s="33"/>
      <c r="THE162" s="33"/>
      <c r="THF162" s="33"/>
      <c r="THG162" s="33"/>
      <c r="THH162" s="33"/>
      <c r="THI162" s="33"/>
      <c r="THJ162" s="33"/>
      <c r="THK162" s="33"/>
      <c r="THL162" s="33"/>
      <c r="THM162" s="33"/>
      <c r="THN162" s="33"/>
      <c r="THO162" s="33"/>
      <c r="THP162" s="33"/>
      <c r="THQ162" s="33"/>
      <c r="THR162" s="33"/>
      <c r="THS162" s="33"/>
      <c r="THT162" s="33"/>
      <c r="THU162" s="33"/>
      <c r="THV162" s="33"/>
      <c r="THW162" s="33"/>
      <c r="THX162" s="33"/>
      <c r="THY162" s="33"/>
      <c r="THZ162" s="33"/>
      <c r="TIA162" s="33"/>
      <c r="TIB162" s="33"/>
      <c r="TIC162" s="33"/>
      <c r="TID162" s="33"/>
      <c r="TIE162" s="33"/>
      <c r="TIF162" s="33"/>
      <c r="TIG162" s="33"/>
      <c r="TIH162" s="33"/>
      <c r="TII162" s="33"/>
      <c r="TIJ162" s="33"/>
      <c r="TIK162" s="33"/>
      <c r="TIL162" s="33"/>
      <c r="TIM162" s="33"/>
      <c r="TIN162" s="33"/>
      <c r="TIO162" s="33"/>
      <c r="TIP162" s="33"/>
      <c r="TIQ162" s="33"/>
      <c r="TIR162" s="33"/>
      <c r="TIS162" s="33"/>
      <c r="TIT162" s="33"/>
      <c r="TIU162" s="33"/>
      <c r="TIV162" s="33"/>
      <c r="TIW162" s="33"/>
      <c r="TIX162" s="33"/>
      <c r="TIY162" s="33"/>
      <c r="TIZ162" s="33"/>
      <c r="TJA162" s="33"/>
      <c r="TJB162" s="33"/>
      <c r="TJC162" s="33"/>
      <c r="TJD162" s="33"/>
      <c r="TJE162" s="33"/>
      <c r="TJF162" s="33"/>
      <c r="TJG162" s="33"/>
      <c r="TJH162" s="33"/>
      <c r="TJI162" s="33"/>
      <c r="TJJ162" s="33"/>
      <c r="TJK162" s="33"/>
      <c r="TJL162" s="33"/>
      <c r="TJM162" s="33"/>
      <c r="TJN162" s="33"/>
      <c r="TJO162" s="33"/>
      <c r="TJP162" s="33"/>
      <c r="TJQ162" s="33"/>
      <c r="TJR162" s="33"/>
      <c r="TJS162" s="33"/>
      <c r="TJT162" s="33"/>
      <c r="TJU162" s="33"/>
      <c r="TJV162" s="33"/>
      <c r="TJW162" s="33"/>
      <c r="TJX162" s="33"/>
      <c r="TJY162" s="33"/>
      <c r="TJZ162" s="33"/>
      <c r="TKA162" s="33"/>
      <c r="TKB162" s="33"/>
      <c r="TKC162" s="33"/>
      <c r="TKD162" s="33"/>
      <c r="TKE162" s="33"/>
      <c r="TKF162" s="33"/>
      <c r="TKG162" s="33"/>
      <c r="TKH162" s="33"/>
      <c r="TKI162" s="33"/>
      <c r="TKJ162" s="33"/>
      <c r="TKK162" s="33"/>
      <c r="TKL162" s="33"/>
      <c r="TKM162" s="33"/>
      <c r="TKN162" s="33"/>
      <c r="TKO162" s="33"/>
      <c r="TKP162" s="33"/>
      <c r="TKQ162" s="33"/>
      <c r="TKR162" s="33"/>
      <c r="TKS162" s="33"/>
      <c r="TKT162" s="33"/>
      <c r="TKU162" s="33"/>
      <c r="TKV162" s="33"/>
      <c r="TKW162" s="33"/>
      <c r="TKX162" s="33"/>
      <c r="TKY162" s="33"/>
      <c r="TKZ162" s="33"/>
      <c r="TLA162" s="33"/>
      <c r="TLB162" s="33"/>
      <c r="TLC162" s="33"/>
      <c r="TLD162" s="33"/>
      <c r="TLE162" s="33"/>
      <c r="TLF162" s="33"/>
      <c r="TLG162" s="33"/>
      <c r="TLH162" s="33"/>
      <c r="TLI162" s="33"/>
      <c r="TLJ162" s="33"/>
      <c r="TLK162" s="33"/>
      <c r="TLL162" s="33"/>
      <c r="TLM162" s="33"/>
      <c r="TLN162" s="33"/>
      <c r="TLO162" s="33"/>
      <c r="TLP162" s="33"/>
      <c r="TLQ162" s="33"/>
      <c r="TLR162" s="33"/>
      <c r="TLS162" s="33"/>
      <c r="TLT162" s="33"/>
      <c r="TLU162" s="33"/>
      <c r="TLV162" s="33"/>
      <c r="TLW162" s="33"/>
      <c r="TLX162" s="33"/>
      <c r="TLY162" s="33"/>
      <c r="TLZ162" s="33"/>
      <c r="TMA162" s="33"/>
      <c r="TMB162" s="33"/>
      <c r="TMC162" s="33"/>
      <c r="TMD162" s="33"/>
      <c r="TME162" s="33"/>
      <c r="TMF162" s="33"/>
      <c r="TMG162" s="33"/>
      <c r="TMH162" s="33"/>
      <c r="TMI162" s="33"/>
      <c r="TMJ162" s="33"/>
      <c r="TMK162" s="33"/>
      <c r="TML162" s="33"/>
      <c r="TMM162" s="33"/>
      <c r="TMN162" s="33"/>
      <c r="TMO162" s="33"/>
      <c r="TMP162" s="33"/>
      <c r="TMQ162" s="33"/>
      <c r="TMR162" s="33"/>
      <c r="TMS162" s="33"/>
      <c r="TMT162" s="33"/>
      <c r="TMU162" s="33"/>
      <c r="TMV162" s="33"/>
      <c r="TMW162" s="33"/>
      <c r="TMX162" s="33"/>
      <c r="TMY162" s="33"/>
      <c r="TMZ162" s="33"/>
      <c r="TNA162" s="33"/>
      <c r="TNB162" s="33"/>
      <c r="TNC162" s="33"/>
      <c r="TND162" s="33"/>
      <c r="TNE162" s="33"/>
      <c r="TNF162" s="33"/>
      <c r="TNG162" s="33"/>
      <c r="TNH162" s="33"/>
      <c r="TNI162" s="33"/>
      <c r="TNJ162" s="33"/>
      <c r="TNK162" s="33"/>
      <c r="TNL162" s="33"/>
      <c r="TNM162" s="33"/>
      <c r="TNN162" s="33"/>
      <c r="TNO162" s="33"/>
      <c r="TNP162" s="33"/>
      <c r="TNQ162" s="33"/>
      <c r="TNR162" s="33"/>
      <c r="TNS162" s="33"/>
      <c r="TNT162" s="33"/>
      <c r="TNU162" s="33"/>
      <c r="TNV162" s="33"/>
      <c r="TNW162" s="33"/>
      <c r="TNX162" s="33"/>
      <c r="TNY162" s="33"/>
      <c r="TNZ162" s="33"/>
      <c r="TOA162" s="33"/>
      <c r="TOB162" s="33"/>
      <c r="TOC162" s="33"/>
      <c r="TOD162" s="33"/>
      <c r="TOE162" s="33"/>
      <c r="TOF162" s="33"/>
      <c r="TOG162" s="33"/>
      <c r="TOH162" s="33"/>
      <c r="TOI162" s="33"/>
      <c r="TOJ162" s="33"/>
      <c r="TOK162" s="33"/>
      <c r="TOL162" s="33"/>
      <c r="TOM162" s="33"/>
      <c r="TON162" s="33"/>
      <c r="TOO162" s="33"/>
      <c r="TOP162" s="33"/>
      <c r="TOQ162" s="33"/>
      <c r="TOR162" s="33"/>
      <c r="TOS162" s="33"/>
      <c r="TOT162" s="33"/>
      <c r="TOU162" s="33"/>
      <c r="TOV162" s="33"/>
      <c r="TOW162" s="33"/>
      <c r="TOX162" s="33"/>
      <c r="TOY162" s="33"/>
      <c r="TOZ162" s="33"/>
      <c r="TPA162" s="33"/>
      <c r="TPB162" s="33"/>
      <c r="TPC162" s="33"/>
      <c r="TPD162" s="33"/>
      <c r="TPE162" s="33"/>
      <c r="TPF162" s="33"/>
      <c r="TPG162" s="33"/>
      <c r="TPH162" s="33"/>
      <c r="TPI162" s="33"/>
      <c r="TPJ162" s="33"/>
      <c r="TPK162" s="33"/>
      <c r="TPL162" s="33"/>
      <c r="TPM162" s="33"/>
      <c r="TPN162" s="33"/>
      <c r="TPO162" s="33"/>
      <c r="TPP162" s="33"/>
      <c r="TPQ162" s="33"/>
      <c r="TPR162" s="33"/>
      <c r="TPS162" s="33"/>
      <c r="TPT162" s="33"/>
      <c r="TPU162" s="33"/>
      <c r="TPV162" s="33"/>
      <c r="TPW162" s="33"/>
      <c r="TPX162" s="33"/>
      <c r="TPY162" s="33"/>
      <c r="TPZ162" s="33"/>
      <c r="TQA162" s="33"/>
      <c r="TQB162" s="33"/>
      <c r="TQC162" s="33"/>
      <c r="TQD162" s="33"/>
      <c r="TQE162" s="33"/>
      <c r="TQF162" s="33"/>
      <c r="TQG162" s="33"/>
      <c r="TQH162" s="33"/>
      <c r="TQI162" s="33"/>
      <c r="TQJ162" s="33"/>
      <c r="TQK162" s="33"/>
      <c r="TQL162" s="33"/>
      <c r="TQM162" s="33"/>
      <c r="TQN162" s="33"/>
      <c r="TQO162" s="33"/>
      <c r="TQP162" s="33"/>
      <c r="TQQ162" s="33"/>
      <c r="TQR162" s="33"/>
      <c r="TQS162" s="33"/>
      <c r="TQT162" s="33"/>
      <c r="TQU162" s="33"/>
      <c r="TQV162" s="33"/>
      <c r="TQW162" s="33"/>
      <c r="TQX162" s="33"/>
      <c r="TQY162" s="33"/>
      <c r="TQZ162" s="33"/>
      <c r="TRA162" s="33"/>
      <c r="TRB162" s="33"/>
      <c r="TRC162" s="33"/>
      <c r="TRD162" s="33"/>
      <c r="TRE162" s="33"/>
      <c r="TRF162" s="33"/>
      <c r="TRG162" s="33"/>
      <c r="TRH162" s="33"/>
      <c r="TRI162" s="33"/>
      <c r="TRJ162" s="33"/>
      <c r="TRK162" s="33"/>
      <c r="TRL162" s="33"/>
      <c r="TRM162" s="33"/>
      <c r="TRN162" s="33"/>
      <c r="TRO162" s="33"/>
      <c r="TRP162" s="33"/>
      <c r="TRQ162" s="33"/>
      <c r="TRR162" s="33"/>
      <c r="TRS162" s="33"/>
      <c r="TRT162" s="33"/>
      <c r="TRU162" s="33"/>
      <c r="TRV162" s="33"/>
      <c r="TRW162" s="33"/>
      <c r="TRX162" s="33"/>
      <c r="TRY162" s="33"/>
      <c r="TRZ162" s="33"/>
      <c r="TSA162" s="33"/>
      <c r="TSB162" s="33"/>
      <c r="TSC162" s="33"/>
      <c r="TSD162" s="33"/>
      <c r="TSE162" s="33"/>
      <c r="TSF162" s="33"/>
      <c r="TSG162" s="33"/>
      <c r="TSH162" s="33"/>
      <c r="TSI162" s="33"/>
      <c r="TSJ162" s="33"/>
      <c r="TSK162" s="33"/>
      <c r="TSL162" s="33"/>
      <c r="TSM162" s="33"/>
      <c r="TSN162" s="33"/>
      <c r="TSO162" s="33"/>
      <c r="TSP162" s="33"/>
      <c r="TSQ162" s="33"/>
      <c r="TSR162" s="33"/>
      <c r="TSS162" s="33"/>
      <c r="TST162" s="33"/>
      <c r="TSU162" s="33"/>
      <c r="TSV162" s="33"/>
      <c r="TSW162" s="33"/>
      <c r="TSX162" s="33"/>
      <c r="TSY162" s="33"/>
      <c r="TSZ162" s="33"/>
      <c r="TTA162" s="33"/>
      <c r="TTB162" s="33"/>
      <c r="TTC162" s="33"/>
      <c r="TTD162" s="33"/>
      <c r="TTE162" s="33"/>
      <c r="TTF162" s="33"/>
      <c r="TTG162" s="33"/>
      <c r="TTH162" s="33"/>
      <c r="TTI162" s="33"/>
      <c r="TTJ162" s="33"/>
      <c r="TTK162" s="33"/>
      <c r="TTL162" s="33"/>
      <c r="TTM162" s="33"/>
      <c r="TTN162" s="33"/>
      <c r="TTO162" s="33"/>
      <c r="TTP162" s="33"/>
      <c r="TTQ162" s="33"/>
      <c r="TTR162" s="33"/>
      <c r="TTS162" s="33"/>
      <c r="TTT162" s="33"/>
      <c r="TTU162" s="33"/>
      <c r="TTV162" s="33"/>
      <c r="TTW162" s="33"/>
      <c r="TTX162" s="33"/>
      <c r="TTY162" s="33"/>
      <c r="TTZ162" s="33"/>
      <c r="TUA162" s="33"/>
      <c r="TUB162" s="33"/>
      <c r="TUC162" s="33"/>
      <c r="TUD162" s="33"/>
      <c r="TUE162" s="33"/>
      <c r="TUF162" s="33"/>
      <c r="TUG162" s="33"/>
      <c r="TUH162" s="33"/>
      <c r="TUI162" s="33"/>
      <c r="TUJ162" s="33"/>
      <c r="TUK162" s="33"/>
      <c r="TUL162" s="33"/>
      <c r="TUM162" s="33"/>
      <c r="TUN162" s="33"/>
      <c r="TUO162" s="33"/>
      <c r="TUP162" s="33"/>
      <c r="TUQ162" s="33"/>
      <c r="TUR162" s="33"/>
      <c r="TUS162" s="33"/>
      <c r="TUT162" s="33"/>
      <c r="TUU162" s="33"/>
      <c r="TUV162" s="33"/>
      <c r="TUW162" s="33"/>
      <c r="TUX162" s="33"/>
      <c r="TUY162" s="33"/>
      <c r="TUZ162" s="33"/>
      <c r="TVA162" s="33"/>
      <c r="TVB162" s="33"/>
      <c r="TVC162" s="33"/>
      <c r="TVD162" s="33"/>
      <c r="TVE162" s="33"/>
      <c r="TVF162" s="33"/>
      <c r="TVG162" s="33"/>
      <c r="TVH162" s="33"/>
      <c r="TVI162" s="33"/>
      <c r="TVJ162" s="33"/>
      <c r="TVK162" s="33"/>
      <c r="TVL162" s="33"/>
      <c r="TVM162" s="33"/>
      <c r="TVN162" s="33"/>
      <c r="TVO162" s="33"/>
      <c r="TVP162" s="33"/>
      <c r="TVQ162" s="33"/>
      <c r="TVR162" s="33"/>
      <c r="TVS162" s="33"/>
      <c r="TVT162" s="33"/>
      <c r="TVU162" s="33"/>
      <c r="TVV162" s="33"/>
      <c r="TVW162" s="33"/>
      <c r="TVX162" s="33"/>
      <c r="TVY162" s="33"/>
      <c r="TVZ162" s="33"/>
      <c r="TWA162" s="33"/>
      <c r="TWB162" s="33"/>
      <c r="TWC162" s="33"/>
      <c r="TWD162" s="33"/>
      <c r="TWE162" s="33"/>
      <c r="TWF162" s="33"/>
      <c r="TWG162" s="33"/>
      <c r="TWH162" s="33"/>
      <c r="TWI162" s="33"/>
      <c r="TWJ162" s="33"/>
      <c r="TWK162" s="33"/>
      <c r="TWL162" s="33"/>
      <c r="TWM162" s="33"/>
      <c r="TWN162" s="33"/>
      <c r="TWO162" s="33"/>
      <c r="TWP162" s="33"/>
      <c r="TWQ162" s="33"/>
      <c r="TWR162" s="33"/>
      <c r="TWS162" s="33"/>
      <c r="TWT162" s="33"/>
      <c r="TWU162" s="33"/>
      <c r="TWV162" s="33"/>
      <c r="TWW162" s="33"/>
      <c r="TWX162" s="33"/>
      <c r="TWY162" s="33"/>
      <c r="TWZ162" s="33"/>
      <c r="TXA162" s="33"/>
      <c r="TXB162" s="33"/>
      <c r="TXC162" s="33"/>
      <c r="TXD162" s="33"/>
      <c r="TXE162" s="33"/>
      <c r="TXF162" s="33"/>
      <c r="TXG162" s="33"/>
      <c r="TXH162" s="33"/>
      <c r="TXI162" s="33"/>
      <c r="TXJ162" s="33"/>
      <c r="TXK162" s="33"/>
      <c r="TXL162" s="33"/>
      <c r="TXM162" s="33"/>
      <c r="TXN162" s="33"/>
      <c r="TXO162" s="33"/>
      <c r="TXP162" s="33"/>
      <c r="TXQ162" s="33"/>
      <c r="TXR162" s="33"/>
      <c r="TXS162" s="33"/>
      <c r="TXT162" s="33"/>
      <c r="TXU162" s="33"/>
      <c r="TXV162" s="33"/>
      <c r="TXW162" s="33"/>
      <c r="TXX162" s="33"/>
      <c r="TXY162" s="33"/>
      <c r="TXZ162" s="33"/>
      <c r="TYA162" s="33"/>
      <c r="TYB162" s="33"/>
      <c r="TYC162" s="33"/>
      <c r="TYD162" s="33"/>
      <c r="TYE162" s="33"/>
      <c r="TYF162" s="33"/>
      <c r="TYG162" s="33"/>
      <c r="TYH162" s="33"/>
      <c r="TYI162" s="33"/>
      <c r="TYJ162" s="33"/>
      <c r="TYK162" s="33"/>
      <c r="TYL162" s="33"/>
      <c r="TYM162" s="33"/>
      <c r="TYN162" s="33"/>
      <c r="TYO162" s="33"/>
      <c r="TYP162" s="33"/>
      <c r="TYQ162" s="33"/>
      <c r="TYR162" s="33"/>
      <c r="TYS162" s="33"/>
      <c r="TYT162" s="33"/>
      <c r="TYU162" s="33"/>
      <c r="TYV162" s="33"/>
      <c r="TYW162" s="33"/>
      <c r="TYX162" s="33"/>
      <c r="TYY162" s="33"/>
      <c r="TYZ162" s="33"/>
      <c r="TZA162" s="33"/>
      <c r="TZB162" s="33"/>
      <c r="TZC162" s="33"/>
      <c r="TZD162" s="33"/>
      <c r="TZE162" s="33"/>
      <c r="TZF162" s="33"/>
      <c r="TZG162" s="33"/>
      <c r="TZH162" s="33"/>
      <c r="TZI162" s="33"/>
      <c r="TZJ162" s="33"/>
      <c r="TZK162" s="33"/>
      <c r="TZL162" s="33"/>
      <c r="TZM162" s="33"/>
      <c r="TZN162" s="33"/>
      <c r="TZO162" s="33"/>
      <c r="TZP162" s="33"/>
      <c r="TZQ162" s="33"/>
      <c r="TZR162" s="33"/>
      <c r="TZS162" s="33"/>
      <c r="TZT162" s="33"/>
      <c r="TZU162" s="33"/>
      <c r="TZV162" s="33"/>
      <c r="TZW162" s="33"/>
      <c r="TZX162" s="33"/>
      <c r="TZY162" s="33"/>
      <c r="TZZ162" s="33"/>
      <c r="UAA162" s="33"/>
      <c r="UAB162" s="33"/>
      <c r="UAC162" s="33"/>
      <c r="UAD162" s="33"/>
      <c r="UAE162" s="33"/>
      <c r="UAF162" s="33"/>
      <c r="UAG162" s="33"/>
      <c r="UAH162" s="33"/>
      <c r="UAI162" s="33"/>
      <c r="UAJ162" s="33"/>
      <c r="UAK162" s="33"/>
      <c r="UAL162" s="33"/>
      <c r="UAM162" s="33"/>
      <c r="UAN162" s="33"/>
      <c r="UAO162" s="33"/>
      <c r="UAP162" s="33"/>
      <c r="UAQ162" s="33"/>
      <c r="UAR162" s="33"/>
      <c r="UAS162" s="33"/>
      <c r="UAT162" s="33"/>
      <c r="UAU162" s="33"/>
      <c r="UAV162" s="33"/>
      <c r="UAW162" s="33"/>
      <c r="UAX162" s="33"/>
      <c r="UAY162" s="33"/>
      <c r="UAZ162" s="33"/>
      <c r="UBA162" s="33"/>
      <c r="UBB162" s="33"/>
      <c r="UBC162" s="33"/>
      <c r="UBD162" s="33"/>
      <c r="UBE162" s="33"/>
      <c r="UBF162" s="33"/>
      <c r="UBG162" s="33"/>
      <c r="UBH162" s="33"/>
      <c r="UBI162" s="33"/>
      <c r="UBJ162" s="33"/>
      <c r="UBK162" s="33"/>
      <c r="UBL162" s="33"/>
      <c r="UBM162" s="33"/>
      <c r="UBN162" s="33"/>
      <c r="UBO162" s="33"/>
      <c r="UBP162" s="33"/>
      <c r="UBQ162" s="33"/>
      <c r="UBR162" s="33"/>
      <c r="UBS162" s="33"/>
      <c r="UBT162" s="33"/>
      <c r="UBU162" s="33"/>
      <c r="UBV162" s="33"/>
      <c r="UBW162" s="33"/>
      <c r="UBX162" s="33"/>
      <c r="UBY162" s="33"/>
      <c r="UBZ162" s="33"/>
      <c r="UCA162" s="33"/>
      <c r="UCB162" s="33"/>
      <c r="UCC162" s="33"/>
      <c r="UCD162" s="33"/>
      <c r="UCE162" s="33"/>
      <c r="UCF162" s="33"/>
      <c r="UCG162" s="33"/>
      <c r="UCH162" s="33"/>
      <c r="UCI162" s="33"/>
      <c r="UCJ162" s="33"/>
      <c r="UCK162" s="33"/>
      <c r="UCL162" s="33"/>
      <c r="UCM162" s="33"/>
      <c r="UCN162" s="33"/>
      <c r="UCO162" s="33"/>
      <c r="UCP162" s="33"/>
      <c r="UCQ162" s="33"/>
      <c r="UCR162" s="33"/>
      <c r="UCS162" s="33"/>
      <c r="UCT162" s="33"/>
      <c r="UCU162" s="33"/>
      <c r="UCV162" s="33"/>
      <c r="UCW162" s="33"/>
      <c r="UCX162" s="33"/>
      <c r="UCY162" s="33"/>
      <c r="UCZ162" s="33"/>
      <c r="UDA162" s="33"/>
      <c r="UDB162" s="33"/>
      <c r="UDC162" s="33"/>
      <c r="UDD162" s="33"/>
      <c r="UDE162" s="33"/>
      <c r="UDF162" s="33"/>
      <c r="UDG162" s="33"/>
      <c r="UDH162" s="33"/>
      <c r="UDI162" s="33"/>
      <c r="UDJ162" s="33"/>
      <c r="UDK162" s="33"/>
      <c r="UDL162" s="33"/>
      <c r="UDM162" s="33"/>
      <c r="UDN162" s="33"/>
      <c r="UDO162" s="33"/>
      <c r="UDP162" s="33"/>
      <c r="UDQ162" s="33"/>
      <c r="UDR162" s="33"/>
      <c r="UDS162" s="33"/>
      <c r="UDT162" s="33"/>
      <c r="UDU162" s="33"/>
      <c r="UDV162" s="33"/>
      <c r="UDW162" s="33"/>
      <c r="UDX162" s="33"/>
      <c r="UDY162" s="33"/>
      <c r="UDZ162" s="33"/>
      <c r="UEA162" s="33"/>
      <c r="UEB162" s="33"/>
      <c r="UEC162" s="33"/>
      <c r="UED162" s="33"/>
      <c r="UEE162" s="33"/>
      <c r="UEF162" s="33"/>
      <c r="UEG162" s="33"/>
      <c r="UEH162" s="33"/>
      <c r="UEI162" s="33"/>
      <c r="UEJ162" s="33"/>
      <c r="UEK162" s="33"/>
      <c r="UEL162" s="33"/>
      <c r="UEM162" s="33"/>
      <c r="UEN162" s="33"/>
      <c r="UEO162" s="33"/>
      <c r="UEP162" s="33"/>
      <c r="UEQ162" s="33"/>
      <c r="UER162" s="33"/>
      <c r="UES162" s="33"/>
      <c r="UET162" s="33"/>
      <c r="UEU162" s="33"/>
      <c r="UEV162" s="33"/>
      <c r="UEW162" s="33"/>
      <c r="UEX162" s="33"/>
      <c r="UEY162" s="33"/>
      <c r="UEZ162" s="33"/>
      <c r="UFA162" s="33"/>
      <c r="UFB162" s="33"/>
      <c r="UFC162" s="33"/>
      <c r="UFD162" s="33"/>
      <c r="UFE162" s="33"/>
      <c r="UFF162" s="33"/>
      <c r="UFG162" s="33"/>
      <c r="UFH162" s="33"/>
      <c r="UFI162" s="33"/>
      <c r="UFJ162" s="33"/>
      <c r="UFK162" s="33"/>
      <c r="UFL162" s="33"/>
      <c r="UFM162" s="33"/>
      <c r="UFN162" s="33"/>
      <c r="UFO162" s="33"/>
      <c r="UFP162" s="33"/>
      <c r="UFQ162" s="33"/>
      <c r="UFR162" s="33"/>
      <c r="UFS162" s="33"/>
      <c r="UFT162" s="33"/>
      <c r="UFU162" s="33"/>
      <c r="UFV162" s="33"/>
      <c r="UFW162" s="33"/>
      <c r="UFX162" s="33"/>
      <c r="UFY162" s="33"/>
      <c r="UFZ162" s="33"/>
      <c r="UGA162" s="33"/>
      <c r="UGB162" s="33"/>
      <c r="UGC162" s="33"/>
      <c r="UGD162" s="33"/>
      <c r="UGE162" s="33"/>
      <c r="UGF162" s="33"/>
      <c r="UGG162" s="33"/>
      <c r="UGH162" s="33"/>
      <c r="UGI162" s="33"/>
      <c r="UGJ162" s="33"/>
      <c r="UGK162" s="33"/>
      <c r="UGL162" s="33"/>
      <c r="UGM162" s="33"/>
      <c r="UGN162" s="33"/>
      <c r="UGO162" s="33"/>
      <c r="UGP162" s="33"/>
      <c r="UGQ162" s="33"/>
      <c r="UGR162" s="33"/>
      <c r="UGS162" s="33"/>
      <c r="UGT162" s="33"/>
      <c r="UGU162" s="33"/>
      <c r="UGV162" s="33"/>
      <c r="UGW162" s="33"/>
      <c r="UGX162" s="33"/>
      <c r="UGY162" s="33"/>
      <c r="UGZ162" s="33"/>
      <c r="UHA162" s="33"/>
      <c r="UHB162" s="33"/>
      <c r="UHC162" s="33"/>
      <c r="UHD162" s="33"/>
      <c r="UHE162" s="33"/>
      <c r="UHF162" s="33"/>
      <c r="UHG162" s="33"/>
      <c r="UHH162" s="33"/>
      <c r="UHI162" s="33"/>
      <c r="UHJ162" s="33"/>
      <c r="UHK162" s="33"/>
      <c r="UHL162" s="33"/>
      <c r="UHM162" s="33"/>
      <c r="UHN162" s="33"/>
      <c r="UHO162" s="33"/>
      <c r="UHP162" s="33"/>
      <c r="UHQ162" s="33"/>
      <c r="UHR162" s="33"/>
      <c r="UHS162" s="33"/>
      <c r="UHT162" s="33"/>
      <c r="UHU162" s="33"/>
      <c r="UHV162" s="33"/>
      <c r="UHW162" s="33"/>
      <c r="UHX162" s="33"/>
      <c r="UHY162" s="33"/>
      <c r="UHZ162" s="33"/>
      <c r="UIA162" s="33"/>
      <c r="UIB162" s="33"/>
      <c r="UIC162" s="33"/>
      <c r="UID162" s="33"/>
      <c r="UIE162" s="33"/>
      <c r="UIF162" s="33"/>
      <c r="UIG162" s="33"/>
      <c r="UIH162" s="33"/>
      <c r="UII162" s="33"/>
      <c r="UIJ162" s="33"/>
      <c r="UIK162" s="33"/>
      <c r="UIL162" s="33"/>
      <c r="UIM162" s="33"/>
      <c r="UIN162" s="33"/>
      <c r="UIO162" s="33"/>
      <c r="UIP162" s="33"/>
      <c r="UIQ162" s="33"/>
      <c r="UIR162" s="33"/>
      <c r="UIS162" s="33"/>
      <c r="UIT162" s="33"/>
      <c r="UIU162" s="33"/>
      <c r="UIV162" s="33"/>
      <c r="UIW162" s="33"/>
      <c r="UIX162" s="33"/>
      <c r="UIY162" s="33"/>
      <c r="UIZ162" s="33"/>
      <c r="UJA162" s="33"/>
      <c r="UJB162" s="33"/>
      <c r="UJC162" s="33"/>
      <c r="UJD162" s="33"/>
      <c r="UJE162" s="33"/>
      <c r="UJF162" s="33"/>
      <c r="UJG162" s="33"/>
      <c r="UJH162" s="33"/>
      <c r="UJI162" s="33"/>
      <c r="UJJ162" s="33"/>
      <c r="UJK162" s="33"/>
      <c r="UJL162" s="33"/>
      <c r="UJM162" s="33"/>
      <c r="UJN162" s="33"/>
      <c r="UJO162" s="33"/>
      <c r="UJP162" s="33"/>
      <c r="UJQ162" s="33"/>
      <c r="UJR162" s="33"/>
      <c r="UJS162" s="33"/>
      <c r="UJT162" s="33"/>
      <c r="UJU162" s="33"/>
      <c r="UJV162" s="33"/>
      <c r="UJW162" s="33"/>
      <c r="UJX162" s="33"/>
      <c r="UJY162" s="33"/>
      <c r="UJZ162" s="33"/>
      <c r="UKA162" s="33"/>
      <c r="UKB162" s="33"/>
      <c r="UKC162" s="33"/>
      <c r="UKD162" s="33"/>
      <c r="UKE162" s="33"/>
      <c r="UKF162" s="33"/>
      <c r="UKG162" s="33"/>
      <c r="UKH162" s="33"/>
      <c r="UKI162" s="33"/>
      <c r="UKJ162" s="33"/>
      <c r="UKK162" s="33"/>
      <c r="UKL162" s="33"/>
      <c r="UKM162" s="33"/>
      <c r="UKN162" s="33"/>
      <c r="UKO162" s="33"/>
      <c r="UKP162" s="33"/>
      <c r="UKQ162" s="33"/>
      <c r="UKR162" s="33"/>
      <c r="UKS162" s="33"/>
      <c r="UKT162" s="33"/>
      <c r="UKU162" s="33"/>
      <c r="UKV162" s="33"/>
      <c r="UKW162" s="33"/>
      <c r="UKX162" s="33"/>
      <c r="UKY162" s="33"/>
      <c r="UKZ162" s="33"/>
      <c r="ULA162" s="33"/>
      <c r="ULB162" s="33"/>
      <c r="ULC162" s="33"/>
      <c r="ULD162" s="33"/>
      <c r="ULE162" s="33"/>
      <c r="ULF162" s="33"/>
      <c r="ULG162" s="33"/>
      <c r="ULH162" s="33"/>
      <c r="ULI162" s="33"/>
      <c r="ULJ162" s="33"/>
      <c r="ULK162" s="33"/>
      <c r="ULL162" s="33"/>
      <c r="ULM162" s="33"/>
      <c r="ULN162" s="33"/>
      <c r="ULO162" s="33"/>
      <c r="ULP162" s="33"/>
      <c r="ULQ162" s="33"/>
      <c r="ULR162" s="33"/>
      <c r="ULS162" s="33"/>
      <c r="ULT162" s="33"/>
      <c r="ULU162" s="33"/>
      <c r="ULV162" s="33"/>
      <c r="ULW162" s="33"/>
      <c r="ULX162" s="33"/>
      <c r="ULY162" s="33"/>
      <c r="ULZ162" s="33"/>
      <c r="UMA162" s="33"/>
      <c r="UMB162" s="33"/>
      <c r="UMC162" s="33"/>
      <c r="UMD162" s="33"/>
      <c r="UME162" s="33"/>
      <c r="UMF162" s="33"/>
      <c r="UMG162" s="33"/>
      <c r="UMH162" s="33"/>
      <c r="UMI162" s="33"/>
      <c r="UMJ162" s="33"/>
      <c r="UMK162" s="33"/>
      <c r="UML162" s="33"/>
      <c r="UMM162" s="33"/>
      <c r="UMN162" s="33"/>
      <c r="UMO162" s="33"/>
      <c r="UMP162" s="33"/>
      <c r="UMQ162" s="33"/>
      <c r="UMR162" s="33"/>
      <c r="UMS162" s="33"/>
      <c r="UMT162" s="33"/>
      <c r="UMU162" s="33"/>
      <c r="UMV162" s="33"/>
      <c r="UMW162" s="33"/>
      <c r="UMX162" s="33"/>
      <c r="UMY162" s="33"/>
      <c r="UMZ162" s="33"/>
      <c r="UNA162" s="33"/>
      <c r="UNB162" s="33"/>
      <c r="UNC162" s="33"/>
      <c r="UND162" s="33"/>
      <c r="UNE162" s="33"/>
      <c r="UNF162" s="33"/>
      <c r="UNG162" s="33"/>
      <c r="UNH162" s="33"/>
      <c r="UNI162" s="33"/>
      <c r="UNJ162" s="33"/>
      <c r="UNK162" s="33"/>
      <c r="UNL162" s="33"/>
      <c r="UNM162" s="33"/>
      <c r="UNN162" s="33"/>
      <c r="UNO162" s="33"/>
      <c r="UNP162" s="33"/>
      <c r="UNQ162" s="33"/>
      <c r="UNR162" s="33"/>
      <c r="UNS162" s="33"/>
      <c r="UNT162" s="33"/>
      <c r="UNU162" s="33"/>
      <c r="UNV162" s="33"/>
      <c r="UNW162" s="33"/>
      <c r="UNX162" s="33"/>
      <c r="UNY162" s="33"/>
      <c r="UNZ162" s="33"/>
      <c r="UOA162" s="33"/>
      <c r="UOB162" s="33"/>
      <c r="UOC162" s="33"/>
      <c r="UOD162" s="33"/>
      <c r="UOE162" s="33"/>
      <c r="UOF162" s="33"/>
      <c r="UOG162" s="33"/>
      <c r="UOH162" s="33"/>
      <c r="UOI162" s="33"/>
      <c r="UOJ162" s="33"/>
      <c r="UOK162" s="33"/>
      <c r="UOL162" s="33"/>
      <c r="UOM162" s="33"/>
      <c r="UON162" s="33"/>
      <c r="UOO162" s="33"/>
      <c r="UOP162" s="33"/>
      <c r="UOQ162" s="33"/>
      <c r="UOR162" s="33"/>
      <c r="UOS162" s="33"/>
      <c r="UOT162" s="33"/>
      <c r="UOU162" s="33"/>
      <c r="UOV162" s="33"/>
      <c r="UOW162" s="33"/>
      <c r="UOX162" s="33"/>
      <c r="UOY162" s="33"/>
      <c r="UOZ162" s="33"/>
      <c r="UPA162" s="33"/>
      <c r="UPB162" s="33"/>
      <c r="UPC162" s="33"/>
      <c r="UPD162" s="33"/>
      <c r="UPE162" s="33"/>
      <c r="UPF162" s="33"/>
      <c r="UPG162" s="33"/>
      <c r="UPH162" s="33"/>
      <c r="UPI162" s="33"/>
      <c r="UPJ162" s="33"/>
      <c r="UPK162" s="33"/>
      <c r="UPL162" s="33"/>
      <c r="UPM162" s="33"/>
      <c r="UPN162" s="33"/>
      <c r="UPO162" s="33"/>
      <c r="UPP162" s="33"/>
      <c r="UPQ162" s="33"/>
      <c r="UPR162" s="33"/>
      <c r="UPS162" s="33"/>
      <c r="UPT162" s="33"/>
      <c r="UPU162" s="33"/>
      <c r="UPV162" s="33"/>
      <c r="UPW162" s="33"/>
      <c r="UPX162" s="33"/>
      <c r="UPY162" s="33"/>
      <c r="UPZ162" s="33"/>
      <c r="UQA162" s="33"/>
      <c r="UQB162" s="33"/>
      <c r="UQC162" s="33"/>
      <c r="UQD162" s="33"/>
      <c r="UQE162" s="33"/>
      <c r="UQF162" s="33"/>
      <c r="UQG162" s="33"/>
      <c r="UQH162" s="33"/>
      <c r="UQI162" s="33"/>
      <c r="UQJ162" s="33"/>
      <c r="UQK162" s="33"/>
      <c r="UQL162" s="33"/>
      <c r="UQM162" s="33"/>
      <c r="UQN162" s="33"/>
      <c r="UQO162" s="33"/>
      <c r="UQP162" s="33"/>
      <c r="UQQ162" s="33"/>
      <c r="UQR162" s="33"/>
      <c r="UQS162" s="33"/>
      <c r="UQT162" s="33"/>
      <c r="UQU162" s="33"/>
      <c r="UQV162" s="33"/>
      <c r="UQW162" s="33"/>
      <c r="UQX162" s="33"/>
      <c r="UQY162" s="33"/>
      <c r="UQZ162" s="33"/>
      <c r="URA162" s="33"/>
      <c r="URB162" s="33"/>
      <c r="URC162" s="33"/>
      <c r="URD162" s="33"/>
      <c r="URE162" s="33"/>
      <c r="URF162" s="33"/>
      <c r="URG162" s="33"/>
      <c r="URH162" s="33"/>
      <c r="URI162" s="33"/>
      <c r="URJ162" s="33"/>
      <c r="URK162" s="33"/>
      <c r="URL162" s="33"/>
      <c r="URM162" s="33"/>
      <c r="URN162" s="33"/>
      <c r="URO162" s="33"/>
      <c r="URP162" s="33"/>
      <c r="URQ162" s="33"/>
      <c r="URR162" s="33"/>
      <c r="URS162" s="33"/>
      <c r="URT162" s="33"/>
      <c r="URU162" s="33"/>
      <c r="URV162" s="33"/>
      <c r="URW162" s="33"/>
      <c r="URX162" s="33"/>
      <c r="URY162" s="33"/>
      <c r="URZ162" s="33"/>
      <c r="USA162" s="33"/>
      <c r="USB162" s="33"/>
      <c r="USC162" s="33"/>
      <c r="USD162" s="33"/>
      <c r="USE162" s="33"/>
      <c r="USF162" s="33"/>
      <c r="USG162" s="33"/>
      <c r="USH162" s="33"/>
      <c r="USI162" s="33"/>
      <c r="USJ162" s="33"/>
      <c r="USK162" s="33"/>
      <c r="USL162" s="33"/>
      <c r="USM162" s="33"/>
      <c r="USN162" s="33"/>
      <c r="USO162" s="33"/>
      <c r="USP162" s="33"/>
      <c r="USQ162" s="33"/>
      <c r="USR162" s="33"/>
      <c r="USS162" s="33"/>
      <c r="UST162" s="33"/>
      <c r="USU162" s="33"/>
      <c r="USV162" s="33"/>
      <c r="USW162" s="33"/>
      <c r="USX162" s="33"/>
      <c r="USY162" s="33"/>
      <c r="USZ162" s="33"/>
      <c r="UTA162" s="33"/>
      <c r="UTB162" s="33"/>
      <c r="UTC162" s="33"/>
      <c r="UTD162" s="33"/>
      <c r="UTE162" s="33"/>
      <c r="UTF162" s="33"/>
      <c r="UTG162" s="33"/>
      <c r="UTH162" s="33"/>
      <c r="UTI162" s="33"/>
      <c r="UTJ162" s="33"/>
      <c r="UTK162" s="33"/>
      <c r="UTL162" s="33"/>
      <c r="UTM162" s="33"/>
      <c r="UTN162" s="33"/>
      <c r="UTO162" s="33"/>
      <c r="UTP162" s="33"/>
      <c r="UTQ162" s="33"/>
      <c r="UTR162" s="33"/>
      <c r="UTS162" s="33"/>
      <c r="UTT162" s="33"/>
      <c r="UTU162" s="33"/>
      <c r="UTV162" s="33"/>
      <c r="UTW162" s="33"/>
      <c r="UTX162" s="33"/>
      <c r="UTY162" s="33"/>
      <c r="UTZ162" s="33"/>
      <c r="UUA162" s="33"/>
      <c r="UUB162" s="33"/>
      <c r="UUC162" s="33"/>
      <c r="UUD162" s="33"/>
      <c r="UUE162" s="33"/>
      <c r="UUF162" s="33"/>
      <c r="UUG162" s="33"/>
      <c r="UUH162" s="33"/>
      <c r="UUI162" s="33"/>
      <c r="UUJ162" s="33"/>
      <c r="UUK162" s="33"/>
      <c r="UUL162" s="33"/>
      <c r="UUM162" s="33"/>
      <c r="UUN162" s="33"/>
      <c r="UUO162" s="33"/>
      <c r="UUP162" s="33"/>
      <c r="UUQ162" s="33"/>
      <c r="UUR162" s="33"/>
      <c r="UUS162" s="33"/>
      <c r="UUT162" s="33"/>
      <c r="UUU162" s="33"/>
      <c r="UUV162" s="33"/>
      <c r="UUW162" s="33"/>
      <c r="UUX162" s="33"/>
      <c r="UUY162" s="33"/>
      <c r="UUZ162" s="33"/>
      <c r="UVA162" s="33"/>
      <c r="UVB162" s="33"/>
      <c r="UVC162" s="33"/>
      <c r="UVD162" s="33"/>
      <c r="UVE162" s="33"/>
      <c r="UVF162" s="33"/>
      <c r="UVG162" s="33"/>
      <c r="UVH162" s="33"/>
      <c r="UVI162" s="33"/>
      <c r="UVJ162" s="33"/>
      <c r="UVK162" s="33"/>
      <c r="UVL162" s="33"/>
      <c r="UVM162" s="33"/>
      <c r="UVN162" s="33"/>
      <c r="UVO162" s="33"/>
      <c r="UVP162" s="33"/>
      <c r="UVQ162" s="33"/>
      <c r="UVR162" s="33"/>
      <c r="UVS162" s="33"/>
      <c r="UVT162" s="33"/>
      <c r="UVU162" s="33"/>
      <c r="UVV162" s="33"/>
      <c r="UVW162" s="33"/>
      <c r="UVX162" s="33"/>
      <c r="UVY162" s="33"/>
      <c r="UVZ162" s="33"/>
      <c r="UWA162" s="33"/>
      <c r="UWB162" s="33"/>
      <c r="UWC162" s="33"/>
      <c r="UWD162" s="33"/>
      <c r="UWE162" s="33"/>
      <c r="UWF162" s="33"/>
      <c r="UWG162" s="33"/>
      <c r="UWH162" s="33"/>
      <c r="UWI162" s="33"/>
      <c r="UWJ162" s="33"/>
      <c r="UWK162" s="33"/>
      <c r="UWL162" s="33"/>
      <c r="UWM162" s="33"/>
      <c r="UWN162" s="33"/>
      <c r="UWO162" s="33"/>
      <c r="UWP162" s="33"/>
      <c r="UWQ162" s="33"/>
      <c r="UWR162" s="33"/>
      <c r="UWS162" s="33"/>
      <c r="UWT162" s="33"/>
      <c r="UWU162" s="33"/>
      <c r="UWV162" s="33"/>
      <c r="UWW162" s="33"/>
      <c r="UWX162" s="33"/>
      <c r="UWY162" s="33"/>
      <c r="UWZ162" s="33"/>
      <c r="UXA162" s="33"/>
      <c r="UXB162" s="33"/>
      <c r="UXC162" s="33"/>
      <c r="UXD162" s="33"/>
      <c r="UXE162" s="33"/>
      <c r="UXF162" s="33"/>
      <c r="UXG162" s="33"/>
      <c r="UXH162" s="33"/>
      <c r="UXI162" s="33"/>
      <c r="UXJ162" s="33"/>
      <c r="UXK162" s="33"/>
      <c r="UXL162" s="33"/>
      <c r="UXM162" s="33"/>
      <c r="UXN162" s="33"/>
      <c r="UXO162" s="33"/>
      <c r="UXP162" s="33"/>
      <c r="UXQ162" s="33"/>
      <c r="UXR162" s="33"/>
      <c r="UXS162" s="33"/>
      <c r="UXT162" s="33"/>
      <c r="UXU162" s="33"/>
      <c r="UXV162" s="33"/>
      <c r="UXW162" s="33"/>
      <c r="UXX162" s="33"/>
      <c r="UXY162" s="33"/>
      <c r="UXZ162" s="33"/>
      <c r="UYA162" s="33"/>
      <c r="UYB162" s="33"/>
      <c r="UYC162" s="33"/>
      <c r="UYD162" s="33"/>
      <c r="UYE162" s="33"/>
      <c r="UYF162" s="33"/>
      <c r="UYG162" s="33"/>
      <c r="UYH162" s="33"/>
      <c r="UYI162" s="33"/>
      <c r="UYJ162" s="33"/>
      <c r="UYK162" s="33"/>
      <c r="UYL162" s="33"/>
      <c r="UYM162" s="33"/>
      <c r="UYN162" s="33"/>
      <c r="UYO162" s="33"/>
      <c r="UYP162" s="33"/>
      <c r="UYQ162" s="33"/>
      <c r="UYR162" s="33"/>
      <c r="UYS162" s="33"/>
      <c r="UYT162" s="33"/>
      <c r="UYU162" s="33"/>
      <c r="UYV162" s="33"/>
      <c r="UYW162" s="33"/>
      <c r="UYX162" s="33"/>
      <c r="UYY162" s="33"/>
      <c r="UYZ162" s="33"/>
      <c r="UZA162" s="33"/>
      <c r="UZB162" s="33"/>
      <c r="UZC162" s="33"/>
      <c r="UZD162" s="33"/>
      <c r="UZE162" s="33"/>
      <c r="UZF162" s="33"/>
      <c r="UZG162" s="33"/>
      <c r="UZH162" s="33"/>
      <c r="UZI162" s="33"/>
      <c r="UZJ162" s="33"/>
      <c r="UZK162" s="33"/>
      <c r="UZL162" s="33"/>
      <c r="UZM162" s="33"/>
      <c r="UZN162" s="33"/>
      <c r="UZO162" s="33"/>
      <c r="UZP162" s="33"/>
      <c r="UZQ162" s="33"/>
      <c r="UZR162" s="33"/>
      <c r="UZS162" s="33"/>
      <c r="UZT162" s="33"/>
      <c r="UZU162" s="33"/>
      <c r="UZV162" s="33"/>
      <c r="UZW162" s="33"/>
      <c r="UZX162" s="33"/>
      <c r="UZY162" s="33"/>
      <c r="UZZ162" s="33"/>
      <c r="VAA162" s="33"/>
      <c r="VAB162" s="33"/>
      <c r="VAC162" s="33"/>
      <c r="VAD162" s="33"/>
      <c r="VAE162" s="33"/>
      <c r="VAF162" s="33"/>
      <c r="VAG162" s="33"/>
      <c r="VAH162" s="33"/>
      <c r="VAI162" s="33"/>
      <c r="VAJ162" s="33"/>
      <c r="VAK162" s="33"/>
      <c r="VAL162" s="33"/>
      <c r="VAM162" s="33"/>
      <c r="VAN162" s="33"/>
      <c r="VAO162" s="33"/>
      <c r="VAP162" s="33"/>
      <c r="VAQ162" s="33"/>
      <c r="VAR162" s="33"/>
      <c r="VAS162" s="33"/>
      <c r="VAT162" s="33"/>
      <c r="VAU162" s="33"/>
      <c r="VAV162" s="33"/>
      <c r="VAW162" s="33"/>
      <c r="VAX162" s="33"/>
      <c r="VAY162" s="33"/>
      <c r="VAZ162" s="33"/>
      <c r="VBA162" s="33"/>
      <c r="VBB162" s="33"/>
      <c r="VBC162" s="33"/>
      <c r="VBD162" s="33"/>
      <c r="VBE162" s="33"/>
      <c r="VBF162" s="33"/>
      <c r="VBG162" s="33"/>
      <c r="VBH162" s="33"/>
      <c r="VBI162" s="33"/>
      <c r="VBJ162" s="33"/>
      <c r="VBK162" s="33"/>
      <c r="VBL162" s="33"/>
      <c r="VBM162" s="33"/>
      <c r="VBN162" s="33"/>
      <c r="VBO162" s="33"/>
      <c r="VBP162" s="33"/>
      <c r="VBQ162" s="33"/>
      <c r="VBR162" s="33"/>
      <c r="VBS162" s="33"/>
      <c r="VBT162" s="33"/>
      <c r="VBU162" s="33"/>
      <c r="VBV162" s="33"/>
      <c r="VBW162" s="33"/>
      <c r="VBX162" s="33"/>
      <c r="VBY162" s="33"/>
      <c r="VBZ162" s="33"/>
      <c r="VCA162" s="33"/>
      <c r="VCB162" s="33"/>
      <c r="VCC162" s="33"/>
      <c r="VCD162" s="33"/>
      <c r="VCE162" s="33"/>
      <c r="VCF162" s="33"/>
      <c r="VCG162" s="33"/>
      <c r="VCH162" s="33"/>
      <c r="VCI162" s="33"/>
      <c r="VCJ162" s="33"/>
      <c r="VCK162" s="33"/>
      <c r="VCL162" s="33"/>
      <c r="VCM162" s="33"/>
      <c r="VCN162" s="33"/>
      <c r="VCO162" s="33"/>
      <c r="VCP162" s="33"/>
      <c r="VCQ162" s="33"/>
      <c r="VCR162" s="33"/>
      <c r="VCS162" s="33"/>
      <c r="VCT162" s="33"/>
      <c r="VCU162" s="33"/>
      <c r="VCV162" s="33"/>
      <c r="VCW162" s="33"/>
      <c r="VCX162" s="33"/>
      <c r="VCY162" s="33"/>
      <c r="VCZ162" s="33"/>
      <c r="VDA162" s="33"/>
      <c r="VDB162" s="33"/>
      <c r="VDC162" s="33"/>
      <c r="VDD162" s="33"/>
      <c r="VDE162" s="33"/>
      <c r="VDF162" s="33"/>
      <c r="VDG162" s="33"/>
      <c r="VDH162" s="33"/>
      <c r="VDI162" s="33"/>
      <c r="VDJ162" s="33"/>
      <c r="VDK162" s="33"/>
      <c r="VDL162" s="33"/>
      <c r="VDM162" s="33"/>
      <c r="VDN162" s="33"/>
      <c r="VDO162" s="33"/>
      <c r="VDP162" s="33"/>
      <c r="VDQ162" s="33"/>
      <c r="VDR162" s="33"/>
      <c r="VDS162" s="33"/>
      <c r="VDT162" s="33"/>
      <c r="VDU162" s="33"/>
      <c r="VDV162" s="33"/>
      <c r="VDW162" s="33"/>
      <c r="VDX162" s="33"/>
      <c r="VDY162" s="33"/>
      <c r="VDZ162" s="33"/>
      <c r="VEA162" s="33"/>
      <c r="VEB162" s="33"/>
      <c r="VEC162" s="33"/>
      <c r="VED162" s="33"/>
      <c r="VEE162" s="33"/>
      <c r="VEF162" s="33"/>
      <c r="VEG162" s="33"/>
      <c r="VEH162" s="33"/>
      <c r="VEI162" s="33"/>
      <c r="VEJ162" s="33"/>
      <c r="VEK162" s="33"/>
      <c r="VEL162" s="33"/>
      <c r="VEM162" s="33"/>
      <c r="VEN162" s="33"/>
      <c r="VEO162" s="33"/>
      <c r="VEP162" s="33"/>
      <c r="VEQ162" s="33"/>
      <c r="VER162" s="33"/>
      <c r="VES162" s="33"/>
      <c r="VET162" s="33"/>
      <c r="VEU162" s="33"/>
      <c r="VEV162" s="33"/>
      <c r="VEW162" s="33"/>
      <c r="VEX162" s="33"/>
      <c r="VEY162" s="33"/>
      <c r="VEZ162" s="33"/>
      <c r="VFA162" s="33"/>
      <c r="VFB162" s="33"/>
      <c r="VFC162" s="33"/>
      <c r="VFD162" s="33"/>
      <c r="VFE162" s="33"/>
      <c r="VFF162" s="33"/>
      <c r="VFG162" s="33"/>
      <c r="VFH162" s="33"/>
      <c r="VFI162" s="33"/>
      <c r="VFJ162" s="33"/>
      <c r="VFK162" s="33"/>
      <c r="VFL162" s="33"/>
      <c r="VFM162" s="33"/>
      <c r="VFN162" s="33"/>
      <c r="VFO162" s="33"/>
      <c r="VFP162" s="33"/>
      <c r="VFQ162" s="33"/>
      <c r="VFR162" s="33"/>
      <c r="VFS162" s="33"/>
      <c r="VFT162" s="33"/>
      <c r="VFU162" s="33"/>
      <c r="VFV162" s="33"/>
      <c r="VFW162" s="33"/>
      <c r="VFX162" s="33"/>
      <c r="VFY162" s="33"/>
      <c r="VFZ162" s="33"/>
      <c r="VGA162" s="33"/>
      <c r="VGB162" s="33"/>
      <c r="VGC162" s="33"/>
      <c r="VGD162" s="33"/>
      <c r="VGE162" s="33"/>
      <c r="VGF162" s="33"/>
      <c r="VGG162" s="33"/>
      <c r="VGH162" s="33"/>
      <c r="VGI162" s="33"/>
      <c r="VGJ162" s="33"/>
      <c r="VGK162" s="33"/>
      <c r="VGL162" s="33"/>
      <c r="VGM162" s="33"/>
      <c r="VGN162" s="33"/>
      <c r="VGO162" s="33"/>
      <c r="VGP162" s="33"/>
      <c r="VGQ162" s="33"/>
      <c r="VGR162" s="33"/>
      <c r="VGS162" s="33"/>
      <c r="VGT162" s="33"/>
      <c r="VGU162" s="33"/>
      <c r="VGV162" s="33"/>
      <c r="VGW162" s="33"/>
      <c r="VGX162" s="33"/>
      <c r="VGY162" s="33"/>
      <c r="VGZ162" s="33"/>
      <c r="VHA162" s="33"/>
      <c r="VHB162" s="33"/>
      <c r="VHC162" s="33"/>
      <c r="VHD162" s="33"/>
      <c r="VHE162" s="33"/>
      <c r="VHF162" s="33"/>
      <c r="VHG162" s="33"/>
      <c r="VHH162" s="33"/>
      <c r="VHI162" s="33"/>
      <c r="VHJ162" s="33"/>
      <c r="VHK162" s="33"/>
      <c r="VHL162" s="33"/>
      <c r="VHM162" s="33"/>
      <c r="VHN162" s="33"/>
      <c r="VHO162" s="33"/>
      <c r="VHP162" s="33"/>
      <c r="VHQ162" s="33"/>
      <c r="VHR162" s="33"/>
      <c r="VHS162" s="33"/>
      <c r="VHT162" s="33"/>
      <c r="VHU162" s="33"/>
      <c r="VHV162" s="33"/>
      <c r="VHW162" s="33"/>
      <c r="VHX162" s="33"/>
      <c r="VHY162" s="33"/>
      <c r="VHZ162" s="33"/>
      <c r="VIA162" s="33"/>
      <c r="VIB162" s="33"/>
      <c r="VIC162" s="33"/>
      <c r="VID162" s="33"/>
      <c r="VIE162" s="33"/>
      <c r="VIF162" s="33"/>
      <c r="VIG162" s="33"/>
      <c r="VIH162" s="33"/>
      <c r="VII162" s="33"/>
      <c r="VIJ162" s="33"/>
      <c r="VIK162" s="33"/>
      <c r="VIL162" s="33"/>
      <c r="VIM162" s="33"/>
      <c r="VIN162" s="33"/>
      <c r="VIO162" s="33"/>
      <c r="VIP162" s="33"/>
      <c r="VIQ162" s="33"/>
      <c r="VIR162" s="33"/>
      <c r="VIS162" s="33"/>
      <c r="VIT162" s="33"/>
      <c r="VIU162" s="33"/>
      <c r="VIV162" s="33"/>
      <c r="VIW162" s="33"/>
      <c r="VIX162" s="33"/>
      <c r="VIY162" s="33"/>
      <c r="VIZ162" s="33"/>
      <c r="VJA162" s="33"/>
      <c r="VJB162" s="33"/>
      <c r="VJC162" s="33"/>
      <c r="VJD162" s="33"/>
      <c r="VJE162" s="33"/>
      <c r="VJF162" s="33"/>
      <c r="VJG162" s="33"/>
      <c r="VJH162" s="33"/>
      <c r="VJI162" s="33"/>
      <c r="VJJ162" s="33"/>
      <c r="VJK162" s="33"/>
      <c r="VJL162" s="33"/>
      <c r="VJM162" s="33"/>
      <c r="VJN162" s="33"/>
      <c r="VJO162" s="33"/>
      <c r="VJP162" s="33"/>
      <c r="VJQ162" s="33"/>
      <c r="VJR162" s="33"/>
      <c r="VJS162" s="33"/>
      <c r="VJT162" s="33"/>
      <c r="VJU162" s="33"/>
      <c r="VJV162" s="33"/>
      <c r="VJW162" s="33"/>
      <c r="VJX162" s="33"/>
      <c r="VJY162" s="33"/>
      <c r="VJZ162" s="33"/>
      <c r="VKA162" s="33"/>
      <c r="VKB162" s="33"/>
      <c r="VKC162" s="33"/>
      <c r="VKD162" s="33"/>
      <c r="VKE162" s="33"/>
      <c r="VKF162" s="33"/>
      <c r="VKG162" s="33"/>
      <c r="VKH162" s="33"/>
      <c r="VKI162" s="33"/>
      <c r="VKJ162" s="33"/>
      <c r="VKK162" s="33"/>
      <c r="VKL162" s="33"/>
      <c r="VKM162" s="33"/>
      <c r="VKN162" s="33"/>
      <c r="VKO162" s="33"/>
      <c r="VKP162" s="33"/>
      <c r="VKQ162" s="33"/>
      <c r="VKR162" s="33"/>
      <c r="VKS162" s="33"/>
      <c r="VKT162" s="33"/>
      <c r="VKU162" s="33"/>
      <c r="VKV162" s="33"/>
      <c r="VKW162" s="33"/>
      <c r="VKX162" s="33"/>
      <c r="VKY162" s="33"/>
      <c r="VKZ162" s="33"/>
      <c r="VLA162" s="33"/>
      <c r="VLB162" s="33"/>
      <c r="VLC162" s="33"/>
      <c r="VLD162" s="33"/>
      <c r="VLE162" s="33"/>
      <c r="VLF162" s="33"/>
      <c r="VLG162" s="33"/>
      <c r="VLH162" s="33"/>
      <c r="VLI162" s="33"/>
      <c r="VLJ162" s="33"/>
      <c r="VLK162" s="33"/>
      <c r="VLL162" s="33"/>
      <c r="VLM162" s="33"/>
      <c r="VLN162" s="33"/>
      <c r="VLO162" s="33"/>
      <c r="VLP162" s="33"/>
      <c r="VLQ162" s="33"/>
      <c r="VLR162" s="33"/>
      <c r="VLS162" s="33"/>
      <c r="VLT162" s="33"/>
      <c r="VLU162" s="33"/>
      <c r="VLV162" s="33"/>
      <c r="VLW162" s="33"/>
      <c r="VLX162" s="33"/>
      <c r="VLY162" s="33"/>
      <c r="VLZ162" s="33"/>
      <c r="VMA162" s="33"/>
      <c r="VMB162" s="33"/>
      <c r="VMC162" s="33"/>
      <c r="VMD162" s="33"/>
      <c r="VME162" s="33"/>
      <c r="VMF162" s="33"/>
      <c r="VMG162" s="33"/>
      <c r="VMH162" s="33"/>
      <c r="VMI162" s="33"/>
      <c r="VMJ162" s="33"/>
      <c r="VMK162" s="33"/>
      <c r="VML162" s="33"/>
      <c r="VMM162" s="33"/>
      <c r="VMN162" s="33"/>
      <c r="VMO162" s="33"/>
      <c r="VMP162" s="33"/>
      <c r="VMQ162" s="33"/>
      <c r="VMR162" s="33"/>
      <c r="VMS162" s="33"/>
      <c r="VMT162" s="33"/>
      <c r="VMU162" s="33"/>
      <c r="VMV162" s="33"/>
      <c r="VMW162" s="33"/>
      <c r="VMX162" s="33"/>
      <c r="VMY162" s="33"/>
      <c r="VMZ162" s="33"/>
      <c r="VNA162" s="33"/>
      <c r="VNB162" s="33"/>
      <c r="VNC162" s="33"/>
      <c r="VND162" s="33"/>
      <c r="VNE162" s="33"/>
      <c r="VNF162" s="33"/>
      <c r="VNG162" s="33"/>
      <c r="VNH162" s="33"/>
      <c r="VNI162" s="33"/>
      <c r="VNJ162" s="33"/>
      <c r="VNK162" s="33"/>
      <c r="VNL162" s="33"/>
      <c r="VNM162" s="33"/>
      <c r="VNN162" s="33"/>
      <c r="VNO162" s="33"/>
      <c r="VNP162" s="33"/>
      <c r="VNQ162" s="33"/>
      <c r="VNR162" s="33"/>
      <c r="VNS162" s="33"/>
      <c r="VNT162" s="33"/>
      <c r="VNU162" s="33"/>
      <c r="VNV162" s="33"/>
      <c r="VNW162" s="33"/>
      <c r="VNX162" s="33"/>
      <c r="VNY162" s="33"/>
      <c r="VNZ162" s="33"/>
      <c r="VOA162" s="33"/>
      <c r="VOB162" s="33"/>
      <c r="VOC162" s="33"/>
      <c r="VOD162" s="33"/>
      <c r="VOE162" s="33"/>
      <c r="VOF162" s="33"/>
      <c r="VOG162" s="33"/>
      <c r="VOH162" s="33"/>
      <c r="VOI162" s="33"/>
      <c r="VOJ162" s="33"/>
      <c r="VOK162" s="33"/>
      <c r="VOL162" s="33"/>
      <c r="VOM162" s="33"/>
      <c r="VON162" s="33"/>
      <c r="VOO162" s="33"/>
      <c r="VOP162" s="33"/>
      <c r="VOQ162" s="33"/>
      <c r="VOR162" s="33"/>
      <c r="VOS162" s="33"/>
      <c r="VOT162" s="33"/>
      <c r="VOU162" s="33"/>
      <c r="VOV162" s="33"/>
      <c r="VOW162" s="33"/>
      <c r="VOX162" s="33"/>
      <c r="VOY162" s="33"/>
      <c r="VOZ162" s="33"/>
      <c r="VPA162" s="33"/>
      <c r="VPB162" s="33"/>
      <c r="VPC162" s="33"/>
      <c r="VPD162" s="33"/>
      <c r="VPE162" s="33"/>
      <c r="VPF162" s="33"/>
      <c r="VPG162" s="33"/>
      <c r="VPH162" s="33"/>
      <c r="VPI162" s="33"/>
      <c r="VPJ162" s="33"/>
      <c r="VPK162" s="33"/>
      <c r="VPL162" s="33"/>
      <c r="VPM162" s="33"/>
      <c r="VPN162" s="33"/>
      <c r="VPO162" s="33"/>
      <c r="VPP162" s="33"/>
      <c r="VPQ162" s="33"/>
      <c r="VPR162" s="33"/>
      <c r="VPS162" s="33"/>
      <c r="VPT162" s="33"/>
      <c r="VPU162" s="33"/>
      <c r="VPV162" s="33"/>
      <c r="VPW162" s="33"/>
      <c r="VPX162" s="33"/>
      <c r="VPY162" s="33"/>
      <c r="VPZ162" s="33"/>
      <c r="VQA162" s="33"/>
      <c r="VQB162" s="33"/>
      <c r="VQC162" s="33"/>
      <c r="VQD162" s="33"/>
      <c r="VQE162" s="33"/>
      <c r="VQF162" s="33"/>
      <c r="VQG162" s="33"/>
      <c r="VQH162" s="33"/>
      <c r="VQI162" s="33"/>
      <c r="VQJ162" s="33"/>
      <c r="VQK162" s="33"/>
      <c r="VQL162" s="33"/>
      <c r="VQM162" s="33"/>
      <c r="VQN162" s="33"/>
      <c r="VQO162" s="33"/>
      <c r="VQP162" s="33"/>
      <c r="VQQ162" s="33"/>
      <c r="VQR162" s="33"/>
      <c r="VQS162" s="33"/>
      <c r="VQT162" s="33"/>
      <c r="VQU162" s="33"/>
      <c r="VQV162" s="33"/>
      <c r="VQW162" s="33"/>
      <c r="VQX162" s="33"/>
      <c r="VQY162" s="33"/>
      <c r="VQZ162" s="33"/>
      <c r="VRA162" s="33"/>
      <c r="VRB162" s="33"/>
      <c r="VRC162" s="33"/>
      <c r="VRD162" s="33"/>
      <c r="VRE162" s="33"/>
      <c r="VRF162" s="33"/>
      <c r="VRG162" s="33"/>
      <c r="VRH162" s="33"/>
      <c r="VRI162" s="33"/>
      <c r="VRJ162" s="33"/>
      <c r="VRK162" s="33"/>
      <c r="VRL162" s="33"/>
      <c r="VRM162" s="33"/>
      <c r="VRN162" s="33"/>
      <c r="VRO162" s="33"/>
      <c r="VRP162" s="33"/>
      <c r="VRQ162" s="33"/>
      <c r="VRR162" s="33"/>
      <c r="VRS162" s="33"/>
      <c r="VRT162" s="33"/>
      <c r="VRU162" s="33"/>
      <c r="VRV162" s="33"/>
      <c r="VRW162" s="33"/>
      <c r="VRX162" s="33"/>
      <c r="VRY162" s="33"/>
      <c r="VRZ162" s="33"/>
      <c r="VSA162" s="33"/>
      <c r="VSB162" s="33"/>
      <c r="VSC162" s="33"/>
      <c r="VSD162" s="33"/>
      <c r="VSE162" s="33"/>
      <c r="VSF162" s="33"/>
      <c r="VSG162" s="33"/>
      <c r="VSH162" s="33"/>
      <c r="VSI162" s="33"/>
      <c r="VSJ162" s="33"/>
      <c r="VSK162" s="33"/>
      <c r="VSL162" s="33"/>
      <c r="VSM162" s="33"/>
      <c r="VSN162" s="33"/>
      <c r="VSO162" s="33"/>
      <c r="VSP162" s="33"/>
      <c r="VSQ162" s="33"/>
      <c r="VSR162" s="33"/>
      <c r="VSS162" s="33"/>
      <c r="VST162" s="33"/>
      <c r="VSU162" s="33"/>
      <c r="VSV162" s="33"/>
      <c r="VSW162" s="33"/>
      <c r="VSX162" s="33"/>
      <c r="VSY162" s="33"/>
      <c r="VSZ162" s="33"/>
      <c r="VTA162" s="33"/>
      <c r="VTB162" s="33"/>
      <c r="VTC162" s="33"/>
      <c r="VTD162" s="33"/>
      <c r="VTE162" s="33"/>
      <c r="VTF162" s="33"/>
      <c r="VTG162" s="33"/>
      <c r="VTH162" s="33"/>
      <c r="VTI162" s="33"/>
      <c r="VTJ162" s="33"/>
      <c r="VTK162" s="33"/>
      <c r="VTL162" s="33"/>
      <c r="VTM162" s="33"/>
      <c r="VTN162" s="33"/>
      <c r="VTO162" s="33"/>
      <c r="VTP162" s="33"/>
      <c r="VTQ162" s="33"/>
      <c r="VTR162" s="33"/>
      <c r="VTS162" s="33"/>
      <c r="VTT162" s="33"/>
      <c r="VTU162" s="33"/>
      <c r="VTV162" s="33"/>
      <c r="VTW162" s="33"/>
      <c r="VTX162" s="33"/>
      <c r="VTY162" s="33"/>
      <c r="VTZ162" s="33"/>
      <c r="VUA162" s="33"/>
      <c r="VUB162" s="33"/>
      <c r="VUC162" s="33"/>
      <c r="VUD162" s="33"/>
      <c r="VUE162" s="33"/>
      <c r="VUF162" s="33"/>
      <c r="VUG162" s="33"/>
      <c r="VUH162" s="33"/>
      <c r="VUI162" s="33"/>
      <c r="VUJ162" s="33"/>
      <c r="VUK162" s="33"/>
      <c r="VUL162" s="33"/>
      <c r="VUM162" s="33"/>
      <c r="VUN162" s="33"/>
      <c r="VUO162" s="33"/>
      <c r="VUP162" s="33"/>
      <c r="VUQ162" s="33"/>
      <c r="VUR162" s="33"/>
      <c r="VUS162" s="33"/>
      <c r="VUT162" s="33"/>
      <c r="VUU162" s="33"/>
      <c r="VUV162" s="33"/>
      <c r="VUW162" s="33"/>
      <c r="VUX162" s="33"/>
      <c r="VUY162" s="33"/>
      <c r="VUZ162" s="33"/>
      <c r="VVA162" s="33"/>
      <c r="VVB162" s="33"/>
      <c r="VVC162" s="33"/>
      <c r="VVD162" s="33"/>
      <c r="VVE162" s="33"/>
      <c r="VVF162" s="33"/>
      <c r="VVG162" s="33"/>
      <c r="VVH162" s="33"/>
      <c r="VVI162" s="33"/>
      <c r="VVJ162" s="33"/>
      <c r="VVK162" s="33"/>
      <c r="VVL162" s="33"/>
      <c r="VVM162" s="33"/>
      <c r="VVN162" s="33"/>
      <c r="VVO162" s="33"/>
      <c r="VVP162" s="33"/>
      <c r="VVQ162" s="33"/>
      <c r="VVR162" s="33"/>
      <c r="VVS162" s="33"/>
      <c r="VVT162" s="33"/>
      <c r="VVU162" s="33"/>
      <c r="VVV162" s="33"/>
      <c r="VVW162" s="33"/>
      <c r="VVX162" s="33"/>
      <c r="VVY162" s="33"/>
      <c r="VVZ162" s="33"/>
      <c r="VWA162" s="33"/>
      <c r="VWB162" s="33"/>
      <c r="VWC162" s="33"/>
      <c r="VWD162" s="33"/>
      <c r="VWE162" s="33"/>
      <c r="VWF162" s="33"/>
      <c r="VWG162" s="33"/>
      <c r="VWH162" s="33"/>
      <c r="VWI162" s="33"/>
      <c r="VWJ162" s="33"/>
      <c r="VWK162" s="33"/>
      <c r="VWL162" s="33"/>
      <c r="VWM162" s="33"/>
      <c r="VWN162" s="33"/>
      <c r="VWO162" s="33"/>
      <c r="VWP162" s="33"/>
      <c r="VWQ162" s="33"/>
      <c r="VWR162" s="33"/>
      <c r="VWS162" s="33"/>
      <c r="VWT162" s="33"/>
      <c r="VWU162" s="33"/>
      <c r="VWV162" s="33"/>
      <c r="VWW162" s="33"/>
      <c r="VWX162" s="33"/>
      <c r="VWY162" s="33"/>
      <c r="VWZ162" s="33"/>
      <c r="VXA162" s="33"/>
      <c r="VXB162" s="33"/>
      <c r="VXC162" s="33"/>
      <c r="VXD162" s="33"/>
      <c r="VXE162" s="33"/>
      <c r="VXF162" s="33"/>
      <c r="VXG162" s="33"/>
      <c r="VXH162" s="33"/>
      <c r="VXI162" s="33"/>
      <c r="VXJ162" s="33"/>
      <c r="VXK162" s="33"/>
      <c r="VXL162" s="33"/>
      <c r="VXM162" s="33"/>
      <c r="VXN162" s="33"/>
      <c r="VXO162" s="33"/>
      <c r="VXP162" s="33"/>
      <c r="VXQ162" s="33"/>
      <c r="VXR162" s="33"/>
      <c r="VXS162" s="33"/>
      <c r="VXT162" s="33"/>
      <c r="VXU162" s="33"/>
      <c r="VXV162" s="33"/>
      <c r="VXW162" s="33"/>
      <c r="VXX162" s="33"/>
      <c r="VXY162" s="33"/>
      <c r="VXZ162" s="33"/>
      <c r="VYA162" s="33"/>
      <c r="VYB162" s="33"/>
      <c r="VYC162" s="33"/>
      <c r="VYD162" s="33"/>
      <c r="VYE162" s="33"/>
      <c r="VYF162" s="33"/>
      <c r="VYG162" s="33"/>
      <c r="VYH162" s="33"/>
      <c r="VYI162" s="33"/>
      <c r="VYJ162" s="33"/>
      <c r="VYK162" s="33"/>
      <c r="VYL162" s="33"/>
      <c r="VYM162" s="33"/>
      <c r="VYN162" s="33"/>
      <c r="VYO162" s="33"/>
      <c r="VYP162" s="33"/>
      <c r="VYQ162" s="33"/>
      <c r="VYR162" s="33"/>
      <c r="VYS162" s="33"/>
      <c r="VYT162" s="33"/>
      <c r="VYU162" s="33"/>
      <c r="VYV162" s="33"/>
      <c r="VYW162" s="33"/>
      <c r="VYX162" s="33"/>
      <c r="VYY162" s="33"/>
      <c r="VYZ162" s="33"/>
      <c r="VZA162" s="33"/>
      <c r="VZB162" s="33"/>
      <c r="VZC162" s="33"/>
      <c r="VZD162" s="33"/>
      <c r="VZE162" s="33"/>
      <c r="VZF162" s="33"/>
      <c r="VZG162" s="33"/>
      <c r="VZH162" s="33"/>
      <c r="VZI162" s="33"/>
      <c r="VZJ162" s="33"/>
      <c r="VZK162" s="33"/>
      <c r="VZL162" s="33"/>
      <c r="VZM162" s="33"/>
      <c r="VZN162" s="33"/>
      <c r="VZO162" s="33"/>
      <c r="VZP162" s="33"/>
      <c r="VZQ162" s="33"/>
      <c r="VZR162" s="33"/>
      <c r="VZS162" s="33"/>
      <c r="VZT162" s="33"/>
      <c r="VZU162" s="33"/>
      <c r="VZV162" s="33"/>
      <c r="VZW162" s="33"/>
      <c r="VZX162" s="33"/>
      <c r="VZY162" s="33"/>
      <c r="VZZ162" s="33"/>
      <c r="WAA162" s="33"/>
      <c r="WAB162" s="33"/>
      <c r="WAC162" s="33"/>
      <c r="WAD162" s="33"/>
      <c r="WAE162" s="33"/>
      <c r="WAF162" s="33"/>
      <c r="WAG162" s="33"/>
      <c r="WAH162" s="33"/>
      <c r="WAI162" s="33"/>
      <c r="WAJ162" s="33"/>
      <c r="WAK162" s="33"/>
      <c r="WAL162" s="33"/>
      <c r="WAM162" s="33"/>
      <c r="WAN162" s="33"/>
      <c r="WAO162" s="33"/>
      <c r="WAP162" s="33"/>
      <c r="WAQ162" s="33"/>
      <c r="WAR162" s="33"/>
      <c r="WAS162" s="33"/>
      <c r="WAT162" s="33"/>
      <c r="WAU162" s="33"/>
      <c r="WAV162" s="33"/>
      <c r="WAW162" s="33"/>
      <c r="WAX162" s="33"/>
      <c r="WAY162" s="33"/>
      <c r="WAZ162" s="33"/>
      <c r="WBA162" s="33"/>
      <c r="WBB162" s="33"/>
      <c r="WBC162" s="33"/>
      <c r="WBD162" s="33"/>
      <c r="WBE162" s="33"/>
      <c r="WBF162" s="33"/>
      <c r="WBG162" s="33"/>
      <c r="WBH162" s="33"/>
      <c r="WBI162" s="33"/>
      <c r="WBJ162" s="33"/>
      <c r="WBK162" s="33"/>
      <c r="WBL162" s="33"/>
      <c r="WBM162" s="33"/>
      <c r="WBN162" s="33"/>
      <c r="WBO162" s="33"/>
      <c r="WBP162" s="33"/>
      <c r="WBQ162" s="33"/>
      <c r="WBR162" s="33"/>
      <c r="WBS162" s="33"/>
      <c r="WBT162" s="33"/>
      <c r="WBU162" s="33"/>
      <c r="WBV162" s="33"/>
      <c r="WBW162" s="33"/>
      <c r="WBX162" s="33"/>
      <c r="WBY162" s="33"/>
      <c r="WBZ162" s="33"/>
      <c r="WCA162" s="33"/>
      <c r="WCB162" s="33"/>
      <c r="WCC162" s="33"/>
      <c r="WCD162" s="33"/>
      <c r="WCE162" s="33"/>
      <c r="WCF162" s="33"/>
      <c r="WCG162" s="33"/>
      <c r="WCH162" s="33"/>
      <c r="WCI162" s="33"/>
      <c r="WCJ162" s="33"/>
      <c r="WCK162" s="33"/>
      <c r="WCL162" s="33"/>
      <c r="WCM162" s="33"/>
      <c r="WCN162" s="33"/>
      <c r="WCO162" s="33"/>
      <c r="WCP162" s="33"/>
      <c r="WCQ162" s="33"/>
      <c r="WCR162" s="33"/>
      <c r="WCS162" s="33"/>
      <c r="WCT162" s="33"/>
      <c r="WCU162" s="33"/>
      <c r="WCV162" s="33"/>
      <c r="WCW162" s="33"/>
      <c r="WCX162" s="33"/>
      <c r="WCY162" s="33"/>
      <c r="WCZ162" s="33"/>
      <c r="WDA162" s="33"/>
      <c r="WDB162" s="33"/>
      <c r="WDC162" s="33"/>
      <c r="WDD162" s="33"/>
      <c r="WDE162" s="33"/>
      <c r="WDF162" s="33"/>
      <c r="WDG162" s="33"/>
      <c r="WDH162" s="33"/>
      <c r="WDI162" s="33"/>
      <c r="WDJ162" s="33"/>
      <c r="WDK162" s="33"/>
      <c r="WDL162" s="33"/>
      <c r="WDM162" s="33"/>
      <c r="WDN162" s="33"/>
      <c r="WDO162" s="33"/>
      <c r="WDP162" s="33"/>
      <c r="WDQ162" s="33"/>
      <c r="WDR162" s="33"/>
      <c r="WDS162" s="33"/>
      <c r="WDT162" s="33"/>
      <c r="WDU162" s="33"/>
      <c r="WDV162" s="33"/>
      <c r="WDW162" s="33"/>
      <c r="WDX162" s="33"/>
      <c r="WDY162" s="33"/>
      <c r="WDZ162" s="33"/>
      <c r="WEA162" s="33"/>
      <c r="WEB162" s="33"/>
      <c r="WEC162" s="33"/>
      <c r="WED162" s="33"/>
      <c r="WEE162" s="33"/>
      <c r="WEF162" s="33"/>
      <c r="WEG162" s="33"/>
      <c r="WEH162" s="33"/>
      <c r="WEI162" s="33"/>
      <c r="WEJ162" s="33"/>
      <c r="WEK162" s="33"/>
      <c r="WEL162" s="33"/>
      <c r="WEM162" s="33"/>
      <c r="WEN162" s="33"/>
      <c r="WEO162" s="33"/>
      <c r="WEP162" s="33"/>
      <c r="WEQ162" s="33"/>
      <c r="WER162" s="33"/>
      <c r="WES162" s="33"/>
      <c r="WET162" s="33"/>
      <c r="WEU162" s="33"/>
      <c r="WEV162" s="33"/>
      <c r="WEW162" s="33"/>
      <c r="WEX162" s="33"/>
      <c r="WEY162" s="33"/>
      <c r="WEZ162" s="33"/>
      <c r="WFA162" s="33"/>
      <c r="WFB162" s="33"/>
      <c r="WFC162" s="33"/>
      <c r="WFD162" s="33"/>
      <c r="WFE162" s="33"/>
      <c r="WFF162" s="33"/>
      <c r="WFG162" s="33"/>
      <c r="WFH162" s="33"/>
      <c r="WFI162" s="33"/>
      <c r="WFJ162" s="33"/>
      <c r="WFK162" s="33"/>
      <c r="WFL162" s="33"/>
      <c r="WFM162" s="33"/>
      <c r="WFN162" s="33"/>
      <c r="WFO162" s="33"/>
      <c r="WFP162" s="33"/>
      <c r="WFQ162" s="33"/>
      <c r="WFR162" s="33"/>
      <c r="WFS162" s="33"/>
      <c r="WFT162" s="33"/>
      <c r="WFU162" s="33"/>
      <c r="WFV162" s="33"/>
      <c r="WFW162" s="33"/>
      <c r="WFX162" s="33"/>
      <c r="WFY162" s="33"/>
      <c r="WFZ162" s="33"/>
      <c r="WGA162" s="33"/>
      <c r="WGB162" s="33"/>
      <c r="WGC162" s="33"/>
      <c r="WGD162" s="33"/>
      <c r="WGE162" s="33"/>
      <c r="WGF162" s="33"/>
      <c r="WGG162" s="33"/>
      <c r="WGH162" s="33"/>
      <c r="WGI162" s="33"/>
      <c r="WGJ162" s="33"/>
      <c r="WGK162" s="33"/>
      <c r="WGL162" s="33"/>
      <c r="WGM162" s="33"/>
      <c r="WGN162" s="33"/>
      <c r="WGO162" s="33"/>
      <c r="WGP162" s="33"/>
      <c r="WGQ162" s="33"/>
      <c r="WGR162" s="33"/>
      <c r="WGS162" s="33"/>
      <c r="WGT162" s="33"/>
      <c r="WGU162" s="33"/>
      <c r="WGV162" s="33"/>
      <c r="WGW162" s="33"/>
      <c r="WGX162" s="33"/>
      <c r="WGY162" s="33"/>
      <c r="WGZ162" s="33"/>
      <c r="WHA162" s="33"/>
      <c r="WHB162" s="33"/>
      <c r="WHC162" s="33"/>
      <c r="WHD162" s="33"/>
      <c r="WHE162" s="33"/>
      <c r="WHF162" s="33"/>
      <c r="WHG162" s="33"/>
      <c r="WHH162" s="33"/>
      <c r="WHI162" s="33"/>
      <c r="WHJ162" s="33"/>
      <c r="WHK162" s="33"/>
      <c r="WHL162" s="33"/>
      <c r="WHM162" s="33"/>
      <c r="WHN162" s="33"/>
      <c r="WHO162" s="33"/>
      <c r="WHP162" s="33"/>
      <c r="WHQ162" s="33"/>
      <c r="WHR162" s="33"/>
      <c r="WHS162" s="33"/>
      <c r="WHT162" s="33"/>
      <c r="WHU162" s="33"/>
      <c r="WHV162" s="33"/>
      <c r="WHW162" s="33"/>
      <c r="WHX162" s="33"/>
      <c r="WHY162" s="33"/>
      <c r="WHZ162" s="33"/>
      <c r="WIA162" s="33"/>
      <c r="WIB162" s="33"/>
      <c r="WIC162" s="33"/>
      <c r="WID162" s="33"/>
      <c r="WIE162" s="33"/>
      <c r="WIF162" s="33"/>
      <c r="WIG162" s="33"/>
      <c r="WIH162" s="33"/>
      <c r="WII162" s="33"/>
      <c r="WIJ162" s="33"/>
      <c r="WIK162" s="33"/>
      <c r="WIL162" s="33"/>
      <c r="WIM162" s="33"/>
      <c r="WIN162" s="33"/>
      <c r="WIO162" s="33"/>
      <c r="WIP162" s="33"/>
      <c r="WIQ162" s="33"/>
      <c r="WIR162" s="33"/>
      <c r="WIS162" s="33"/>
      <c r="WIT162" s="33"/>
      <c r="WIU162" s="33"/>
      <c r="WIV162" s="33"/>
      <c r="WIW162" s="33"/>
      <c r="WIX162" s="33"/>
      <c r="WIY162" s="33"/>
      <c r="WIZ162" s="33"/>
      <c r="WJA162" s="33"/>
      <c r="WJB162" s="33"/>
      <c r="WJC162" s="33"/>
      <c r="WJD162" s="33"/>
      <c r="WJE162" s="33"/>
      <c r="WJF162" s="33"/>
      <c r="WJG162" s="33"/>
      <c r="WJH162" s="33"/>
      <c r="WJI162" s="33"/>
      <c r="WJJ162" s="33"/>
      <c r="WJK162" s="33"/>
      <c r="WJL162" s="33"/>
      <c r="WJM162" s="33"/>
      <c r="WJN162" s="33"/>
      <c r="WJO162" s="33"/>
      <c r="WJP162" s="33"/>
      <c r="WJQ162" s="33"/>
      <c r="WJR162" s="33"/>
      <c r="WJS162" s="33"/>
      <c r="WJT162" s="33"/>
      <c r="WJU162" s="33"/>
      <c r="WJV162" s="33"/>
      <c r="WJW162" s="33"/>
      <c r="WJX162" s="33"/>
      <c r="WJY162" s="33"/>
      <c r="WJZ162" s="33"/>
      <c r="WKA162" s="33"/>
      <c r="WKB162" s="33"/>
      <c r="WKC162" s="33"/>
      <c r="WKD162" s="33"/>
      <c r="WKE162" s="33"/>
      <c r="WKF162" s="33"/>
      <c r="WKG162" s="33"/>
      <c r="WKH162" s="33"/>
      <c r="WKI162" s="33"/>
      <c r="WKJ162" s="33"/>
      <c r="WKK162" s="33"/>
      <c r="WKL162" s="33"/>
      <c r="WKM162" s="33"/>
      <c r="WKN162" s="33"/>
      <c r="WKO162" s="33"/>
      <c r="WKP162" s="33"/>
      <c r="WKQ162" s="33"/>
      <c r="WKR162" s="33"/>
      <c r="WKS162" s="33"/>
      <c r="WKT162" s="33"/>
      <c r="WKU162" s="33"/>
      <c r="WKV162" s="33"/>
      <c r="WKW162" s="33"/>
      <c r="WKX162" s="33"/>
      <c r="WKY162" s="33"/>
      <c r="WKZ162" s="33"/>
      <c r="WLA162" s="33"/>
      <c r="WLB162" s="33"/>
      <c r="WLC162" s="33"/>
      <c r="WLD162" s="33"/>
      <c r="WLE162" s="33"/>
      <c r="WLF162" s="33"/>
      <c r="WLG162" s="33"/>
      <c r="WLH162" s="33"/>
      <c r="WLI162" s="33"/>
      <c r="WLJ162" s="33"/>
      <c r="WLK162" s="33"/>
      <c r="WLL162" s="33"/>
      <c r="WLM162" s="33"/>
      <c r="WLN162" s="33"/>
      <c r="WLO162" s="33"/>
      <c r="WLP162" s="33"/>
      <c r="WLQ162" s="33"/>
      <c r="WLR162" s="33"/>
      <c r="WLS162" s="33"/>
      <c r="WLT162" s="33"/>
      <c r="WLU162" s="33"/>
      <c r="WLV162" s="33"/>
      <c r="WLW162" s="33"/>
      <c r="WLX162" s="33"/>
      <c r="WLY162" s="33"/>
      <c r="WLZ162" s="33"/>
      <c r="WMA162" s="33"/>
      <c r="WMB162" s="33"/>
      <c r="WMC162" s="33"/>
      <c r="WMD162" s="33"/>
      <c r="WME162" s="33"/>
      <c r="WMF162" s="33"/>
      <c r="WMG162" s="33"/>
      <c r="WMH162" s="33"/>
      <c r="WMI162" s="33"/>
      <c r="WMJ162" s="33"/>
      <c r="WMK162" s="33"/>
      <c r="WML162" s="33"/>
      <c r="WMM162" s="33"/>
      <c r="WMN162" s="33"/>
      <c r="WMO162" s="33"/>
      <c r="WMP162" s="33"/>
      <c r="WMQ162" s="33"/>
      <c r="WMR162" s="33"/>
      <c r="WMS162" s="33"/>
      <c r="WMT162" s="33"/>
      <c r="WMU162" s="33"/>
      <c r="WMV162" s="33"/>
      <c r="WMW162" s="33"/>
      <c r="WMX162" s="33"/>
      <c r="WMY162" s="33"/>
      <c r="WMZ162" s="33"/>
      <c r="WNA162" s="33"/>
      <c r="WNB162" s="33"/>
      <c r="WNC162" s="33"/>
      <c r="WND162" s="33"/>
      <c r="WNE162" s="33"/>
      <c r="WNF162" s="33"/>
      <c r="WNG162" s="33"/>
      <c r="WNH162" s="33"/>
      <c r="WNI162" s="33"/>
      <c r="WNJ162" s="33"/>
      <c r="WNK162" s="33"/>
      <c r="WNL162" s="33"/>
      <c r="WNM162" s="33"/>
      <c r="WNN162" s="33"/>
      <c r="WNO162" s="33"/>
      <c r="WNP162" s="33"/>
      <c r="WNQ162" s="33"/>
      <c r="WNR162" s="33"/>
      <c r="WNS162" s="33"/>
      <c r="WNT162" s="33"/>
      <c r="WNU162" s="33"/>
      <c r="WNV162" s="33"/>
      <c r="WNW162" s="33"/>
      <c r="WNX162" s="33"/>
      <c r="WNY162" s="33"/>
      <c r="WNZ162" s="33"/>
      <c r="WOA162" s="33"/>
      <c r="WOB162" s="33"/>
      <c r="WOC162" s="33"/>
      <c r="WOD162" s="33"/>
      <c r="WOE162" s="33"/>
      <c r="WOF162" s="33"/>
      <c r="WOG162" s="33"/>
      <c r="WOH162" s="33"/>
      <c r="WOI162" s="33"/>
      <c r="WOJ162" s="33"/>
      <c r="WOK162" s="33"/>
      <c r="WOL162" s="33"/>
      <c r="WOM162" s="33"/>
      <c r="WON162" s="33"/>
      <c r="WOO162" s="33"/>
      <c r="WOP162" s="33"/>
      <c r="WOQ162" s="33"/>
      <c r="WOR162" s="33"/>
      <c r="WOS162" s="33"/>
      <c r="WOT162" s="33"/>
      <c r="WOU162" s="33"/>
      <c r="WOV162" s="33"/>
      <c r="WOW162" s="33"/>
      <c r="WOX162" s="33"/>
      <c r="WOY162" s="33"/>
      <c r="WOZ162" s="33"/>
      <c r="WPA162" s="33"/>
      <c r="WPB162" s="33"/>
      <c r="WPC162" s="33"/>
      <c r="WPD162" s="33"/>
      <c r="WPE162" s="33"/>
      <c r="WPF162" s="33"/>
      <c r="WPG162" s="33"/>
      <c r="WPH162" s="33"/>
      <c r="WPI162" s="33"/>
      <c r="WPJ162" s="33"/>
      <c r="WPK162" s="33"/>
      <c r="WPL162" s="33"/>
      <c r="WPM162" s="33"/>
      <c r="WPN162" s="33"/>
      <c r="WPO162" s="33"/>
      <c r="WPP162" s="33"/>
      <c r="WPQ162" s="33"/>
      <c r="WPR162" s="33"/>
      <c r="WPS162" s="33"/>
      <c r="WPT162" s="33"/>
      <c r="WPU162" s="33"/>
      <c r="WPV162" s="33"/>
      <c r="WPW162" s="33"/>
      <c r="WPX162" s="33"/>
      <c r="WPY162" s="33"/>
      <c r="WPZ162" s="33"/>
      <c r="WQA162" s="33"/>
      <c r="WQB162" s="33"/>
      <c r="WQC162" s="33"/>
      <c r="WQD162" s="33"/>
      <c r="WQE162" s="33"/>
      <c r="WQF162" s="33"/>
      <c r="WQG162" s="33"/>
      <c r="WQH162" s="33"/>
      <c r="WQI162" s="33"/>
      <c r="WQJ162" s="33"/>
      <c r="WQK162" s="33"/>
      <c r="WQL162" s="33"/>
      <c r="WQM162" s="33"/>
      <c r="WQN162" s="33"/>
      <c r="WQO162" s="33"/>
      <c r="WQP162" s="33"/>
      <c r="WQQ162" s="33"/>
      <c r="WQR162" s="33"/>
      <c r="WQS162" s="33"/>
      <c r="WQT162" s="33"/>
      <c r="WQU162" s="33"/>
      <c r="WQV162" s="33"/>
      <c r="WQW162" s="33"/>
      <c r="WQX162" s="33"/>
      <c r="WQY162" s="33"/>
      <c r="WQZ162" s="33"/>
      <c r="WRA162" s="33"/>
      <c r="WRB162" s="33"/>
      <c r="WRC162" s="33"/>
      <c r="WRD162" s="33"/>
      <c r="WRE162" s="33"/>
      <c r="WRF162" s="33"/>
      <c r="WRG162" s="33"/>
      <c r="WRH162" s="33"/>
      <c r="WRI162" s="33"/>
      <c r="WRJ162" s="33"/>
      <c r="WRK162" s="33"/>
      <c r="WRL162" s="33"/>
      <c r="WRM162" s="33"/>
      <c r="WRN162" s="33"/>
      <c r="WRO162" s="33"/>
      <c r="WRP162" s="33"/>
      <c r="WRQ162" s="33"/>
      <c r="WRR162" s="33"/>
      <c r="WRS162" s="33"/>
      <c r="WRT162" s="33"/>
      <c r="WRU162" s="33"/>
      <c r="WRV162" s="33"/>
      <c r="WRW162" s="33"/>
      <c r="WRX162" s="33"/>
      <c r="WRY162" s="33"/>
      <c r="WRZ162" s="33"/>
      <c r="WSA162" s="33"/>
      <c r="WSB162" s="33"/>
      <c r="WSC162" s="33"/>
      <c r="WSD162" s="33"/>
      <c r="WSE162" s="33"/>
      <c r="WSF162" s="33"/>
      <c r="WSG162" s="33"/>
      <c r="WSH162" s="33"/>
      <c r="WSI162" s="33"/>
      <c r="WSJ162" s="33"/>
      <c r="WSK162" s="33"/>
      <c r="WSL162" s="33"/>
      <c r="WSM162" s="33"/>
      <c r="WSN162" s="33"/>
      <c r="WSO162" s="33"/>
      <c r="WSP162" s="33"/>
      <c r="WSQ162" s="33"/>
      <c r="WSR162" s="33"/>
      <c r="WSS162" s="33"/>
      <c r="WST162" s="33"/>
      <c r="WSU162" s="33"/>
      <c r="WSV162" s="33"/>
      <c r="WSW162" s="33"/>
      <c r="WSX162" s="33"/>
      <c r="WSY162" s="33"/>
      <c r="WSZ162" s="33"/>
      <c r="WTA162" s="33"/>
      <c r="WTB162" s="33"/>
      <c r="WTC162" s="33"/>
      <c r="WTD162" s="33"/>
      <c r="WTE162" s="33"/>
      <c r="WTF162" s="33"/>
      <c r="WTG162" s="33"/>
      <c r="WTH162" s="33"/>
      <c r="WTI162" s="33"/>
      <c r="WTJ162" s="33"/>
      <c r="WTK162" s="33"/>
      <c r="WTL162" s="33"/>
      <c r="WTM162" s="33"/>
      <c r="WTN162" s="33"/>
      <c r="WTO162" s="33"/>
      <c r="WTP162" s="33"/>
      <c r="WTQ162" s="33"/>
      <c r="WTR162" s="33"/>
      <c r="WTS162" s="33"/>
      <c r="WTT162" s="33"/>
      <c r="WTU162" s="33"/>
      <c r="WTV162" s="33"/>
      <c r="WTW162" s="33"/>
      <c r="WTX162" s="33"/>
      <c r="WTY162" s="33"/>
      <c r="WTZ162" s="33"/>
      <c r="WUA162" s="33"/>
      <c r="WUB162" s="33"/>
      <c r="WUC162" s="33"/>
      <c r="WUD162" s="33"/>
      <c r="WUE162" s="33"/>
      <c r="WUF162" s="33"/>
      <c r="WUG162" s="33"/>
      <c r="WUH162" s="33"/>
      <c r="WUI162" s="33"/>
      <c r="WUJ162" s="33"/>
      <c r="WUK162" s="33"/>
      <c r="WUL162" s="33"/>
      <c r="WUM162" s="33"/>
      <c r="WUN162" s="33"/>
      <c r="WUO162" s="33"/>
      <c r="WUP162" s="33"/>
      <c r="WUQ162" s="33"/>
      <c r="WUR162" s="33"/>
      <c r="WUS162" s="33"/>
      <c r="WUT162" s="33"/>
      <c r="WUU162" s="33"/>
      <c r="WUV162" s="33"/>
      <c r="WUW162" s="33"/>
      <c r="WUX162" s="33"/>
      <c r="WUY162" s="33"/>
      <c r="WUZ162" s="33"/>
      <c r="WVA162" s="33"/>
      <c r="WVB162" s="33"/>
      <c r="WVC162" s="33"/>
      <c r="WVD162" s="33"/>
      <c r="WVE162" s="33"/>
      <c r="WVF162" s="33"/>
      <c r="WVG162" s="33"/>
      <c r="WVH162" s="33"/>
      <c r="WVI162" s="33"/>
      <c r="WVJ162" s="33"/>
      <c r="WVK162" s="33"/>
      <c r="WVL162" s="33"/>
      <c r="WVM162" s="33"/>
      <c r="WVN162" s="33"/>
      <c r="WVO162" s="33"/>
      <c r="WVP162" s="33"/>
      <c r="WVQ162" s="33"/>
      <c r="WVR162" s="33"/>
      <c r="WVS162" s="33"/>
      <c r="WVT162" s="33"/>
      <c r="WVU162" s="33"/>
      <c r="WVV162" s="33"/>
      <c r="WVW162" s="33"/>
      <c r="WVX162" s="33"/>
      <c r="WVY162" s="33"/>
      <c r="WVZ162" s="33"/>
      <c r="WWA162" s="33"/>
    </row>
    <row r="163" spans="2:16147" s="234" customFormat="1" x14ac:dyDescent="0.2">
      <c r="B163" s="257">
        <v>50</v>
      </c>
      <c r="C163" s="117" t="s">
        <v>512</v>
      </c>
      <c r="D163" s="234">
        <v>2011</v>
      </c>
      <c r="E163" s="234">
        <v>4</v>
      </c>
      <c r="F163" s="234">
        <v>0</v>
      </c>
      <c r="H163" s="234" t="s">
        <v>351</v>
      </c>
      <c r="I163" s="234">
        <v>8</v>
      </c>
      <c r="J163" s="233">
        <f t="shared" si="47"/>
        <v>2019</v>
      </c>
      <c r="K163" s="237">
        <f t="shared" si="48"/>
        <v>2019.3333333333333</v>
      </c>
      <c r="L163" s="245">
        <v>3781.01</v>
      </c>
      <c r="M163" s="239">
        <f t="shared" si="49"/>
        <v>3781.01</v>
      </c>
      <c r="N163" s="239">
        <f t="shared" si="50"/>
        <v>39.385520833333338</v>
      </c>
      <c r="O163" s="239">
        <f t="shared" si="51"/>
        <v>472.62625000000003</v>
      </c>
      <c r="P163" s="261">
        <f t="shared" si="52"/>
        <v>0</v>
      </c>
      <c r="Q163" s="261">
        <f t="shared" si="53"/>
        <v>3781.01</v>
      </c>
      <c r="R163" s="261">
        <f t="shared" si="54"/>
        <v>3781.01</v>
      </c>
      <c r="S163" s="261">
        <f t="shared" si="55"/>
        <v>0</v>
      </c>
    </row>
    <row r="164" spans="2:16147" s="234" customFormat="1" x14ac:dyDescent="0.2">
      <c r="B164" s="257">
        <v>50</v>
      </c>
      <c r="C164" s="117" t="s">
        <v>512</v>
      </c>
      <c r="D164" s="234">
        <v>2011</v>
      </c>
      <c r="E164" s="234">
        <v>6</v>
      </c>
      <c r="F164" s="234">
        <v>0</v>
      </c>
      <c r="H164" s="234" t="s">
        <v>351</v>
      </c>
      <c r="I164" s="234">
        <v>8</v>
      </c>
      <c r="J164" s="233">
        <f t="shared" si="47"/>
        <v>2019</v>
      </c>
      <c r="K164" s="237">
        <f t="shared" si="48"/>
        <v>2019.5</v>
      </c>
      <c r="L164" s="245">
        <v>3487.33</v>
      </c>
      <c r="M164" s="239">
        <f t="shared" si="49"/>
        <v>3487.33</v>
      </c>
      <c r="N164" s="239">
        <f t="shared" si="50"/>
        <v>36.326354166666668</v>
      </c>
      <c r="O164" s="239">
        <f t="shared" si="51"/>
        <v>435.91624999999999</v>
      </c>
      <c r="P164" s="261">
        <f t="shared" si="52"/>
        <v>0</v>
      </c>
      <c r="Q164" s="261">
        <f t="shared" si="53"/>
        <v>3487.33</v>
      </c>
      <c r="R164" s="261">
        <f t="shared" si="54"/>
        <v>3487.33</v>
      </c>
      <c r="S164" s="261">
        <f t="shared" si="55"/>
        <v>0</v>
      </c>
    </row>
    <row r="165" spans="2:16147" s="234" customFormat="1" x14ac:dyDescent="0.2">
      <c r="B165" s="257">
        <v>50</v>
      </c>
      <c r="C165" s="117" t="s">
        <v>511</v>
      </c>
      <c r="D165" s="234">
        <v>2011</v>
      </c>
      <c r="E165" s="234">
        <v>6</v>
      </c>
      <c r="F165" s="234">
        <v>0</v>
      </c>
      <c r="H165" s="234" t="s">
        <v>351</v>
      </c>
      <c r="I165" s="234">
        <v>8</v>
      </c>
      <c r="J165" s="233">
        <f t="shared" si="47"/>
        <v>2019</v>
      </c>
      <c r="K165" s="237">
        <f t="shared" si="48"/>
        <v>2019.5</v>
      </c>
      <c r="L165" s="245">
        <v>5128.59</v>
      </c>
      <c r="M165" s="239">
        <f t="shared" si="49"/>
        <v>5128.59</v>
      </c>
      <c r="N165" s="239">
        <f t="shared" si="50"/>
        <v>53.422812499999999</v>
      </c>
      <c r="O165" s="239">
        <f t="shared" si="51"/>
        <v>641.07375000000002</v>
      </c>
      <c r="P165" s="261">
        <f t="shared" si="52"/>
        <v>0</v>
      </c>
      <c r="Q165" s="261">
        <f t="shared" si="53"/>
        <v>5128.59</v>
      </c>
      <c r="R165" s="261">
        <f t="shared" si="54"/>
        <v>5128.59</v>
      </c>
      <c r="S165" s="261">
        <f t="shared" si="55"/>
        <v>0</v>
      </c>
    </row>
    <row r="166" spans="2:16147" s="234" customFormat="1" x14ac:dyDescent="0.2">
      <c r="B166" s="257" t="s">
        <v>462</v>
      </c>
      <c r="C166" s="117" t="s">
        <v>513</v>
      </c>
      <c r="D166" s="234">
        <v>2011</v>
      </c>
      <c r="E166" s="234">
        <v>6</v>
      </c>
      <c r="F166" s="234">
        <v>0</v>
      </c>
      <c r="H166" s="234" t="s">
        <v>351</v>
      </c>
      <c r="I166" s="234">
        <v>8</v>
      </c>
      <c r="J166" s="233">
        <f t="shared" si="47"/>
        <v>2019</v>
      </c>
      <c r="K166" s="237">
        <f t="shared" si="48"/>
        <v>2019.5</v>
      </c>
      <c r="L166" s="245">
        <v>8011.71</v>
      </c>
      <c r="M166" s="239">
        <f t="shared" si="49"/>
        <v>8011.71</v>
      </c>
      <c r="N166" s="239">
        <f t="shared" si="50"/>
        <v>83.455312500000005</v>
      </c>
      <c r="O166" s="239">
        <f t="shared" si="51"/>
        <v>1001.4637500000001</v>
      </c>
      <c r="P166" s="261">
        <f t="shared" si="52"/>
        <v>0</v>
      </c>
      <c r="Q166" s="261">
        <f t="shared" si="53"/>
        <v>8011.71</v>
      </c>
      <c r="R166" s="261">
        <f t="shared" si="54"/>
        <v>8011.71</v>
      </c>
      <c r="S166" s="261">
        <f t="shared" si="55"/>
        <v>0</v>
      </c>
    </row>
    <row r="167" spans="2:16147" s="234" customFormat="1" x14ac:dyDescent="0.2">
      <c r="B167" s="257" t="s">
        <v>431</v>
      </c>
      <c r="C167" s="234" t="s">
        <v>502</v>
      </c>
      <c r="D167" s="234">
        <v>2011</v>
      </c>
      <c r="E167" s="234">
        <v>10</v>
      </c>
      <c r="F167" s="234">
        <v>0</v>
      </c>
      <c r="H167" s="234" t="s">
        <v>351</v>
      </c>
      <c r="I167" s="234">
        <v>8</v>
      </c>
      <c r="J167" s="233">
        <f t="shared" si="47"/>
        <v>2019</v>
      </c>
      <c r="K167" s="237">
        <f t="shared" si="48"/>
        <v>2019.8333333333333</v>
      </c>
      <c r="L167" s="245">
        <v>5273.74</v>
      </c>
      <c r="M167" s="239">
        <f t="shared" si="49"/>
        <v>5273.74</v>
      </c>
      <c r="N167" s="239">
        <f t="shared" si="50"/>
        <v>54.934791666666662</v>
      </c>
      <c r="O167" s="239">
        <f t="shared" si="51"/>
        <v>659.21749999999997</v>
      </c>
      <c r="P167" s="261">
        <f t="shared" si="52"/>
        <v>0</v>
      </c>
      <c r="Q167" s="261">
        <f t="shared" si="53"/>
        <v>5273.74</v>
      </c>
      <c r="R167" s="261">
        <f t="shared" si="54"/>
        <v>5273.74</v>
      </c>
      <c r="S167" s="261">
        <f t="shared" si="55"/>
        <v>0</v>
      </c>
    </row>
    <row r="168" spans="2:16147" s="234" customFormat="1" x14ac:dyDescent="0.2">
      <c r="B168" s="257" t="s">
        <v>431</v>
      </c>
      <c r="C168" s="234" t="s">
        <v>442</v>
      </c>
      <c r="D168" s="234">
        <v>2011</v>
      </c>
      <c r="E168" s="234">
        <v>10</v>
      </c>
      <c r="F168" s="234">
        <v>0</v>
      </c>
      <c r="H168" s="234" t="s">
        <v>351</v>
      </c>
      <c r="I168" s="234">
        <v>8</v>
      </c>
      <c r="J168" s="233">
        <f t="shared" si="47"/>
        <v>2019</v>
      </c>
      <c r="K168" s="237">
        <f t="shared" si="48"/>
        <v>2019.8333333333333</v>
      </c>
      <c r="L168" s="245">
        <v>3736.17</v>
      </c>
      <c r="M168" s="239">
        <f t="shared" si="49"/>
        <v>3736.17</v>
      </c>
      <c r="N168" s="239">
        <f t="shared" si="50"/>
        <v>38.918437500000003</v>
      </c>
      <c r="O168" s="239">
        <f t="shared" si="51"/>
        <v>467.02125000000001</v>
      </c>
      <c r="P168" s="261">
        <f t="shared" si="52"/>
        <v>0</v>
      </c>
      <c r="Q168" s="261">
        <f t="shared" si="53"/>
        <v>3736.17</v>
      </c>
      <c r="R168" s="261">
        <f t="shared" si="54"/>
        <v>3736.17</v>
      </c>
      <c r="S168" s="261">
        <f t="shared" si="55"/>
        <v>0</v>
      </c>
    </row>
    <row r="169" spans="2:16147" s="234" customFormat="1" x14ac:dyDescent="0.2">
      <c r="B169" s="257" t="s">
        <v>431</v>
      </c>
      <c r="C169" s="234" t="s">
        <v>443</v>
      </c>
      <c r="D169" s="234">
        <v>2011</v>
      </c>
      <c r="E169" s="234">
        <v>10</v>
      </c>
      <c r="F169" s="234">
        <v>0</v>
      </c>
      <c r="H169" s="234" t="s">
        <v>351</v>
      </c>
      <c r="I169" s="234">
        <v>8</v>
      </c>
      <c r="J169" s="233">
        <f t="shared" ref="J169:J200" si="56">D169+I169</f>
        <v>2019</v>
      </c>
      <c r="K169" s="237">
        <f t="shared" ref="K169:K200" si="57">+J169+(E169/12)</f>
        <v>2019.8333333333333</v>
      </c>
      <c r="L169" s="245">
        <v>3978.95</v>
      </c>
      <c r="M169" s="239">
        <f t="shared" ref="M169:M200" si="58">L169-L169*F169</f>
        <v>3978.95</v>
      </c>
      <c r="N169" s="239">
        <f t="shared" ref="N169:N200" si="59">M169/I169/12</f>
        <v>41.447395833333331</v>
      </c>
      <c r="O169" s="239">
        <f t="shared" ref="O169:O200" si="60">+N169*12</f>
        <v>497.36874999999998</v>
      </c>
      <c r="P169" s="261">
        <f t="shared" ref="P169:P200" si="61">+IF(K169&lt;=$M$5,0,IF(J169&gt;$M$4,O169,(N169*E169)))</f>
        <v>0</v>
      </c>
      <c r="Q169" s="261">
        <f t="shared" ref="Q169:Q200" si="62">+IF(P169=0,M169,IF($M$3-D169&lt;1,0,(($M$3-D169)*O169)))</f>
        <v>3978.95</v>
      </c>
      <c r="R169" s="261">
        <f t="shared" ref="R169:R200" si="63">+IF(P169=0,Q169,Q169+P169)</f>
        <v>3978.95</v>
      </c>
      <c r="S169" s="261">
        <f t="shared" ref="S169:S200" si="64">+L169-R169</f>
        <v>0</v>
      </c>
    </row>
    <row r="170" spans="2:16147" s="234" customFormat="1" x14ac:dyDescent="0.2">
      <c r="B170" s="257" t="s">
        <v>506</v>
      </c>
      <c r="C170" s="234" t="s">
        <v>503</v>
      </c>
      <c r="D170" s="234">
        <v>2011</v>
      </c>
      <c r="E170" s="234">
        <v>11</v>
      </c>
      <c r="F170" s="234">
        <v>0</v>
      </c>
      <c r="H170" s="234" t="s">
        <v>351</v>
      </c>
      <c r="I170" s="234">
        <v>8</v>
      </c>
      <c r="J170" s="233">
        <f t="shared" si="56"/>
        <v>2019</v>
      </c>
      <c r="K170" s="237">
        <f t="shared" si="57"/>
        <v>2019.9166666666667</v>
      </c>
      <c r="L170" s="245">
        <v>13158.5</v>
      </c>
      <c r="M170" s="239">
        <f t="shared" si="58"/>
        <v>13158.5</v>
      </c>
      <c r="N170" s="239">
        <f t="shared" si="59"/>
        <v>137.06770833333334</v>
      </c>
      <c r="O170" s="239">
        <f t="shared" si="60"/>
        <v>1644.8125</v>
      </c>
      <c r="P170" s="261">
        <f t="shared" si="61"/>
        <v>0</v>
      </c>
      <c r="Q170" s="261">
        <f t="shared" si="62"/>
        <v>13158.5</v>
      </c>
      <c r="R170" s="261">
        <f t="shared" si="63"/>
        <v>13158.5</v>
      </c>
      <c r="S170" s="261">
        <f t="shared" si="64"/>
        <v>0</v>
      </c>
    </row>
    <row r="171" spans="2:16147" s="234" customFormat="1" x14ac:dyDescent="0.2">
      <c r="B171" s="257" t="s">
        <v>431</v>
      </c>
      <c r="C171" s="234" t="s">
        <v>443</v>
      </c>
      <c r="D171" s="234">
        <v>2011</v>
      </c>
      <c r="E171" s="234">
        <v>11</v>
      </c>
      <c r="F171" s="234">
        <v>0</v>
      </c>
      <c r="H171" s="234" t="s">
        <v>351</v>
      </c>
      <c r="I171" s="234">
        <v>8</v>
      </c>
      <c r="J171" s="233">
        <f t="shared" si="56"/>
        <v>2019</v>
      </c>
      <c r="K171" s="237">
        <f t="shared" si="57"/>
        <v>2019.9166666666667</v>
      </c>
      <c r="L171" s="245">
        <v>3851.64</v>
      </c>
      <c r="M171" s="239">
        <f t="shared" si="58"/>
        <v>3851.64</v>
      </c>
      <c r="N171" s="239">
        <f t="shared" si="59"/>
        <v>40.121249999999996</v>
      </c>
      <c r="O171" s="239">
        <f t="shared" si="60"/>
        <v>481.45499999999993</v>
      </c>
      <c r="P171" s="261">
        <f t="shared" si="61"/>
        <v>0</v>
      </c>
      <c r="Q171" s="261">
        <f t="shared" si="62"/>
        <v>3851.64</v>
      </c>
      <c r="R171" s="261">
        <f t="shared" si="63"/>
        <v>3851.64</v>
      </c>
      <c r="S171" s="261">
        <f t="shared" si="64"/>
        <v>0</v>
      </c>
    </row>
    <row r="172" spans="2:16147" s="234" customFormat="1" x14ac:dyDescent="0.2">
      <c r="B172" s="257" t="s">
        <v>431</v>
      </c>
      <c r="C172" s="234" t="s">
        <v>502</v>
      </c>
      <c r="D172" s="234">
        <v>2012</v>
      </c>
      <c r="E172" s="234">
        <v>11</v>
      </c>
      <c r="F172" s="234">
        <v>0</v>
      </c>
      <c r="H172" s="234" t="s">
        <v>351</v>
      </c>
      <c r="I172" s="234">
        <v>8</v>
      </c>
      <c r="J172" s="233">
        <f t="shared" si="56"/>
        <v>2020</v>
      </c>
      <c r="K172" s="237">
        <f t="shared" si="57"/>
        <v>2020.9166666666667</v>
      </c>
      <c r="L172" s="245">
        <v>5067.8599999999997</v>
      </c>
      <c r="M172" s="239">
        <f t="shared" si="58"/>
        <v>5067.8599999999997</v>
      </c>
      <c r="N172" s="239">
        <f t="shared" si="59"/>
        <v>52.790208333333332</v>
      </c>
      <c r="O172" s="239">
        <f t="shared" si="60"/>
        <v>633.48249999999996</v>
      </c>
      <c r="P172" s="261">
        <f t="shared" si="61"/>
        <v>0</v>
      </c>
      <c r="Q172" s="261">
        <f t="shared" si="62"/>
        <v>5067.8599999999997</v>
      </c>
      <c r="R172" s="261">
        <f t="shared" si="63"/>
        <v>5067.8599999999997</v>
      </c>
      <c r="S172" s="261">
        <f t="shared" si="64"/>
        <v>0</v>
      </c>
    </row>
    <row r="173" spans="2:16147" s="234" customFormat="1" x14ac:dyDescent="0.2">
      <c r="B173" s="257" t="s">
        <v>431</v>
      </c>
      <c r="C173" s="234" t="s">
        <v>443</v>
      </c>
      <c r="D173" s="234">
        <v>2012</v>
      </c>
      <c r="E173" s="234">
        <v>11</v>
      </c>
      <c r="F173" s="234">
        <v>0</v>
      </c>
      <c r="H173" s="234" t="s">
        <v>351</v>
      </c>
      <c r="I173" s="234">
        <v>8</v>
      </c>
      <c r="J173" s="233">
        <f t="shared" si="56"/>
        <v>2020</v>
      </c>
      <c r="K173" s="237">
        <f t="shared" si="57"/>
        <v>2020.9166666666667</v>
      </c>
      <c r="L173" s="245">
        <v>4206.67</v>
      </c>
      <c r="M173" s="239">
        <f t="shared" si="58"/>
        <v>4206.67</v>
      </c>
      <c r="N173" s="239">
        <f t="shared" si="59"/>
        <v>43.819479166666667</v>
      </c>
      <c r="O173" s="239">
        <f t="shared" si="60"/>
        <v>525.83375000000001</v>
      </c>
      <c r="P173" s="261">
        <f t="shared" si="61"/>
        <v>0</v>
      </c>
      <c r="Q173" s="261">
        <f t="shared" si="62"/>
        <v>4206.67</v>
      </c>
      <c r="R173" s="261">
        <f t="shared" si="63"/>
        <v>4206.67</v>
      </c>
      <c r="S173" s="261">
        <f t="shared" si="64"/>
        <v>0</v>
      </c>
    </row>
    <row r="174" spans="2:16147" s="234" customFormat="1" x14ac:dyDescent="0.2">
      <c r="B174" s="257" t="s">
        <v>463</v>
      </c>
      <c r="C174" s="117" t="s">
        <v>514</v>
      </c>
      <c r="D174" s="234">
        <v>2013</v>
      </c>
      <c r="E174" s="234">
        <v>3</v>
      </c>
      <c r="F174" s="234">
        <v>0</v>
      </c>
      <c r="H174" s="234" t="s">
        <v>351</v>
      </c>
      <c r="I174" s="234">
        <v>8</v>
      </c>
      <c r="J174" s="233">
        <f t="shared" si="56"/>
        <v>2021</v>
      </c>
      <c r="K174" s="237">
        <f t="shared" si="57"/>
        <v>2021.25</v>
      </c>
      <c r="L174" s="245">
        <v>3763.01</v>
      </c>
      <c r="M174" s="239">
        <f t="shared" si="58"/>
        <v>3763.01</v>
      </c>
      <c r="N174" s="239">
        <f t="shared" si="59"/>
        <v>39.198020833333338</v>
      </c>
      <c r="O174" s="239">
        <f t="shared" si="60"/>
        <v>470.37625000000003</v>
      </c>
      <c r="P174" s="261">
        <f t="shared" si="61"/>
        <v>0</v>
      </c>
      <c r="Q174" s="261">
        <f t="shared" si="62"/>
        <v>3763.01</v>
      </c>
      <c r="R174" s="261">
        <f t="shared" si="63"/>
        <v>3763.01</v>
      </c>
      <c r="S174" s="261">
        <f t="shared" si="64"/>
        <v>0</v>
      </c>
    </row>
    <row r="175" spans="2:16147" s="234" customFormat="1" x14ac:dyDescent="0.2">
      <c r="B175" s="257" t="s">
        <v>462</v>
      </c>
      <c r="C175" s="117" t="s">
        <v>515</v>
      </c>
      <c r="D175" s="234">
        <v>2013</v>
      </c>
      <c r="E175" s="234">
        <v>9</v>
      </c>
      <c r="F175" s="234">
        <v>0</v>
      </c>
      <c r="H175" s="234" t="s">
        <v>351</v>
      </c>
      <c r="I175" s="234">
        <v>8</v>
      </c>
      <c r="J175" s="233">
        <f t="shared" si="56"/>
        <v>2021</v>
      </c>
      <c r="K175" s="237">
        <f t="shared" si="57"/>
        <v>2021.75</v>
      </c>
      <c r="L175" s="245">
        <v>10627.2</v>
      </c>
      <c r="M175" s="239">
        <f t="shared" si="58"/>
        <v>10627.2</v>
      </c>
      <c r="N175" s="239">
        <f t="shared" si="59"/>
        <v>110.7</v>
      </c>
      <c r="O175" s="239">
        <f t="shared" si="60"/>
        <v>1328.4</v>
      </c>
      <c r="P175" s="261">
        <f t="shared" si="61"/>
        <v>0</v>
      </c>
      <c r="Q175" s="261">
        <f t="shared" si="62"/>
        <v>10627.2</v>
      </c>
      <c r="R175" s="261">
        <f t="shared" si="63"/>
        <v>10627.2</v>
      </c>
      <c r="S175" s="261">
        <f t="shared" si="64"/>
        <v>0</v>
      </c>
    </row>
    <row r="176" spans="2:16147" s="234" customFormat="1" x14ac:dyDescent="0.2">
      <c r="B176" s="257" t="s">
        <v>462</v>
      </c>
      <c r="C176" s="117" t="s">
        <v>516</v>
      </c>
      <c r="D176" s="234">
        <v>2013</v>
      </c>
      <c r="E176" s="234">
        <v>9</v>
      </c>
      <c r="F176" s="234">
        <v>0</v>
      </c>
      <c r="H176" s="234" t="s">
        <v>351</v>
      </c>
      <c r="I176" s="234">
        <v>8</v>
      </c>
      <c r="J176" s="233">
        <f t="shared" si="56"/>
        <v>2021</v>
      </c>
      <c r="K176" s="237">
        <f t="shared" si="57"/>
        <v>2021.75</v>
      </c>
      <c r="L176" s="245">
        <v>9892.7999999999993</v>
      </c>
      <c r="M176" s="239">
        <f t="shared" si="58"/>
        <v>9892.7999999999993</v>
      </c>
      <c r="N176" s="239">
        <f t="shared" si="59"/>
        <v>103.05</v>
      </c>
      <c r="O176" s="239">
        <f t="shared" si="60"/>
        <v>1236.5999999999999</v>
      </c>
      <c r="P176" s="261">
        <f t="shared" si="61"/>
        <v>0</v>
      </c>
      <c r="Q176" s="261">
        <f t="shared" si="62"/>
        <v>9892.7999999999993</v>
      </c>
      <c r="R176" s="261">
        <f t="shared" si="63"/>
        <v>9892.7999999999993</v>
      </c>
      <c r="S176" s="261">
        <f t="shared" si="64"/>
        <v>0</v>
      </c>
    </row>
    <row r="177" spans="2:19" s="234" customFormat="1" x14ac:dyDescent="0.2">
      <c r="B177" s="257" t="s">
        <v>463</v>
      </c>
      <c r="C177" s="117" t="s">
        <v>517</v>
      </c>
      <c r="D177" s="234">
        <v>2013</v>
      </c>
      <c r="E177" s="234">
        <v>9</v>
      </c>
      <c r="F177" s="234">
        <v>0</v>
      </c>
      <c r="H177" s="234" t="s">
        <v>351</v>
      </c>
      <c r="I177" s="234">
        <v>8</v>
      </c>
      <c r="J177" s="233">
        <f t="shared" si="56"/>
        <v>2021</v>
      </c>
      <c r="K177" s="237">
        <f t="shared" si="57"/>
        <v>2021.75</v>
      </c>
      <c r="L177" s="245">
        <v>5958.78</v>
      </c>
      <c r="M177" s="239">
        <f t="shared" si="58"/>
        <v>5958.78</v>
      </c>
      <c r="N177" s="239">
        <f t="shared" si="59"/>
        <v>62.070625</v>
      </c>
      <c r="O177" s="239">
        <f t="shared" si="60"/>
        <v>744.84749999999997</v>
      </c>
      <c r="P177" s="261">
        <f t="shared" si="61"/>
        <v>0</v>
      </c>
      <c r="Q177" s="261">
        <f t="shared" si="62"/>
        <v>5958.78</v>
      </c>
      <c r="R177" s="261">
        <f t="shared" si="63"/>
        <v>5958.78</v>
      </c>
      <c r="S177" s="261">
        <f t="shared" si="64"/>
        <v>0</v>
      </c>
    </row>
    <row r="178" spans="2:19" s="234" customFormat="1" x14ac:dyDescent="0.2">
      <c r="B178" s="257">
        <v>50</v>
      </c>
      <c r="C178" s="117" t="s">
        <v>512</v>
      </c>
      <c r="D178" s="234">
        <v>2014</v>
      </c>
      <c r="E178" s="234">
        <v>4</v>
      </c>
      <c r="F178" s="234">
        <v>0</v>
      </c>
      <c r="H178" s="234" t="s">
        <v>351</v>
      </c>
      <c r="I178" s="234">
        <v>10</v>
      </c>
      <c r="J178" s="233">
        <f t="shared" si="56"/>
        <v>2024</v>
      </c>
      <c r="K178" s="237">
        <f t="shared" si="57"/>
        <v>2024.3333333333333</v>
      </c>
      <c r="L178" s="245">
        <v>3947.53</v>
      </c>
      <c r="M178" s="239">
        <f t="shared" si="58"/>
        <v>3947.53</v>
      </c>
      <c r="N178" s="239">
        <f t="shared" si="59"/>
        <v>32.896083333333337</v>
      </c>
      <c r="O178" s="239">
        <f t="shared" si="60"/>
        <v>394.75300000000004</v>
      </c>
      <c r="P178" s="261">
        <f t="shared" si="61"/>
        <v>394.75300000000004</v>
      </c>
      <c r="Q178" s="261">
        <f t="shared" si="62"/>
        <v>3158.0240000000003</v>
      </c>
      <c r="R178" s="261">
        <f t="shared" si="63"/>
        <v>3552.7770000000005</v>
      </c>
      <c r="S178" s="261">
        <f t="shared" si="64"/>
        <v>394.7529999999997</v>
      </c>
    </row>
    <row r="179" spans="2:19" s="234" customFormat="1" x14ac:dyDescent="0.2">
      <c r="B179" s="257" t="s">
        <v>462</v>
      </c>
      <c r="C179" s="117" t="s">
        <v>518</v>
      </c>
      <c r="D179" s="234">
        <v>2014</v>
      </c>
      <c r="E179" s="234">
        <v>4</v>
      </c>
      <c r="F179" s="234">
        <v>0</v>
      </c>
      <c r="H179" s="234" t="s">
        <v>351</v>
      </c>
      <c r="I179" s="234">
        <v>10</v>
      </c>
      <c r="J179" s="233">
        <f t="shared" si="56"/>
        <v>2024</v>
      </c>
      <c r="K179" s="237">
        <f t="shared" si="57"/>
        <v>2024.3333333333333</v>
      </c>
      <c r="L179" s="245">
        <v>10376.31</v>
      </c>
      <c r="M179" s="239">
        <f t="shared" si="58"/>
        <v>10376.31</v>
      </c>
      <c r="N179" s="239">
        <f t="shared" si="59"/>
        <v>86.469249999999988</v>
      </c>
      <c r="O179" s="239">
        <f t="shared" si="60"/>
        <v>1037.6309999999999</v>
      </c>
      <c r="P179" s="261">
        <f t="shared" si="61"/>
        <v>1037.6309999999999</v>
      </c>
      <c r="Q179" s="261">
        <f t="shared" si="62"/>
        <v>8301.0479999999989</v>
      </c>
      <c r="R179" s="261">
        <f t="shared" si="63"/>
        <v>9338.6789999999983</v>
      </c>
      <c r="S179" s="261">
        <f t="shared" si="64"/>
        <v>1037.6310000000012</v>
      </c>
    </row>
    <row r="180" spans="2:19" s="234" customFormat="1" x14ac:dyDescent="0.2">
      <c r="B180" s="257" t="s">
        <v>462</v>
      </c>
      <c r="C180" s="117" t="s">
        <v>513</v>
      </c>
      <c r="D180" s="234">
        <v>2014</v>
      </c>
      <c r="E180" s="234">
        <v>4</v>
      </c>
      <c r="F180" s="234">
        <v>0</v>
      </c>
      <c r="H180" s="234" t="s">
        <v>351</v>
      </c>
      <c r="I180" s="234">
        <v>10</v>
      </c>
      <c r="J180" s="233">
        <f t="shared" si="56"/>
        <v>2024</v>
      </c>
      <c r="K180" s="237">
        <f t="shared" si="57"/>
        <v>2024.3333333333333</v>
      </c>
      <c r="L180" s="245">
        <v>8836.61</v>
      </c>
      <c r="M180" s="239">
        <f t="shared" si="58"/>
        <v>8836.61</v>
      </c>
      <c r="N180" s="239">
        <f t="shared" si="59"/>
        <v>73.638416666666672</v>
      </c>
      <c r="O180" s="239">
        <f t="shared" si="60"/>
        <v>883.66100000000006</v>
      </c>
      <c r="P180" s="261">
        <f t="shared" si="61"/>
        <v>883.66100000000006</v>
      </c>
      <c r="Q180" s="261">
        <f t="shared" si="62"/>
        <v>7069.2880000000005</v>
      </c>
      <c r="R180" s="261">
        <f t="shared" si="63"/>
        <v>7952.9490000000005</v>
      </c>
      <c r="S180" s="261">
        <f t="shared" si="64"/>
        <v>883.66100000000006</v>
      </c>
    </row>
    <row r="181" spans="2:19" s="234" customFormat="1" x14ac:dyDescent="0.2">
      <c r="B181" s="257" t="s">
        <v>463</v>
      </c>
      <c r="C181" s="117" t="s">
        <v>519</v>
      </c>
      <c r="D181" s="234">
        <v>2014</v>
      </c>
      <c r="E181" s="234">
        <v>10</v>
      </c>
      <c r="F181" s="234">
        <v>0</v>
      </c>
      <c r="H181" s="234" t="s">
        <v>351</v>
      </c>
      <c r="I181" s="234">
        <v>10</v>
      </c>
      <c r="J181" s="233">
        <f t="shared" si="56"/>
        <v>2024</v>
      </c>
      <c r="K181" s="237">
        <f t="shared" si="57"/>
        <v>2024.8333333333333</v>
      </c>
      <c r="L181" s="245">
        <v>4050</v>
      </c>
      <c r="M181" s="239">
        <f t="shared" si="58"/>
        <v>4050</v>
      </c>
      <c r="N181" s="239">
        <f t="shared" si="59"/>
        <v>33.75</v>
      </c>
      <c r="O181" s="239">
        <f t="shared" si="60"/>
        <v>405</v>
      </c>
      <c r="P181" s="261">
        <f t="shared" si="61"/>
        <v>405</v>
      </c>
      <c r="Q181" s="261">
        <f t="shared" si="62"/>
        <v>3240</v>
      </c>
      <c r="R181" s="261">
        <f t="shared" si="63"/>
        <v>3645</v>
      </c>
      <c r="S181" s="261">
        <f t="shared" si="64"/>
        <v>405</v>
      </c>
    </row>
    <row r="182" spans="2:19" s="234" customFormat="1" x14ac:dyDescent="0.2">
      <c r="B182" s="257" t="s">
        <v>463</v>
      </c>
      <c r="C182" s="117" t="s">
        <v>520</v>
      </c>
      <c r="D182" s="234">
        <v>2014</v>
      </c>
      <c r="E182" s="234">
        <v>10</v>
      </c>
      <c r="F182" s="234">
        <v>0</v>
      </c>
      <c r="H182" s="234" t="s">
        <v>351</v>
      </c>
      <c r="I182" s="234">
        <v>10</v>
      </c>
      <c r="J182" s="233">
        <f t="shared" si="56"/>
        <v>2024</v>
      </c>
      <c r="K182" s="237">
        <f t="shared" si="57"/>
        <v>2024.8333333333333</v>
      </c>
      <c r="L182" s="245">
        <v>3618</v>
      </c>
      <c r="M182" s="239">
        <f t="shared" si="58"/>
        <v>3618</v>
      </c>
      <c r="N182" s="239">
        <f t="shared" si="59"/>
        <v>30.150000000000002</v>
      </c>
      <c r="O182" s="239">
        <f t="shared" si="60"/>
        <v>361.8</v>
      </c>
      <c r="P182" s="261">
        <f t="shared" si="61"/>
        <v>361.8</v>
      </c>
      <c r="Q182" s="261">
        <f t="shared" si="62"/>
        <v>2894.4</v>
      </c>
      <c r="R182" s="261">
        <f t="shared" si="63"/>
        <v>3256.2000000000003</v>
      </c>
      <c r="S182" s="261">
        <f t="shared" si="64"/>
        <v>361.79999999999973</v>
      </c>
    </row>
    <row r="183" spans="2:19" s="234" customFormat="1" x14ac:dyDescent="0.2">
      <c r="B183" s="257" t="s">
        <v>463</v>
      </c>
      <c r="C183" s="117" t="s">
        <v>514</v>
      </c>
      <c r="D183" s="234">
        <v>2014</v>
      </c>
      <c r="E183" s="234">
        <v>10</v>
      </c>
      <c r="F183" s="234">
        <v>0</v>
      </c>
      <c r="H183" s="234" t="s">
        <v>351</v>
      </c>
      <c r="I183" s="234">
        <v>10</v>
      </c>
      <c r="J183" s="233">
        <f t="shared" si="56"/>
        <v>2024</v>
      </c>
      <c r="K183" s="237">
        <f t="shared" si="57"/>
        <v>2024.8333333333333</v>
      </c>
      <c r="L183" s="245">
        <v>4752</v>
      </c>
      <c r="M183" s="239">
        <f t="shared" si="58"/>
        <v>4752</v>
      </c>
      <c r="N183" s="239">
        <f t="shared" si="59"/>
        <v>39.6</v>
      </c>
      <c r="O183" s="239">
        <f t="shared" si="60"/>
        <v>475.20000000000005</v>
      </c>
      <c r="P183" s="261">
        <f t="shared" si="61"/>
        <v>475.20000000000005</v>
      </c>
      <c r="Q183" s="261">
        <f t="shared" si="62"/>
        <v>3801.6000000000004</v>
      </c>
      <c r="R183" s="261">
        <f t="shared" si="63"/>
        <v>4276.8</v>
      </c>
      <c r="S183" s="261">
        <f t="shared" si="64"/>
        <v>475.19999999999982</v>
      </c>
    </row>
    <row r="184" spans="2:19" s="234" customFormat="1" x14ac:dyDescent="0.2">
      <c r="B184" s="257" t="s">
        <v>463</v>
      </c>
      <c r="C184" s="117" t="s">
        <v>514</v>
      </c>
      <c r="D184" s="234">
        <v>2014</v>
      </c>
      <c r="E184" s="234">
        <v>12</v>
      </c>
      <c r="F184" s="234">
        <v>0</v>
      </c>
      <c r="H184" s="234" t="s">
        <v>351</v>
      </c>
      <c r="I184" s="234">
        <v>10</v>
      </c>
      <c r="J184" s="233">
        <f t="shared" si="56"/>
        <v>2024</v>
      </c>
      <c r="K184" s="237">
        <f t="shared" si="57"/>
        <v>2025</v>
      </c>
      <c r="L184" s="245">
        <v>4400</v>
      </c>
      <c r="M184" s="239">
        <f t="shared" si="58"/>
        <v>4400</v>
      </c>
      <c r="N184" s="239">
        <f t="shared" si="59"/>
        <v>36.666666666666664</v>
      </c>
      <c r="O184" s="239">
        <f t="shared" si="60"/>
        <v>440</v>
      </c>
      <c r="P184" s="261">
        <f t="shared" si="61"/>
        <v>440</v>
      </c>
      <c r="Q184" s="261">
        <f t="shared" si="62"/>
        <v>3520</v>
      </c>
      <c r="R184" s="261">
        <f t="shared" si="63"/>
        <v>3960</v>
      </c>
      <c r="S184" s="261">
        <f t="shared" si="64"/>
        <v>440</v>
      </c>
    </row>
    <row r="185" spans="2:19" s="234" customFormat="1" x14ac:dyDescent="0.2">
      <c r="B185" s="257" t="s">
        <v>462</v>
      </c>
      <c r="C185" s="117" t="s">
        <v>515</v>
      </c>
      <c r="D185" s="234">
        <v>2015</v>
      </c>
      <c r="E185" s="234">
        <v>2</v>
      </c>
      <c r="F185" s="234">
        <v>0</v>
      </c>
      <c r="H185" s="234" t="s">
        <v>351</v>
      </c>
      <c r="I185" s="234">
        <v>10</v>
      </c>
      <c r="J185" s="233">
        <f t="shared" si="56"/>
        <v>2025</v>
      </c>
      <c r="K185" s="237">
        <f t="shared" si="57"/>
        <v>2025.1666666666667</v>
      </c>
      <c r="L185" s="245">
        <v>8100</v>
      </c>
      <c r="M185" s="239">
        <f t="shared" si="58"/>
        <v>8100</v>
      </c>
      <c r="N185" s="239">
        <f t="shared" si="59"/>
        <v>67.5</v>
      </c>
      <c r="O185" s="239">
        <f t="shared" si="60"/>
        <v>810</v>
      </c>
      <c r="P185" s="261">
        <f t="shared" si="61"/>
        <v>810</v>
      </c>
      <c r="Q185" s="261">
        <f t="shared" si="62"/>
        <v>5670</v>
      </c>
      <c r="R185" s="261">
        <f t="shared" si="63"/>
        <v>6480</v>
      </c>
      <c r="S185" s="261">
        <f t="shared" si="64"/>
        <v>1620</v>
      </c>
    </row>
    <row r="186" spans="2:19" s="234" customFormat="1" x14ac:dyDescent="0.2">
      <c r="B186" s="257" t="s">
        <v>463</v>
      </c>
      <c r="C186" s="117" t="s">
        <v>514</v>
      </c>
      <c r="D186" s="234">
        <v>2015</v>
      </c>
      <c r="E186" s="234">
        <v>2</v>
      </c>
      <c r="F186" s="234">
        <v>0</v>
      </c>
      <c r="H186" s="234" t="s">
        <v>351</v>
      </c>
      <c r="I186" s="234">
        <v>10</v>
      </c>
      <c r="J186" s="233">
        <f t="shared" si="56"/>
        <v>2025</v>
      </c>
      <c r="K186" s="237">
        <f t="shared" si="57"/>
        <v>2025.1666666666667</v>
      </c>
      <c r="L186" s="245">
        <v>4752</v>
      </c>
      <c r="M186" s="239">
        <f t="shared" si="58"/>
        <v>4752</v>
      </c>
      <c r="N186" s="239">
        <f t="shared" si="59"/>
        <v>39.6</v>
      </c>
      <c r="O186" s="239">
        <f t="shared" si="60"/>
        <v>475.20000000000005</v>
      </c>
      <c r="P186" s="261">
        <f t="shared" si="61"/>
        <v>475.20000000000005</v>
      </c>
      <c r="Q186" s="261">
        <f t="shared" si="62"/>
        <v>3326.4000000000005</v>
      </c>
      <c r="R186" s="261">
        <f t="shared" si="63"/>
        <v>3801.6000000000004</v>
      </c>
      <c r="S186" s="261">
        <f t="shared" si="64"/>
        <v>950.39999999999964</v>
      </c>
    </row>
    <row r="187" spans="2:19" s="234" customFormat="1" x14ac:dyDescent="0.2">
      <c r="B187" s="257" t="s">
        <v>462</v>
      </c>
      <c r="C187" s="117" t="s">
        <v>521</v>
      </c>
      <c r="D187" s="234">
        <v>2015</v>
      </c>
      <c r="E187" s="234">
        <v>2</v>
      </c>
      <c r="F187" s="234">
        <v>0</v>
      </c>
      <c r="H187" s="234" t="s">
        <v>351</v>
      </c>
      <c r="I187" s="234">
        <v>10</v>
      </c>
      <c r="J187" s="233">
        <f t="shared" si="56"/>
        <v>2025</v>
      </c>
      <c r="K187" s="237">
        <f t="shared" si="57"/>
        <v>2025.1666666666667</v>
      </c>
      <c r="L187" s="245">
        <v>16740</v>
      </c>
      <c r="M187" s="239">
        <f t="shared" si="58"/>
        <v>16740</v>
      </c>
      <c r="N187" s="239">
        <f t="shared" si="59"/>
        <v>139.5</v>
      </c>
      <c r="O187" s="239">
        <f t="shared" si="60"/>
        <v>1674</v>
      </c>
      <c r="P187" s="261">
        <f t="shared" si="61"/>
        <v>1674</v>
      </c>
      <c r="Q187" s="261">
        <f t="shared" si="62"/>
        <v>11718</v>
      </c>
      <c r="R187" s="261">
        <f t="shared" si="63"/>
        <v>13392</v>
      </c>
      <c r="S187" s="261">
        <f t="shared" si="64"/>
        <v>3348</v>
      </c>
    </row>
    <row r="188" spans="2:19" s="234" customFormat="1" x14ac:dyDescent="0.2">
      <c r="B188" s="257" t="s">
        <v>483</v>
      </c>
      <c r="C188" s="117" t="s">
        <v>522</v>
      </c>
      <c r="D188" s="234">
        <v>2015</v>
      </c>
      <c r="E188" s="234">
        <v>6</v>
      </c>
      <c r="F188" s="234">
        <v>0</v>
      </c>
      <c r="H188" s="234" t="s">
        <v>351</v>
      </c>
      <c r="I188" s="234">
        <v>10</v>
      </c>
      <c r="J188" s="233">
        <f t="shared" si="56"/>
        <v>2025</v>
      </c>
      <c r="K188" s="237">
        <f t="shared" si="57"/>
        <v>2025.5</v>
      </c>
      <c r="L188" s="245">
        <v>2384.8000000000002</v>
      </c>
      <c r="M188" s="239">
        <f t="shared" si="58"/>
        <v>2384.8000000000002</v>
      </c>
      <c r="N188" s="239">
        <f t="shared" si="59"/>
        <v>19.873333333333335</v>
      </c>
      <c r="O188" s="239">
        <f t="shared" si="60"/>
        <v>238.48000000000002</v>
      </c>
      <c r="P188" s="261">
        <f t="shared" si="61"/>
        <v>238.48000000000002</v>
      </c>
      <c r="Q188" s="261">
        <f t="shared" si="62"/>
        <v>1669.3600000000001</v>
      </c>
      <c r="R188" s="261">
        <f t="shared" si="63"/>
        <v>1907.8400000000001</v>
      </c>
      <c r="S188" s="261">
        <f t="shared" si="64"/>
        <v>476.96000000000004</v>
      </c>
    </row>
    <row r="189" spans="2:19" s="234" customFormat="1" x14ac:dyDescent="0.2">
      <c r="B189" s="257" t="s">
        <v>431</v>
      </c>
      <c r="C189" s="234" t="s">
        <v>504</v>
      </c>
      <c r="D189" s="234">
        <v>2015</v>
      </c>
      <c r="E189" s="234">
        <v>10</v>
      </c>
      <c r="F189" s="234">
        <v>0</v>
      </c>
      <c r="H189" s="234" t="s">
        <v>351</v>
      </c>
      <c r="I189" s="234">
        <v>10</v>
      </c>
      <c r="J189" s="233">
        <f t="shared" si="56"/>
        <v>2025</v>
      </c>
      <c r="K189" s="237">
        <f t="shared" si="57"/>
        <v>2025.8333333333333</v>
      </c>
      <c r="L189" s="245">
        <v>4769.1499999999996</v>
      </c>
      <c r="M189" s="239">
        <f t="shared" si="58"/>
        <v>4769.1499999999996</v>
      </c>
      <c r="N189" s="239">
        <f t="shared" si="59"/>
        <v>39.742916666666666</v>
      </c>
      <c r="O189" s="239">
        <f t="shared" si="60"/>
        <v>476.91499999999996</v>
      </c>
      <c r="P189" s="261">
        <f t="shared" si="61"/>
        <v>476.91499999999996</v>
      </c>
      <c r="Q189" s="261">
        <f t="shared" si="62"/>
        <v>3338.4049999999997</v>
      </c>
      <c r="R189" s="261">
        <f t="shared" si="63"/>
        <v>3815.3199999999997</v>
      </c>
      <c r="S189" s="261">
        <f t="shared" si="64"/>
        <v>953.82999999999993</v>
      </c>
    </row>
    <row r="190" spans="2:19" s="234" customFormat="1" x14ac:dyDescent="0.2">
      <c r="B190" s="257" t="s">
        <v>463</v>
      </c>
      <c r="C190" s="117" t="s">
        <v>523</v>
      </c>
      <c r="D190" s="234">
        <v>2015</v>
      </c>
      <c r="E190" s="234">
        <v>10</v>
      </c>
      <c r="F190" s="234">
        <v>0</v>
      </c>
      <c r="H190" s="234" t="s">
        <v>351</v>
      </c>
      <c r="I190" s="234">
        <v>10</v>
      </c>
      <c r="J190" s="233">
        <f t="shared" si="56"/>
        <v>2025</v>
      </c>
      <c r="K190" s="237">
        <f t="shared" si="57"/>
        <v>2025.8333333333333</v>
      </c>
      <c r="L190" s="245">
        <v>3631.4</v>
      </c>
      <c r="M190" s="239">
        <f t="shared" si="58"/>
        <v>3631.4</v>
      </c>
      <c r="N190" s="239">
        <f t="shared" si="59"/>
        <v>30.261666666666667</v>
      </c>
      <c r="O190" s="239">
        <f t="shared" si="60"/>
        <v>363.14</v>
      </c>
      <c r="P190" s="261">
        <f t="shared" si="61"/>
        <v>363.14</v>
      </c>
      <c r="Q190" s="261">
        <f t="shared" si="62"/>
        <v>2541.98</v>
      </c>
      <c r="R190" s="261">
        <f t="shared" si="63"/>
        <v>2905.12</v>
      </c>
      <c r="S190" s="261">
        <f t="shared" si="64"/>
        <v>726.2800000000002</v>
      </c>
    </row>
    <row r="191" spans="2:19" s="234" customFormat="1" x14ac:dyDescent="0.2">
      <c r="B191" s="257" t="s">
        <v>507</v>
      </c>
      <c r="C191" s="234" t="s">
        <v>465</v>
      </c>
      <c r="D191" s="234">
        <v>2015</v>
      </c>
      <c r="E191" s="234">
        <v>11</v>
      </c>
      <c r="F191" s="234">
        <v>0</v>
      </c>
      <c r="H191" s="234" t="s">
        <v>351</v>
      </c>
      <c r="I191" s="234">
        <v>10</v>
      </c>
      <c r="J191" s="233">
        <f t="shared" si="56"/>
        <v>2025</v>
      </c>
      <c r="K191" s="237">
        <f t="shared" si="57"/>
        <v>2025.9166666666667</v>
      </c>
      <c r="L191" s="245">
        <v>2384.8000000000002</v>
      </c>
      <c r="M191" s="239">
        <f t="shared" si="58"/>
        <v>2384.8000000000002</v>
      </c>
      <c r="N191" s="239">
        <f t="shared" si="59"/>
        <v>19.873333333333335</v>
      </c>
      <c r="O191" s="239">
        <f t="shared" si="60"/>
        <v>238.48000000000002</v>
      </c>
      <c r="P191" s="261">
        <f t="shared" si="61"/>
        <v>238.48000000000002</v>
      </c>
      <c r="Q191" s="261">
        <f t="shared" si="62"/>
        <v>1669.3600000000001</v>
      </c>
      <c r="R191" s="261">
        <f t="shared" si="63"/>
        <v>1907.8400000000001</v>
      </c>
      <c r="S191" s="261">
        <f t="shared" si="64"/>
        <v>476.96000000000004</v>
      </c>
    </row>
    <row r="192" spans="2:19" s="234" customFormat="1" x14ac:dyDescent="0.2">
      <c r="B192" s="257" t="s">
        <v>463</v>
      </c>
      <c r="C192" s="117" t="s">
        <v>524</v>
      </c>
      <c r="D192" s="234">
        <v>2015</v>
      </c>
      <c r="E192" s="234">
        <v>11</v>
      </c>
      <c r="F192" s="234">
        <v>0</v>
      </c>
      <c r="H192" s="234" t="s">
        <v>351</v>
      </c>
      <c r="I192" s="234">
        <v>10</v>
      </c>
      <c r="J192" s="233">
        <f t="shared" si="56"/>
        <v>2025</v>
      </c>
      <c r="K192" s="237">
        <f t="shared" si="57"/>
        <v>2025.9166666666667</v>
      </c>
      <c r="L192" s="245">
        <v>4065</v>
      </c>
      <c r="M192" s="239">
        <f t="shared" si="58"/>
        <v>4065</v>
      </c>
      <c r="N192" s="239">
        <f t="shared" si="59"/>
        <v>33.875</v>
      </c>
      <c r="O192" s="239">
        <f t="shared" si="60"/>
        <v>406.5</v>
      </c>
      <c r="P192" s="261">
        <f t="shared" si="61"/>
        <v>406.5</v>
      </c>
      <c r="Q192" s="261">
        <f t="shared" si="62"/>
        <v>2845.5</v>
      </c>
      <c r="R192" s="261">
        <f t="shared" si="63"/>
        <v>3252</v>
      </c>
      <c r="S192" s="261">
        <f t="shared" si="64"/>
        <v>813</v>
      </c>
    </row>
    <row r="193" spans="1:16147" s="234" customFormat="1" x14ac:dyDescent="0.2">
      <c r="B193" s="257" t="s">
        <v>483</v>
      </c>
      <c r="C193" s="234" t="s">
        <v>465</v>
      </c>
      <c r="D193" s="234">
        <v>2015</v>
      </c>
      <c r="E193" s="234">
        <v>12</v>
      </c>
      <c r="F193" s="234">
        <v>0</v>
      </c>
      <c r="H193" s="234" t="s">
        <v>351</v>
      </c>
      <c r="I193" s="234">
        <v>10</v>
      </c>
      <c r="J193" s="233">
        <f t="shared" si="56"/>
        <v>2025</v>
      </c>
      <c r="K193" s="237">
        <f t="shared" si="57"/>
        <v>2026</v>
      </c>
      <c r="L193" s="245">
        <v>2384.8000000000002</v>
      </c>
      <c r="M193" s="239">
        <f t="shared" si="58"/>
        <v>2384.8000000000002</v>
      </c>
      <c r="N193" s="239">
        <f t="shared" si="59"/>
        <v>19.873333333333335</v>
      </c>
      <c r="O193" s="239">
        <f t="shared" si="60"/>
        <v>238.48000000000002</v>
      </c>
      <c r="P193" s="261">
        <f t="shared" si="61"/>
        <v>238.48000000000002</v>
      </c>
      <c r="Q193" s="261">
        <f t="shared" si="62"/>
        <v>1669.3600000000001</v>
      </c>
      <c r="R193" s="261">
        <f t="shared" si="63"/>
        <v>1907.8400000000001</v>
      </c>
      <c r="S193" s="261">
        <f t="shared" si="64"/>
        <v>476.96000000000004</v>
      </c>
    </row>
    <row r="194" spans="1:16147" s="234" customFormat="1" x14ac:dyDescent="0.2">
      <c r="B194" s="257" t="s">
        <v>483</v>
      </c>
      <c r="C194" s="234" t="s">
        <v>465</v>
      </c>
      <c r="D194" s="234">
        <v>2015</v>
      </c>
      <c r="E194" s="234">
        <v>12</v>
      </c>
      <c r="F194" s="234">
        <v>0</v>
      </c>
      <c r="H194" s="234" t="s">
        <v>351</v>
      </c>
      <c r="I194" s="234">
        <v>10</v>
      </c>
      <c r="J194" s="233">
        <f t="shared" si="56"/>
        <v>2025</v>
      </c>
      <c r="K194" s="237">
        <f t="shared" si="57"/>
        <v>2026</v>
      </c>
      <c r="L194" s="245">
        <v>2384.8000000000002</v>
      </c>
      <c r="M194" s="239">
        <f t="shared" si="58"/>
        <v>2384.8000000000002</v>
      </c>
      <c r="N194" s="239">
        <f t="shared" si="59"/>
        <v>19.873333333333335</v>
      </c>
      <c r="O194" s="239">
        <f t="shared" si="60"/>
        <v>238.48000000000002</v>
      </c>
      <c r="P194" s="261">
        <f t="shared" si="61"/>
        <v>238.48000000000002</v>
      </c>
      <c r="Q194" s="261">
        <f t="shared" si="62"/>
        <v>1669.3600000000001</v>
      </c>
      <c r="R194" s="261">
        <f t="shared" si="63"/>
        <v>1907.8400000000001</v>
      </c>
      <c r="S194" s="261">
        <f t="shared" si="64"/>
        <v>476.96000000000004</v>
      </c>
    </row>
    <row r="195" spans="1:16147" s="234" customFormat="1" x14ac:dyDescent="0.2">
      <c r="B195" s="257" t="s">
        <v>463</v>
      </c>
      <c r="C195" s="234" t="s">
        <v>466</v>
      </c>
      <c r="D195" s="234">
        <v>2016</v>
      </c>
      <c r="E195" s="234">
        <v>1</v>
      </c>
      <c r="F195" s="234">
        <v>0</v>
      </c>
      <c r="H195" s="234" t="s">
        <v>351</v>
      </c>
      <c r="I195" s="234">
        <v>10</v>
      </c>
      <c r="J195" s="233">
        <f t="shared" si="56"/>
        <v>2026</v>
      </c>
      <c r="K195" s="237">
        <f t="shared" si="57"/>
        <v>2026.0833333333333</v>
      </c>
      <c r="L195" s="245">
        <v>3631.4</v>
      </c>
      <c r="M195" s="239">
        <f t="shared" si="58"/>
        <v>3631.4</v>
      </c>
      <c r="N195" s="239">
        <f t="shared" si="59"/>
        <v>30.261666666666667</v>
      </c>
      <c r="O195" s="239">
        <f t="shared" si="60"/>
        <v>363.14</v>
      </c>
      <c r="P195" s="261">
        <f t="shared" si="61"/>
        <v>363.14</v>
      </c>
      <c r="Q195" s="261">
        <f t="shared" si="62"/>
        <v>2178.84</v>
      </c>
      <c r="R195" s="261">
        <f t="shared" si="63"/>
        <v>2541.98</v>
      </c>
      <c r="S195" s="261">
        <f t="shared" si="64"/>
        <v>1089.42</v>
      </c>
    </row>
    <row r="196" spans="1:16147" s="234" customFormat="1" x14ac:dyDescent="0.2">
      <c r="B196" s="257" t="s">
        <v>463</v>
      </c>
      <c r="C196" s="234" t="s">
        <v>467</v>
      </c>
      <c r="D196" s="234">
        <v>2016</v>
      </c>
      <c r="E196" s="234">
        <v>1</v>
      </c>
      <c r="F196" s="234">
        <v>0</v>
      </c>
      <c r="H196" s="234" t="s">
        <v>351</v>
      </c>
      <c r="I196" s="234">
        <v>10</v>
      </c>
      <c r="J196" s="233">
        <f t="shared" si="56"/>
        <v>2026</v>
      </c>
      <c r="K196" s="237">
        <f t="shared" si="57"/>
        <v>2026.0833333333333</v>
      </c>
      <c r="L196" s="245">
        <v>4065</v>
      </c>
      <c r="M196" s="239">
        <f t="shared" si="58"/>
        <v>4065</v>
      </c>
      <c r="N196" s="239">
        <f t="shared" si="59"/>
        <v>33.875</v>
      </c>
      <c r="O196" s="239">
        <f t="shared" si="60"/>
        <v>406.5</v>
      </c>
      <c r="P196" s="261">
        <f t="shared" si="61"/>
        <v>406.5</v>
      </c>
      <c r="Q196" s="261">
        <f t="shared" si="62"/>
        <v>2439</v>
      </c>
      <c r="R196" s="261">
        <f t="shared" si="63"/>
        <v>2845.5</v>
      </c>
      <c r="S196" s="261">
        <f t="shared" si="64"/>
        <v>1219.5</v>
      </c>
    </row>
    <row r="197" spans="1:16147" s="234" customFormat="1" x14ac:dyDescent="0.2">
      <c r="B197" s="257" t="s">
        <v>463</v>
      </c>
      <c r="C197" s="234" t="s">
        <v>468</v>
      </c>
      <c r="D197" s="234">
        <v>2016</v>
      </c>
      <c r="E197" s="234">
        <v>2</v>
      </c>
      <c r="F197" s="234">
        <v>0</v>
      </c>
      <c r="H197" s="234" t="s">
        <v>351</v>
      </c>
      <c r="I197" s="234">
        <v>10</v>
      </c>
      <c r="J197" s="233">
        <f t="shared" si="56"/>
        <v>2026</v>
      </c>
      <c r="K197" s="237">
        <f t="shared" si="57"/>
        <v>2026.1666666666667</v>
      </c>
      <c r="L197" s="245">
        <v>4769.6000000000004</v>
      </c>
      <c r="M197" s="239">
        <f t="shared" si="58"/>
        <v>4769.6000000000004</v>
      </c>
      <c r="N197" s="239">
        <f t="shared" si="59"/>
        <v>39.74666666666667</v>
      </c>
      <c r="O197" s="239">
        <f t="shared" si="60"/>
        <v>476.96000000000004</v>
      </c>
      <c r="P197" s="261">
        <f t="shared" si="61"/>
        <v>476.96000000000004</v>
      </c>
      <c r="Q197" s="261">
        <f t="shared" si="62"/>
        <v>2861.76</v>
      </c>
      <c r="R197" s="261">
        <f t="shared" si="63"/>
        <v>3338.7200000000003</v>
      </c>
      <c r="S197" s="261">
        <f t="shared" si="64"/>
        <v>1430.88</v>
      </c>
    </row>
    <row r="198" spans="1:16147" x14ac:dyDescent="0.2">
      <c r="A198" s="234"/>
      <c r="B198" s="257" t="s">
        <v>463</v>
      </c>
      <c r="C198" s="234" t="s">
        <v>467</v>
      </c>
      <c r="D198" s="234">
        <v>2016</v>
      </c>
      <c r="E198" s="234">
        <v>4</v>
      </c>
      <c r="F198" s="234">
        <v>0</v>
      </c>
      <c r="G198" s="234"/>
      <c r="H198" s="234" t="s">
        <v>351</v>
      </c>
      <c r="I198" s="234">
        <v>10</v>
      </c>
      <c r="J198" s="233">
        <f t="shared" si="56"/>
        <v>2026</v>
      </c>
      <c r="K198" s="237">
        <f t="shared" si="57"/>
        <v>2026.3333333333333</v>
      </c>
      <c r="L198" s="245">
        <v>4065</v>
      </c>
      <c r="M198" s="239">
        <f t="shared" si="58"/>
        <v>4065</v>
      </c>
      <c r="N198" s="239">
        <f t="shared" si="59"/>
        <v>33.875</v>
      </c>
      <c r="O198" s="239">
        <f t="shared" si="60"/>
        <v>406.5</v>
      </c>
      <c r="P198" s="261">
        <f t="shared" si="61"/>
        <v>406.5</v>
      </c>
      <c r="Q198" s="261">
        <f t="shared" si="62"/>
        <v>2439</v>
      </c>
      <c r="R198" s="261">
        <f t="shared" si="63"/>
        <v>2845.5</v>
      </c>
      <c r="S198" s="261">
        <f t="shared" si="64"/>
        <v>1219.5</v>
      </c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  <c r="AK198" s="234"/>
      <c r="AL198" s="234"/>
      <c r="AM198" s="234"/>
      <c r="AN198" s="234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  <c r="BA198" s="234"/>
      <c r="BB198" s="234"/>
      <c r="BC198" s="234"/>
      <c r="BD198" s="234"/>
      <c r="BE198" s="234"/>
      <c r="BF198" s="234"/>
      <c r="BG198" s="234"/>
      <c r="BH198" s="234"/>
      <c r="BI198" s="234"/>
      <c r="BJ198" s="234"/>
      <c r="BK198" s="234"/>
      <c r="BL198" s="234"/>
      <c r="BM198" s="234"/>
      <c r="BN198" s="234"/>
      <c r="BO198" s="234"/>
      <c r="BP198" s="234"/>
      <c r="BQ198" s="234"/>
      <c r="BR198" s="234"/>
      <c r="BS198" s="234"/>
      <c r="BT198" s="234"/>
      <c r="BU198" s="234"/>
      <c r="BV198" s="234"/>
      <c r="BW198" s="234"/>
      <c r="BX198" s="234"/>
      <c r="BY198" s="234"/>
      <c r="BZ198" s="234"/>
      <c r="CA198" s="234"/>
      <c r="CB198" s="234"/>
      <c r="CC198" s="234"/>
      <c r="CD198" s="234"/>
      <c r="CE198" s="234"/>
      <c r="CF198" s="234"/>
      <c r="CG198" s="234"/>
      <c r="CH198" s="234"/>
      <c r="CI198" s="234"/>
      <c r="CJ198" s="234"/>
      <c r="CK198" s="234"/>
      <c r="CL198" s="234"/>
      <c r="CM198" s="234"/>
      <c r="CN198" s="234"/>
      <c r="CO198" s="234"/>
      <c r="CP198" s="234"/>
      <c r="CQ198" s="234"/>
      <c r="CR198" s="234"/>
      <c r="CS198" s="234"/>
      <c r="CT198" s="234"/>
      <c r="CU198" s="234"/>
      <c r="CV198" s="234"/>
      <c r="CW198" s="234"/>
      <c r="CX198" s="234"/>
      <c r="CY198" s="234"/>
      <c r="CZ198" s="234"/>
      <c r="DA198" s="234"/>
      <c r="DB198" s="234"/>
      <c r="DC198" s="234"/>
      <c r="DD198" s="234"/>
      <c r="DE198" s="234"/>
      <c r="DF198" s="234"/>
      <c r="DG198" s="234"/>
      <c r="DH198" s="234"/>
      <c r="DI198" s="234"/>
      <c r="DJ198" s="234"/>
      <c r="DK198" s="234"/>
      <c r="DL198" s="234"/>
      <c r="DM198" s="234"/>
      <c r="DN198" s="234"/>
      <c r="DO198" s="234"/>
      <c r="DP198" s="234"/>
      <c r="DQ198" s="234"/>
      <c r="DR198" s="234"/>
      <c r="DS198" s="234"/>
      <c r="DT198" s="234"/>
      <c r="DU198" s="234"/>
      <c r="DV198" s="234"/>
      <c r="DW198" s="234"/>
      <c r="DX198" s="234"/>
      <c r="DY198" s="234"/>
      <c r="DZ198" s="234"/>
      <c r="EA198" s="234"/>
      <c r="EB198" s="234"/>
      <c r="EC198" s="234"/>
      <c r="ED198" s="234"/>
      <c r="EE198" s="234"/>
      <c r="EF198" s="234"/>
      <c r="EG198" s="234"/>
      <c r="EH198" s="234"/>
      <c r="EI198" s="234"/>
      <c r="EJ198" s="234"/>
      <c r="EK198" s="234"/>
      <c r="EL198" s="234"/>
      <c r="EM198" s="234"/>
      <c r="EN198" s="234"/>
      <c r="EO198" s="234"/>
      <c r="EP198" s="234"/>
      <c r="EQ198" s="234"/>
      <c r="ER198" s="234"/>
      <c r="ES198" s="234"/>
      <c r="ET198" s="234"/>
      <c r="EU198" s="234"/>
      <c r="EV198" s="234"/>
      <c r="EW198" s="234"/>
      <c r="EX198" s="234"/>
      <c r="EY198" s="234"/>
      <c r="EZ198" s="234"/>
      <c r="FA198" s="234"/>
      <c r="FB198" s="234"/>
      <c r="FC198" s="234"/>
      <c r="FD198" s="234"/>
      <c r="FE198" s="234"/>
      <c r="FF198" s="234"/>
      <c r="FG198" s="234"/>
      <c r="FH198" s="234"/>
      <c r="FI198" s="234"/>
      <c r="FJ198" s="234"/>
      <c r="FK198" s="234"/>
      <c r="FL198" s="234"/>
      <c r="FM198" s="234"/>
      <c r="FN198" s="234"/>
      <c r="FO198" s="234"/>
      <c r="FP198" s="234"/>
      <c r="FQ198" s="234"/>
      <c r="FR198" s="234"/>
      <c r="FS198" s="234"/>
      <c r="FT198" s="234"/>
      <c r="FU198" s="234"/>
      <c r="FV198" s="234"/>
      <c r="FW198" s="234"/>
      <c r="FX198" s="234"/>
      <c r="FY198" s="234"/>
      <c r="FZ198" s="234"/>
      <c r="GA198" s="234"/>
      <c r="GB198" s="234"/>
      <c r="GC198" s="234"/>
      <c r="GD198" s="234"/>
      <c r="GE198" s="234"/>
      <c r="GF198" s="234"/>
      <c r="GG198" s="234"/>
      <c r="GH198" s="234"/>
      <c r="GI198" s="234"/>
      <c r="GJ198" s="234"/>
      <c r="GK198" s="234"/>
      <c r="GL198" s="234"/>
      <c r="GM198" s="234"/>
      <c r="GN198" s="234"/>
      <c r="GO198" s="234"/>
      <c r="GP198" s="234"/>
      <c r="GQ198" s="234"/>
      <c r="GR198" s="234"/>
      <c r="GS198" s="234"/>
      <c r="GT198" s="234"/>
      <c r="GU198" s="234"/>
      <c r="GV198" s="234"/>
      <c r="GW198" s="234"/>
      <c r="GX198" s="234"/>
      <c r="GY198" s="234"/>
      <c r="GZ198" s="234"/>
      <c r="HA198" s="234"/>
      <c r="HB198" s="234"/>
      <c r="HC198" s="234"/>
      <c r="HD198" s="234"/>
      <c r="HE198" s="234"/>
      <c r="HF198" s="234"/>
      <c r="HG198" s="234"/>
      <c r="HH198" s="234"/>
      <c r="HI198" s="234"/>
      <c r="HJ198" s="234"/>
      <c r="HK198" s="234"/>
      <c r="HL198" s="234"/>
      <c r="HM198" s="234"/>
      <c r="HN198" s="234"/>
      <c r="HO198" s="234"/>
      <c r="HP198" s="234"/>
      <c r="HQ198" s="234"/>
      <c r="HR198" s="234"/>
      <c r="HS198" s="234"/>
      <c r="HT198" s="234"/>
      <c r="HU198" s="234"/>
      <c r="HV198" s="234"/>
      <c r="HW198" s="234"/>
      <c r="HX198" s="234"/>
      <c r="HY198" s="234"/>
      <c r="HZ198" s="234"/>
      <c r="IA198" s="234"/>
      <c r="IB198" s="234"/>
      <c r="IC198" s="234"/>
      <c r="ID198" s="234"/>
      <c r="IE198" s="234"/>
      <c r="IF198" s="234"/>
      <c r="IG198" s="234"/>
      <c r="IH198" s="234"/>
      <c r="II198" s="234"/>
      <c r="IJ198" s="234"/>
      <c r="IK198" s="234"/>
      <c r="IL198" s="234"/>
      <c r="IM198" s="234"/>
      <c r="IN198" s="234"/>
      <c r="IO198" s="234"/>
      <c r="IP198" s="234"/>
      <c r="IQ198" s="234"/>
      <c r="IR198" s="234"/>
      <c r="IS198" s="234"/>
      <c r="IT198" s="234"/>
      <c r="IU198" s="234"/>
      <c r="IV198" s="234"/>
      <c r="IW198" s="234"/>
      <c r="IX198" s="234"/>
      <c r="IY198" s="234"/>
      <c r="IZ198" s="234"/>
      <c r="JA198" s="234"/>
      <c r="JB198" s="234"/>
      <c r="JC198" s="234"/>
      <c r="JD198" s="234"/>
      <c r="JE198" s="234"/>
      <c r="JF198" s="234"/>
      <c r="JG198" s="234"/>
      <c r="JH198" s="234"/>
      <c r="JI198" s="234"/>
      <c r="JJ198" s="234"/>
      <c r="JK198" s="234"/>
      <c r="JL198" s="234"/>
      <c r="JM198" s="234"/>
      <c r="JN198" s="234"/>
      <c r="JO198" s="234"/>
      <c r="JP198" s="234"/>
      <c r="JQ198" s="234"/>
      <c r="JR198" s="234"/>
      <c r="JS198" s="234"/>
      <c r="JT198" s="234"/>
      <c r="JU198" s="234"/>
      <c r="JV198" s="234"/>
      <c r="JW198" s="234"/>
      <c r="JX198" s="234"/>
      <c r="JY198" s="234"/>
      <c r="JZ198" s="234"/>
      <c r="KA198" s="234"/>
      <c r="KB198" s="234"/>
      <c r="KC198" s="234"/>
      <c r="KD198" s="234"/>
      <c r="KE198" s="234"/>
      <c r="KF198" s="234"/>
      <c r="KG198" s="234"/>
      <c r="KH198" s="234"/>
      <c r="KI198" s="234"/>
      <c r="KJ198" s="234"/>
      <c r="KK198" s="234"/>
      <c r="KL198" s="234"/>
      <c r="KM198" s="234"/>
      <c r="KN198" s="234"/>
      <c r="KO198" s="234"/>
      <c r="KP198" s="234"/>
      <c r="KQ198" s="234"/>
      <c r="KR198" s="234"/>
      <c r="KS198" s="234"/>
      <c r="KT198" s="234"/>
      <c r="KU198" s="234"/>
      <c r="KV198" s="234"/>
      <c r="KW198" s="234"/>
      <c r="KX198" s="234"/>
      <c r="KY198" s="234"/>
      <c r="KZ198" s="234"/>
      <c r="LA198" s="234"/>
      <c r="LB198" s="234"/>
      <c r="LC198" s="234"/>
      <c r="LD198" s="234"/>
      <c r="LE198" s="234"/>
      <c r="LF198" s="234"/>
      <c r="LG198" s="234"/>
      <c r="LH198" s="234"/>
      <c r="LI198" s="234"/>
      <c r="LJ198" s="234"/>
      <c r="LK198" s="234"/>
      <c r="LL198" s="234"/>
      <c r="LM198" s="234"/>
      <c r="LN198" s="234"/>
      <c r="LO198" s="234"/>
      <c r="LP198" s="234"/>
      <c r="LQ198" s="234"/>
      <c r="LR198" s="234"/>
      <c r="LS198" s="234"/>
      <c r="LT198" s="234"/>
      <c r="LU198" s="234"/>
      <c r="LV198" s="234"/>
      <c r="LW198" s="234"/>
      <c r="LX198" s="234"/>
      <c r="LY198" s="234"/>
      <c r="LZ198" s="234"/>
      <c r="MA198" s="234"/>
      <c r="MB198" s="234"/>
      <c r="MC198" s="234"/>
      <c r="MD198" s="234"/>
      <c r="ME198" s="234"/>
      <c r="MF198" s="234"/>
      <c r="MG198" s="234"/>
      <c r="MH198" s="234"/>
      <c r="MI198" s="234"/>
      <c r="MJ198" s="234"/>
      <c r="MK198" s="234"/>
      <c r="ML198" s="234"/>
      <c r="MM198" s="234"/>
      <c r="MN198" s="234"/>
      <c r="MO198" s="234"/>
      <c r="MP198" s="234"/>
      <c r="MQ198" s="234"/>
      <c r="MR198" s="234"/>
      <c r="MS198" s="234"/>
      <c r="MT198" s="234"/>
      <c r="MU198" s="234"/>
      <c r="MV198" s="234"/>
      <c r="MW198" s="234"/>
      <c r="MX198" s="234"/>
      <c r="MY198" s="234"/>
      <c r="MZ198" s="234"/>
      <c r="NA198" s="234"/>
      <c r="NB198" s="234"/>
      <c r="NC198" s="234"/>
      <c r="ND198" s="234"/>
      <c r="NE198" s="234"/>
      <c r="NF198" s="234"/>
      <c r="NG198" s="234"/>
      <c r="NH198" s="234"/>
      <c r="NI198" s="234"/>
      <c r="NJ198" s="234"/>
      <c r="NK198" s="234"/>
      <c r="NL198" s="234"/>
      <c r="NM198" s="234"/>
      <c r="NN198" s="234"/>
      <c r="NO198" s="234"/>
      <c r="NP198" s="234"/>
      <c r="NQ198" s="234"/>
      <c r="NR198" s="234"/>
      <c r="NS198" s="234"/>
      <c r="NT198" s="234"/>
      <c r="NU198" s="234"/>
      <c r="NV198" s="234"/>
      <c r="NW198" s="234"/>
      <c r="NX198" s="234"/>
      <c r="NY198" s="234"/>
      <c r="NZ198" s="234"/>
      <c r="OA198" s="234"/>
      <c r="OB198" s="234"/>
      <c r="OC198" s="234"/>
      <c r="OD198" s="234"/>
      <c r="OE198" s="234"/>
      <c r="OF198" s="234"/>
      <c r="OG198" s="234"/>
      <c r="OH198" s="234"/>
      <c r="OI198" s="234"/>
      <c r="OJ198" s="234"/>
      <c r="OK198" s="234"/>
      <c r="OL198" s="234"/>
      <c r="OM198" s="234"/>
      <c r="ON198" s="234"/>
      <c r="OO198" s="234"/>
      <c r="OP198" s="234"/>
      <c r="OQ198" s="234"/>
      <c r="OR198" s="234"/>
      <c r="OS198" s="234"/>
      <c r="OT198" s="234"/>
      <c r="OU198" s="234"/>
      <c r="OV198" s="234"/>
      <c r="OW198" s="234"/>
      <c r="OX198" s="234"/>
      <c r="OY198" s="234"/>
      <c r="OZ198" s="234"/>
      <c r="PA198" s="234"/>
      <c r="PB198" s="234"/>
      <c r="PC198" s="234"/>
      <c r="PD198" s="234"/>
      <c r="PE198" s="234"/>
      <c r="PF198" s="234"/>
      <c r="PG198" s="234"/>
      <c r="PH198" s="234"/>
      <c r="PI198" s="234"/>
      <c r="PJ198" s="234"/>
      <c r="PK198" s="234"/>
      <c r="PL198" s="234"/>
      <c r="PM198" s="234"/>
      <c r="PN198" s="234"/>
      <c r="PO198" s="234"/>
      <c r="PP198" s="234"/>
      <c r="PQ198" s="234"/>
      <c r="PR198" s="234"/>
      <c r="PS198" s="234"/>
      <c r="PT198" s="234"/>
      <c r="PU198" s="234"/>
      <c r="PV198" s="234"/>
      <c r="PW198" s="234"/>
      <c r="PX198" s="234"/>
      <c r="PY198" s="234"/>
      <c r="PZ198" s="234"/>
      <c r="QA198" s="234"/>
      <c r="QB198" s="234"/>
      <c r="QC198" s="234"/>
      <c r="QD198" s="234"/>
      <c r="QE198" s="234"/>
      <c r="QF198" s="234"/>
      <c r="QG198" s="234"/>
      <c r="QH198" s="234"/>
      <c r="QI198" s="234"/>
      <c r="QJ198" s="234"/>
      <c r="QK198" s="234"/>
      <c r="QL198" s="234"/>
      <c r="QM198" s="234"/>
      <c r="QN198" s="234"/>
      <c r="QO198" s="234"/>
      <c r="QP198" s="234"/>
      <c r="QQ198" s="234"/>
      <c r="QR198" s="234"/>
      <c r="QS198" s="234"/>
      <c r="QT198" s="234"/>
      <c r="QU198" s="234"/>
      <c r="QV198" s="234"/>
      <c r="QW198" s="234"/>
      <c r="QX198" s="234"/>
      <c r="QY198" s="234"/>
      <c r="QZ198" s="234"/>
      <c r="RA198" s="234"/>
      <c r="RB198" s="234"/>
      <c r="RC198" s="234"/>
      <c r="RD198" s="234"/>
      <c r="RE198" s="234"/>
      <c r="RF198" s="234"/>
      <c r="RG198" s="234"/>
      <c r="RH198" s="234"/>
      <c r="RI198" s="234"/>
      <c r="RJ198" s="234"/>
      <c r="RK198" s="234"/>
      <c r="RL198" s="234"/>
      <c r="RM198" s="234"/>
      <c r="RN198" s="234"/>
      <c r="RO198" s="234"/>
      <c r="RP198" s="234"/>
      <c r="RQ198" s="234"/>
      <c r="RR198" s="234"/>
      <c r="RS198" s="234"/>
      <c r="RT198" s="234"/>
      <c r="RU198" s="234"/>
      <c r="RV198" s="234"/>
      <c r="RW198" s="234"/>
      <c r="RX198" s="234"/>
      <c r="RY198" s="234"/>
      <c r="RZ198" s="234"/>
      <c r="SA198" s="234"/>
      <c r="SB198" s="234"/>
      <c r="SC198" s="234"/>
      <c r="SD198" s="234"/>
      <c r="SE198" s="234"/>
      <c r="SF198" s="234"/>
      <c r="SG198" s="234"/>
      <c r="SH198" s="234"/>
      <c r="SI198" s="234"/>
      <c r="SJ198" s="234"/>
      <c r="SK198" s="234"/>
      <c r="SL198" s="234"/>
      <c r="SM198" s="234"/>
      <c r="SN198" s="234"/>
      <c r="SO198" s="234"/>
      <c r="SP198" s="234"/>
      <c r="SQ198" s="234"/>
      <c r="SR198" s="234"/>
      <c r="SS198" s="234"/>
      <c r="ST198" s="234"/>
      <c r="SU198" s="234"/>
      <c r="SV198" s="234"/>
      <c r="SW198" s="234"/>
      <c r="SX198" s="234"/>
      <c r="SY198" s="234"/>
      <c r="SZ198" s="234"/>
      <c r="TA198" s="234"/>
      <c r="TB198" s="234"/>
      <c r="TC198" s="234"/>
      <c r="TD198" s="234"/>
      <c r="TE198" s="234"/>
      <c r="TF198" s="234"/>
      <c r="TG198" s="234"/>
      <c r="TH198" s="234"/>
      <c r="TI198" s="234"/>
      <c r="TJ198" s="234"/>
      <c r="TK198" s="234"/>
      <c r="TL198" s="234"/>
      <c r="TM198" s="234"/>
      <c r="TN198" s="234"/>
      <c r="TO198" s="234"/>
      <c r="TP198" s="234"/>
      <c r="TQ198" s="234"/>
      <c r="TR198" s="234"/>
      <c r="TS198" s="234"/>
      <c r="TT198" s="234"/>
      <c r="TU198" s="234"/>
      <c r="TV198" s="234"/>
      <c r="TW198" s="234"/>
      <c r="TX198" s="234"/>
      <c r="TY198" s="234"/>
      <c r="TZ198" s="234"/>
      <c r="UA198" s="234"/>
      <c r="UB198" s="234"/>
      <c r="UC198" s="234"/>
      <c r="UD198" s="234"/>
      <c r="UE198" s="234"/>
      <c r="UF198" s="234"/>
      <c r="UG198" s="234"/>
      <c r="UH198" s="234"/>
      <c r="UI198" s="234"/>
      <c r="UJ198" s="234"/>
      <c r="UK198" s="234"/>
      <c r="UL198" s="234"/>
      <c r="UM198" s="234"/>
      <c r="UN198" s="234"/>
      <c r="UO198" s="234"/>
      <c r="UP198" s="234"/>
      <c r="UQ198" s="234"/>
      <c r="UR198" s="234"/>
      <c r="US198" s="234"/>
      <c r="UT198" s="234"/>
      <c r="UU198" s="234"/>
      <c r="UV198" s="234"/>
      <c r="UW198" s="234"/>
      <c r="UX198" s="234"/>
      <c r="UY198" s="234"/>
      <c r="UZ198" s="234"/>
      <c r="VA198" s="234"/>
      <c r="VB198" s="234"/>
      <c r="VC198" s="234"/>
      <c r="VD198" s="234"/>
      <c r="VE198" s="234"/>
      <c r="VF198" s="234"/>
      <c r="VG198" s="234"/>
      <c r="VH198" s="234"/>
      <c r="VI198" s="234"/>
      <c r="VJ198" s="234"/>
      <c r="VK198" s="234"/>
      <c r="VL198" s="234"/>
      <c r="VM198" s="234"/>
      <c r="VN198" s="234"/>
      <c r="VO198" s="234"/>
      <c r="VP198" s="234"/>
      <c r="VQ198" s="234"/>
      <c r="VR198" s="234"/>
      <c r="VS198" s="234"/>
      <c r="VT198" s="234"/>
      <c r="VU198" s="234"/>
      <c r="VV198" s="234"/>
      <c r="VW198" s="234"/>
      <c r="VX198" s="234"/>
      <c r="VY198" s="234"/>
      <c r="VZ198" s="234"/>
      <c r="WA198" s="234"/>
      <c r="WB198" s="234"/>
      <c r="WC198" s="234"/>
      <c r="WD198" s="234"/>
      <c r="WE198" s="234"/>
      <c r="WF198" s="234"/>
      <c r="WG198" s="234"/>
      <c r="WH198" s="234"/>
      <c r="WI198" s="234"/>
      <c r="WJ198" s="234"/>
      <c r="WK198" s="234"/>
      <c r="WL198" s="234"/>
      <c r="WM198" s="234"/>
      <c r="WN198" s="234"/>
      <c r="WO198" s="234"/>
      <c r="WP198" s="234"/>
      <c r="WQ198" s="234"/>
      <c r="WR198" s="234"/>
      <c r="WS198" s="234"/>
      <c r="WT198" s="234"/>
      <c r="WU198" s="234"/>
      <c r="WV198" s="234"/>
      <c r="WW198" s="234"/>
      <c r="WX198" s="234"/>
      <c r="WY198" s="234"/>
      <c r="WZ198" s="234"/>
      <c r="XA198" s="234"/>
      <c r="XB198" s="234"/>
      <c r="XC198" s="234"/>
      <c r="XD198" s="234"/>
      <c r="XE198" s="234"/>
      <c r="XF198" s="234"/>
      <c r="XG198" s="234"/>
      <c r="XH198" s="234"/>
      <c r="XI198" s="234"/>
      <c r="XJ198" s="234"/>
      <c r="XK198" s="234"/>
      <c r="XL198" s="234"/>
      <c r="XM198" s="234"/>
      <c r="XN198" s="234"/>
      <c r="XO198" s="234"/>
      <c r="XP198" s="234"/>
      <c r="XQ198" s="234"/>
      <c r="XR198" s="234"/>
      <c r="XS198" s="234"/>
      <c r="XT198" s="234"/>
      <c r="XU198" s="234"/>
      <c r="XV198" s="234"/>
      <c r="XW198" s="234"/>
      <c r="XX198" s="234"/>
      <c r="XY198" s="234"/>
      <c r="XZ198" s="234"/>
      <c r="YA198" s="234"/>
      <c r="YB198" s="234"/>
      <c r="YC198" s="234"/>
      <c r="YD198" s="234"/>
      <c r="YE198" s="234"/>
      <c r="YF198" s="234"/>
      <c r="YG198" s="234"/>
      <c r="YH198" s="234"/>
      <c r="YI198" s="234"/>
      <c r="YJ198" s="234"/>
      <c r="YK198" s="234"/>
      <c r="YL198" s="234"/>
      <c r="YM198" s="234"/>
      <c r="YN198" s="234"/>
      <c r="YO198" s="234"/>
      <c r="YP198" s="234"/>
      <c r="YQ198" s="234"/>
      <c r="YR198" s="234"/>
      <c r="YS198" s="234"/>
      <c r="YT198" s="234"/>
      <c r="YU198" s="234"/>
      <c r="YV198" s="234"/>
      <c r="YW198" s="234"/>
      <c r="YX198" s="234"/>
      <c r="YY198" s="234"/>
      <c r="YZ198" s="234"/>
      <c r="ZA198" s="234"/>
      <c r="ZB198" s="234"/>
      <c r="ZC198" s="234"/>
      <c r="ZD198" s="234"/>
      <c r="ZE198" s="234"/>
      <c r="ZF198" s="234"/>
      <c r="ZG198" s="234"/>
      <c r="ZH198" s="234"/>
      <c r="ZI198" s="234"/>
      <c r="ZJ198" s="234"/>
      <c r="ZK198" s="234"/>
      <c r="ZL198" s="234"/>
      <c r="ZM198" s="234"/>
      <c r="ZN198" s="234"/>
      <c r="ZO198" s="234"/>
      <c r="ZP198" s="234"/>
      <c r="ZQ198" s="234"/>
      <c r="ZR198" s="234"/>
      <c r="ZS198" s="234"/>
      <c r="ZT198" s="234"/>
      <c r="ZU198" s="234"/>
      <c r="ZV198" s="234"/>
      <c r="ZW198" s="234"/>
      <c r="ZX198" s="234"/>
      <c r="ZY198" s="234"/>
      <c r="ZZ198" s="234"/>
      <c r="AAA198" s="234"/>
      <c r="AAB198" s="234"/>
      <c r="AAC198" s="234"/>
      <c r="AAD198" s="234"/>
      <c r="AAE198" s="234"/>
      <c r="AAF198" s="234"/>
      <c r="AAG198" s="234"/>
      <c r="AAH198" s="234"/>
      <c r="AAI198" s="234"/>
      <c r="AAJ198" s="234"/>
      <c r="AAK198" s="234"/>
      <c r="AAL198" s="234"/>
      <c r="AAM198" s="234"/>
      <c r="AAN198" s="234"/>
      <c r="AAO198" s="234"/>
      <c r="AAP198" s="234"/>
      <c r="AAQ198" s="234"/>
      <c r="AAR198" s="234"/>
      <c r="AAS198" s="234"/>
      <c r="AAT198" s="234"/>
      <c r="AAU198" s="234"/>
      <c r="AAV198" s="234"/>
      <c r="AAW198" s="234"/>
      <c r="AAX198" s="234"/>
      <c r="AAY198" s="234"/>
      <c r="AAZ198" s="234"/>
      <c r="ABA198" s="234"/>
      <c r="ABB198" s="234"/>
      <c r="ABC198" s="234"/>
      <c r="ABD198" s="234"/>
      <c r="ABE198" s="234"/>
      <c r="ABF198" s="234"/>
      <c r="ABG198" s="234"/>
      <c r="ABH198" s="234"/>
      <c r="ABI198" s="234"/>
      <c r="ABJ198" s="234"/>
      <c r="ABK198" s="234"/>
      <c r="ABL198" s="234"/>
      <c r="ABM198" s="234"/>
      <c r="ABN198" s="234"/>
      <c r="ABO198" s="234"/>
      <c r="ABP198" s="234"/>
      <c r="ABQ198" s="234"/>
      <c r="ABR198" s="234"/>
      <c r="ABS198" s="234"/>
      <c r="ABT198" s="234"/>
      <c r="ABU198" s="234"/>
      <c r="ABV198" s="234"/>
      <c r="ABW198" s="234"/>
      <c r="ABX198" s="234"/>
      <c r="ABY198" s="234"/>
      <c r="ABZ198" s="234"/>
      <c r="ACA198" s="234"/>
      <c r="ACB198" s="234"/>
      <c r="ACC198" s="234"/>
      <c r="ACD198" s="234"/>
      <c r="ACE198" s="234"/>
      <c r="ACF198" s="234"/>
      <c r="ACG198" s="234"/>
      <c r="ACH198" s="234"/>
      <c r="ACI198" s="234"/>
      <c r="ACJ198" s="234"/>
      <c r="ACK198" s="234"/>
      <c r="ACL198" s="234"/>
      <c r="ACM198" s="234"/>
      <c r="ACN198" s="234"/>
      <c r="ACO198" s="234"/>
      <c r="ACP198" s="234"/>
      <c r="ACQ198" s="234"/>
      <c r="ACR198" s="234"/>
      <c r="ACS198" s="234"/>
      <c r="ACT198" s="234"/>
      <c r="ACU198" s="234"/>
      <c r="ACV198" s="234"/>
      <c r="ACW198" s="234"/>
      <c r="ACX198" s="234"/>
      <c r="ACY198" s="234"/>
      <c r="ACZ198" s="234"/>
      <c r="ADA198" s="234"/>
      <c r="ADB198" s="234"/>
      <c r="ADC198" s="234"/>
      <c r="ADD198" s="234"/>
      <c r="ADE198" s="234"/>
      <c r="ADF198" s="234"/>
      <c r="ADG198" s="234"/>
      <c r="ADH198" s="234"/>
      <c r="ADI198" s="234"/>
      <c r="ADJ198" s="234"/>
      <c r="ADK198" s="234"/>
      <c r="ADL198" s="234"/>
      <c r="ADM198" s="234"/>
      <c r="ADN198" s="234"/>
      <c r="ADO198" s="234"/>
      <c r="ADP198" s="234"/>
      <c r="ADQ198" s="234"/>
      <c r="ADR198" s="234"/>
      <c r="ADS198" s="234"/>
      <c r="ADT198" s="234"/>
      <c r="ADU198" s="234"/>
      <c r="ADV198" s="234"/>
      <c r="ADW198" s="234"/>
      <c r="ADX198" s="234"/>
      <c r="ADY198" s="234"/>
      <c r="ADZ198" s="234"/>
      <c r="AEA198" s="234"/>
      <c r="AEB198" s="234"/>
      <c r="AEC198" s="234"/>
      <c r="AED198" s="234"/>
      <c r="AEE198" s="234"/>
      <c r="AEF198" s="234"/>
      <c r="AEG198" s="234"/>
      <c r="AEH198" s="234"/>
      <c r="AEI198" s="234"/>
      <c r="AEJ198" s="234"/>
      <c r="AEK198" s="234"/>
      <c r="AEL198" s="234"/>
      <c r="AEM198" s="234"/>
      <c r="AEN198" s="234"/>
      <c r="AEO198" s="234"/>
      <c r="AEP198" s="234"/>
      <c r="AEQ198" s="234"/>
      <c r="AER198" s="234"/>
      <c r="AES198" s="234"/>
      <c r="AET198" s="234"/>
      <c r="AEU198" s="234"/>
      <c r="AEV198" s="234"/>
      <c r="AEW198" s="234"/>
      <c r="AEX198" s="234"/>
      <c r="AEY198" s="234"/>
      <c r="AEZ198" s="234"/>
      <c r="AFA198" s="234"/>
      <c r="AFB198" s="234"/>
      <c r="AFC198" s="234"/>
      <c r="AFD198" s="234"/>
      <c r="AFE198" s="234"/>
      <c r="AFF198" s="234"/>
      <c r="AFG198" s="234"/>
      <c r="AFH198" s="234"/>
      <c r="AFI198" s="234"/>
      <c r="AFJ198" s="234"/>
      <c r="AFK198" s="234"/>
      <c r="AFL198" s="234"/>
      <c r="AFM198" s="234"/>
      <c r="AFN198" s="234"/>
      <c r="AFO198" s="234"/>
      <c r="AFP198" s="234"/>
      <c r="AFQ198" s="234"/>
      <c r="AFR198" s="234"/>
      <c r="AFS198" s="234"/>
      <c r="AFT198" s="234"/>
      <c r="AFU198" s="234"/>
      <c r="AFV198" s="234"/>
      <c r="AFW198" s="234"/>
      <c r="AFX198" s="234"/>
      <c r="AFY198" s="234"/>
      <c r="AFZ198" s="234"/>
      <c r="AGA198" s="234"/>
      <c r="AGB198" s="234"/>
      <c r="AGC198" s="234"/>
      <c r="AGD198" s="234"/>
      <c r="AGE198" s="234"/>
      <c r="AGF198" s="234"/>
      <c r="AGG198" s="234"/>
      <c r="AGH198" s="234"/>
      <c r="AGI198" s="234"/>
      <c r="AGJ198" s="234"/>
      <c r="AGK198" s="234"/>
      <c r="AGL198" s="234"/>
      <c r="AGM198" s="234"/>
      <c r="AGN198" s="234"/>
      <c r="AGO198" s="234"/>
      <c r="AGP198" s="234"/>
      <c r="AGQ198" s="234"/>
      <c r="AGR198" s="234"/>
      <c r="AGS198" s="234"/>
      <c r="AGT198" s="234"/>
      <c r="AGU198" s="234"/>
      <c r="AGV198" s="234"/>
      <c r="AGW198" s="234"/>
      <c r="AGX198" s="234"/>
      <c r="AGY198" s="234"/>
      <c r="AGZ198" s="234"/>
      <c r="AHA198" s="234"/>
      <c r="AHB198" s="234"/>
      <c r="AHC198" s="234"/>
      <c r="AHD198" s="234"/>
      <c r="AHE198" s="234"/>
      <c r="AHF198" s="234"/>
      <c r="AHG198" s="234"/>
      <c r="AHH198" s="234"/>
      <c r="AHI198" s="234"/>
      <c r="AHJ198" s="234"/>
      <c r="AHK198" s="234"/>
      <c r="AHL198" s="234"/>
      <c r="AHM198" s="234"/>
      <c r="AHN198" s="234"/>
      <c r="AHO198" s="234"/>
      <c r="AHP198" s="234"/>
      <c r="AHQ198" s="234"/>
      <c r="AHR198" s="234"/>
      <c r="AHS198" s="234"/>
      <c r="AHT198" s="234"/>
      <c r="AHU198" s="234"/>
      <c r="AHV198" s="234"/>
      <c r="AHW198" s="234"/>
      <c r="AHX198" s="234"/>
      <c r="AHY198" s="234"/>
      <c r="AHZ198" s="234"/>
      <c r="AIA198" s="234"/>
      <c r="AIB198" s="234"/>
      <c r="AIC198" s="234"/>
      <c r="AID198" s="234"/>
      <c r="AIE198" s="234"/>
      <c r="AIF198" s="234"/>
      <c r="AIG198" s="234"/>
      <c r="AIH198" s="234"/>
      <c r="AII198" s="234"/>
      <c r="AIJ198" s="234"/>
      <c r="AIK198" s="234"/>
      <c r="AIL198" s="234"/>
      <c r="AIM198" s="234"/>
      <c r="AIN198" s="234"/>
      <c r="AIO198" s="234"/>
      <c r="AIP198" s="234"/>
      <c r="AIQ198" s="234"/>
      <c r="AIR198" s="234"/>
      <c r="AIS198" s="234"/>
      <c r="AIT198" s="234"/>
      <c r="AIU198" s="234"/>
      <c r="AIV198" s="234"/>
      <c r="AIW198" s="234"/>
      <c r="AIX198" s="234"/>
      <c r="AIY198" s="234"/>
      <c r="AIZ198" s="234"/>
      <c r="AJA198" s="234"/>
      <c r="AJB198" s="234"/>
      <c r="AJC198" s="234"/>
      <c r="AJD198" s="234"/>
      <c r="AJE198" s="234"/>
      <c r="AJF198" s="234"/>
      <c r="AJG198" s="234"/>
      <c r="AJH198" s="234"/>
      <c r="AJI198" s="234"/>
      <c r="AJJ198" s="234"/>
      <c r="AJK198" s="234"/>
      <c r="AJL198" s="234"/>
      <c r="AJM198" s="234"/>
      <c r="AJN198" s="234"/>
      <c r="AJO198" s="234"/>
      <c r="AJP198" s="234"/>
      <c r="AJQ198" s="234"/>
      <c r="AJR198" s="234"/>
      <c r="AJS198" s="234"/>
      <c r="AJT198" s="234"/>
      <c r="AJU198" s="234"/>
      <c r="AJV198" s="234"/>
      <c r="AJW198" s="234"/>
      <c r="AJX198" s="234"/>
      <c r="AJY198" s="234"/>
      <c r="AJZ198" s="234"/>
      <c r="AKA198" s="234"/>
      <c r="AKB198" s="234"/>
      <c r="AKC198" s="234"/>
      <c r="AKD198" s="234"/>
      <c r="AKE198" s="234"/>
      <c r="AKF198" s="234"/>
      <c r="AKG198" s="234"/>
      <c r="AKH198" s="234"/>
      <c r="AKI198" s="234"/>
      <c r="AKJ198" s="234"/>
      <c r="AKK198" s="234"/>
      <c r="AKL198" s="234"/>
      <c r="AKM198" s="234"/>
      <c r="AKN198" s="234"/>
      <c r="AKO198" s="234"/>
      <c r="AKP198" s="234"/>
      <c r="AKQ198" s="234"/>
      <c r="AKR198" s="234"/>
      <c r="AKS198" s="234"/>
      <c r="AKT198" s="234"/>
      <c r="AKU198" s="234"/>
      <c r="AKV198" s="234"/>
      <c r="AKW198" s="234"/>
      <c r="AKX198" s="234"/>
      <c r="AKY198" s="234"/>
      <c r="AKZ198" s="234"/>
      <c r="ALA198" s="234"/>
      <c r="ALB198" s="234"/>
      <c r="ALC198" s="234"/>
      <c r="ALD198" s="234"/>
      <c r="ALE198" s="234"/>
      <c r="ALF198" s="234"/>
      <c r="ALG198" s="234"/>
      <c r="ALH198" s="234"/>
      <c r="ALI198" s="234"/>
      <c r="ALJ198" s="234"/>
      <c r="ALK198" s="234"/>
      <c r="ALL198" s="234"/>
      <c r="ALM198" s="234"/>
      <c r="ALN198" s="234"/>
      <c r="ALO198" s="234"/>
      <c r="ALP198" s="234"/>
      <c r="ALQ198" s="234"/>
      <c r="ALR198" s="234"/>
      <c r="ALS198" s="234"/>
      <c r="ALT198" s="234"/>
      <c r="ALU198" s="234"/>
      <c r="ALV198" s="234"/>
      <c r="ALW198" s="234"/>
      <c r="ALX198" s="234"/>
      <c r="ALY198" s="234"/>
      <c r="ALZ198" s="234"/>
      <c r="AMA198" s="234"/>
      <c r="AMB198" s="234"/>
      <c r="AMC198" s="234"/>
      <c r="AMD198" s="234"/>
      <c r="AME198" s="234"/>
      <c r="AMF198" s="234"/>
      <c r="AMG198" s="234"/>
      <c r="AMH198" s="234"/>
      <c r="AMI198" s="234"/>
      <c r="AMJ198" s="234"/>
      <c r="AMK198" s="234"/>
      <c r="AML198" s="234"/>
      <c r="AMM198" s="234"/>
      <c r="AMN198" s="234"/>
      <c r="AMO198" s="234"/>
      <c r="AMP198" s="234"/>
      <c r="AMQ198" s="234"/>
      <c r="AMR198" s="234"/>
      <c r="AMS198" s="234"/>
      <c r="AMT198" s="234"/>
      <c r="AMU198" s="234"/>
      <c r="AMV198" s="234"/>
      <c r="AMW198" s="234"/>
      <c r="AMX198" s="234"/>
      <c r="AMY198" s="234"/>
      <c r="AMZ198" s="234"/>
      <c r="ANA198" s="234"/>
      <c r="ANB198" s="234"/>
      <c r="ANC198" s="234"/>
      <c r="AND198" s="234"/>
      <c r="ANE198" s="234"/>
      <c r="ANF198" s="234"/>
      <c r="ANG198" s="234"/>
      <c r="ANH198" s="234"/>
      <c r="ANI198" s="234"/>
      <c r="ANJ198" s="234"/>
      <c r="ANK198" s="234"/>
      <c r="ANL198" s="234"/>
      <c r="ANM198" s="234"/>
      <c r="ANN198" s="234"/>
      <c r="ANO198" s="234"/>
      <c r="ANP198" s="234"/>
      <c r="ANQ198" s="234"/>
      <c r="ANR198" s="234"/>
      <c r="ANS198" s="234"/>
      <c r="ANT198" s="234"/>
      <c r="ANU198" s="234"/>
      <c r="ANV198" s="234"/>
      <c r="ANW198" s="234"/>
      <c r="ANX198" s="234"/>
      <c r="ANY198" s="234"/>
      <c r="ANZ198" s="234"/>
      <c r="AOA198" s="234"/>
      <c r="AOB198" s="234"/>
      <c r="AOC198" s="234"/>
      <c r="AOD198" s="234"/>
      <c r="AOE198" s="234"/>
      <c r="AOF198" s="234"/>
      <c r="AOG198" s="234"/>
      <c r="AOH198" s="234"/>
      <c r="AOI198" s="234"/>
      <c r="AOJ198" s="234"/>
      <c r="AOK198" s="234"/>
      <c r="AOL198" s="234"/>
      <c r="AOM198" s="234"/>
      <c r="AON198" s="234"/>
      <c r="AOO198" s="234"/>
      <c r="AOP198" s="234"/>
      <c r="AOQ198" s="234"/>
      <c r="AOR198" s="234"/>
      <c r="AOS198" s="234"/>
      <c r="AOT198" s="234"/>
      <c r="AOU198" s="234"/>
      <c r="AOV198" s="234"/>
      <c r="AOW198" s="234"/>
      <c r="AOX198" s="234"/>
      <c r="AOY198" s="234"/>
      <c r="AOZ198" s="234"/>
      <c r="APA198" s="234"/>
      <c r="APB198" s="234"/>
      <c r="APC198" s="234"/>
      <c r="APD198" s="234"/>
      <c r="APE198" s="234"/>
      <c r="APF198" s="234"/>
      <c r="APG198" s="234"/>
      <c r="APH198" s="234"/>
      <c r="API198" s="234"/>
      <c r="APJ198" s="234"/>
      <c r="APK198" s="234"/>
      <c r="APL198" s="234"/>
      <c r="APM198" s="234"/>
      <c r="APN198" s="234"/>
      <c r="APO198" s="234"/>
      <c r="APP198" s="234"/>
      <c r="APQ198" s="234"/>
      <c r="APR198" s="234"/>
      <c r="APS198" s="234"/>
      <c r="APT198" s="234"/>
      <c r="APU198" s="234"/>
      <c r="APV198" s="234"/>
      <c r="APW198" s="234"/>
      <c r="APX198" s="234"/>
      <c r="APY198" s="234"/>
      <c r="APZ198" s="234"/>
      <c r="AQA198" s="234"/>
      <c r="AQB198" s="234"/>
      <c r="AQC198" s="234"/>
      <c r="AQD198" s="234"/>
      <c r="AQE198" s="234"/>
      <c r="AQF198" s="234"/>
      <c r="AQG198" s="234"/>
      <c r="AQH198" s="234"/>
      <c r="AQI198" s="234"/>
      <c r="AQJ198" s="234"/>
      <c r="AQK198" s="234"/>
      <c r="AQL198" s="234"/>
      <c r="AQM198" s="234"/>
      <c r="AQN198" s="234"/>
      <c r="AQO198" s="234"/>
      <c r="AQP198" s="234"/>
      <c r="AQQ198" s="234"/>
      <c r="AQR198" s="234"/>
      <c r="AQS198" s="234"/>
      <c r="AQT198" s="234"/>
      <c r="AQU198" s="234"/>
      <c r="AQV198" s="234"/>
      <c r="AQW198" s="234"/>
      <c r="AQX198" s="234"/>
      <c r="AQY198" s="234"/>
      <c r="AQZ198" s="234"/>
      <c r="ARA198" s="234"/>
      <c r="ARB198" s="234"/>
      <c r="ARC198" s="234"/>
      <c r="ARD198" s="234"/>
      <c r="ARE198" s="234"/>
      <c r="ARF198" s="234"/>
      <c r="ARG198" s="234"/>
      <c r="ARH198" s="234"/>
      <c r="ARI198" s="234"/>
      <c r="ARJ198" s="234"/>
      <c r="ARK198" s="234"/>
      <c r="ARL198" s="234"/>
      <c r="ARM198" s="234"/>
      <c r="ARN198" s="234"/>
      <c r="ARO198" s="234"/>
      <c r="ARP198" s="234"/>
      <c r="ARQ198" s="234"/>
      <c r="ARR198" s="234"/>
      <c r="ARS198" s="234"/>
      <c r="ART198" s="234"/>
      <c r="ARU198" s="234"/>
      <c r="ARV198" s="234"/>
      <c r="ARW198" s="234"/>
      <c r="ARX198" s="234"/>
      <c r="ARY198" s="234"/>
      <c r="ARZ198" s="234"/>
      <c r="ASA198" s="234"/>
      <c r="ASB198" s="234"/>
      <c r="ASC198" s="234"/>
      <c r="ASD198" s="234"/>
      <c r="ASE198" s="234"/>
      <c r="ASF198" s="234"/>
      <c r="ASG198" s="234"/>
      <c r="ASH198" s="234"/>
      <c r="ASI198" s="234"/>
      <c r="ASJ198" s="234"/>
      <c r="ASK198" s="234"/>
      <c r="ASL198" s="234"/>
      <c r="ASM198" s="234"/>
      <c r="ASN198" s="234"/>
      <c r="ASO198" s="234"/>
      <c r="ASP198" s="234"/>
      <c r="ASQ198" s="234"/>
      <c r="ASR198" s="234"/>
      <c r="ASS198" s="234"/>
      <c r="AST198" s="234"/>
      <c r="ASU198" s="234"/>
      <c r="ASV198" s="234"/>
      <c r="ASW198" s="234"/>
      <c r="ASX198" s="234"/>
      <c r="ASY198" s="234"/>
      <c r="ASZ198" s="234"/>
      <c r="ATA198" s="234"/>
      <c r="ATB198" s="234"/>
      <c r="ATC198" s="234"/>
      <c r="ATD198" s="234"/>
      <c r="ATE198" s="234"/>
      <c r="ATF198" s="234"/>
      <c r="ATG198" s="234"/>
      <c r="ATH198" s="234"/>
      <c r="ATI198" s="234"/>
      <c r="ATJ198" s="234"/>
      <c r="ATK198" s="234"/>
      <c r="ATL198" s="234"/>
      <c r="ATM198" s="234"/>
      <c r="ATN198" s="234"/>
      <c r="ATO198" s="234"/>
      <c r="ATP198" s="234"/>
      <c r="ATQ198" s="234"/>
      <c r="ATR198" s="234"/>
      <c r="ATS198" s="234"/>
      <c r="ATT198" s="234"/>
      <c r="ATU198" s="234"/>
      <c r="ATV198" s="234"/>
      <c r="ATW198" s="234"/>
      <c r="ATX198" s="234"/>
      <c r="ATY198" s="234"/>
      <c r="ATZ198" s="234"/>
      <c r="AUA198" s="234"/>
      <c r="AUB198" s="234"/>
      <c r="AUC198" s="234"/>
      <c r="AUD198" s="234"/>
      <c r="AUE198" s="234"/>
      <c r="AUF198" s="234"/>
      <c r="AUG198" s="234"/>
      <c r="AUH198" s="234"/>
      <c r="AUI198" s="234"/>
      <c r="AUJ198" s="234"/>
      <c r="AUK198" s="234"/>
      <c r="AUL198" s="234"/>
      <c r="AUM198" s="234"/>
      <c r="AUN198" s="234"/>
      <c r="AUO198" s="234"/>
      <c r="AUP198" s="234"/>
      <c r="AUQ198" s="234"/>
      <c r="AUR198" s="234"/>
      <c r="AUS198" s="234"/>
      <c r="AUT198" s="234"/>
      <c r="AUU198" s="234"/>
      <c r="AUV198" s="234"/>
      <c r="AUW198" s="234"/>
      <c r="AUX198" s="234"/>
      <c r="AUY198" s="234"/>
      <c r="AUZ198" s="234"/>
      <c r="AVA198" s="234"/>
      <c r="AVB198" s="234"/>
      <c r="AVC198" s="234"/>
      <c r="AVD198" s="234"/>
      <c r="AVE198" s="234"/>
      <c r="AVF198" s="234"/>
      <c r="AVG198" s="234"/>
      <c r="AVH198" s="234"/>
      <c r="AVI198" s="234"/>
      <c r="AVJ198" s="234"/>
      <c r="AVK198" s="234"/>
      <c r="AVL198" s="234"/>
      <c r="AVM198" s="234"/>
      <c r="AVN198" s="234"/>
      <c r="AVO198" s="234"/>
      <c r="AVP198" s="234"/>
      <c r="AVQ198" s="234"/>
      <c r="AVR198" s="234"/>
      <c r="AVS198" s="234"/>
      <c r="AVT198" s="234"/>
      <c r="AVU198" s="234"/>
      <c r="AVV198" s="234"/>
      <c r="AVW198" s="234"/>
      <c r="AVX198" s="234"/>
      <c r="AVY198" s="234"/>
      <c r="AVZ198" s="234"/>
      <c r="AWA198" s="234"/>
      <c r="AWB198" s="234"/>
      <c r="AWC198" s="234"/>
      <c r="AWD198" s="234"/>
      <c r="AWE198" s="234"/>
      <c r="AWF198" s="234"/>
      <c r="AWG198" s="234"/>
      <c r="AWH198" s="234"/>
      <c r="AWI198" s="234"/>
      <c r="AWJ198" s="234"/>
      <c r="AWK198" s="234"/>
      <c r="AWL198" s="234"/>
      <c r="AWM198" s="234"/>
      <c r="AWN198" s="234"/>
      <c r="AWO198" s="234"/>
      <c r="AWP198" s="234"/>
      <c r="AWQ198" s="234"/>
      <c r="AWR198" s="234"/>
      <c r="AWS198" s="234"/>
      <c r="AWT198" s="234"/>
      <c r="AWU198" s="234"/>
      <c r="AWV198" s="234"/>
      <c r="AWW198" s="234"/>
      <c r="AWX198" s="234"/>
      <c r="AWY198" s="234"/>
      <c r="AWZ198" s="234"/>
      <c r="AXA198" s="234"/>
      <c r="AXB198" s="234"/>
      <c r="AXC198" s="234"/>
      <c r="AXD198" s="234"/>
      <c r="AXE198" s="234"/>
      <c r="AXF198" s="234"/>
      <c r="AXG198" s="234"/>
      <c r="AXH198" s="234"/>
      <c r="AXI198" s="234"/>
      <c r="AXJ198" s="234"/>
      <c r="AXK198" s="234"/>
      <c r="AXL198" s="234"/>
      <c r="AXM198" s="234"/>
      <c r="AXN198" s="234"/>
      <c r="AXO198" s="234"/>
      <c r="AXP198" s="234"/>
      <c r="AXQ198" s="234"/>
      <c r="AXR198" s="234"/>
      <c r="AXS198" s="234"/>
      <c r="AXT198" s="234"/>
      <c r="AXU198" s="234"/>
      <c r="AXV198" s="234"/>
      <c r="AXW198" s="234"/>
      <c r="AXX198" s="234"/>
      <c r="AXY198" s="234"/>
      <c r="AXZ198" s="234"/>
      <c r="AYA198" s="234"/>
      <c r="AYB198" s="234"/>
      <c r="AYC198" s="234"/>
      <c r="AYD198" s="234"/>
      <c r="AYE198" s="234"/>
      <c r="AYF198" s="234"/>
      <c r="AYG198" s="234"/>
      <c r="AYH198" s="234"/>
      <c r="AYI198" s="234"/>
      <c r="AYJ198" s="234"/>
      <c r="AYK198" s="234"/>
      <c r="AYL198" s="234"/>
      <c r="AYM198" s="234"/>
      <c r="AYN198" s="234"/>
      <c r="AYO198" s="234"/>
      <c r="AYP198" s="234"/>
      <c r="AYQ198" s="234"/>
      <c r="AYR198" s="234"/>
      <c r="AYS198" s="234"/>
      <c r="AYT198" s="234"/>
      <c r="AYU198" s="234"/>
      <c r="AYV198" s="234"/>
      <c r="AYW198" s="234"/>
      <c r="AYX198" s="234"/>
      <c r="AYY198" s="234"/>
      <c r="AYZ198" s="234"/>
      <c r="AZA198" s="234"/>
      <c r="AZB198" s="234"/>
      <c r="AZC198" s="234"/>
      <c r="AZD198" s="234"/>
      <c r="AZE198" s="234"/>
      <c r="AZF198" s="234"/>
      <c r="AZG198" s="234"/>
      <c r="AZH198" s="234"/>
      <c r="AZI198" s="234"/>
      <c r="AZJ198" s="234"/>
      <c r="AZK198" s="234"/>
      <c r="AZL198" s="234"/>
      <c r="AZM198" s="234"/>
      <c r="AZN198" s="234"/>
      <c r="AZO198" s="234"/>
      <c r="AZP198" s="234"/>
      <c r="AZQ198" s="234"/>
      <c r="AZR198" s="234"/>
      <c r="AZS198" s="234"/>
      <c r="AZT198" s="234"/>
      <c r="AZU198" s="234"/>
      <c r="AZV198" s="234"/>
      <c r="AZW198" s="234"/>
      <c r="AZX198" s="234"/>
      <c r="AZY198" s="234"/>
      <c r="AZZ198" s="234"/>
      <c r="BAA198" s="234"/>
      <c r="BAB198" s="234"/>
      <c r="BAC198" s="234"/>
      <c r="BAD198" s="234"/>
      <c r="BAE198" s="234"/>
      <c r="BAF198" s="234"/>
      <c r="BAG198" s="234"/>
      <c r="BAH198" s="234"/>
      <c r="BAI198" s="234"/>
      <c r="BAJ198" s="234"/>
      <c r="BAK198" s="234"/>
      <c r="BAL198" s="234"/>
      <c r="BAM198" s="234"/>
      <c r="BAN198" s="234"/>
      <c r="BAO198" s="234"/>
      <c r="BAP198" s="234"/>
      <c r="BAQ198" s="234"/>
      <c r="BAR198" s="234"/>
      <c r="BAS198" s="234"/>
      <c r="BAT198" s="234"/>
      <c r="BAU198" s="234"/>
      <c r="BAV198" s="234"/>
      <c r="BAW198" s="234"/>
      <c r="BAX198" s="234"/>
      <c r="BAY198" s="234"/>
      <c r="BAZ198" s="234"/>
      <c r="BBA198" s="234"/>
      <c r="BBB198" s="234"/>
      <c r="BBC198" s="234"/>
      <c r="BBD198" s="234"/>
      <c r="BBE198" s="234"/>
      <c r="BBF198" s="234"/>
      <c r="BBG198" s="234"/>
      <c r="BBH198" s="234"/>
      <c r="BBI198" s="234"/>
      <c r="BBJ198" s="234"/>
      <c r="BBK198" s="234"/>
      <c r="BBL198" s="234"/>
      <c r="BBM198" s="234"/>
      <c r="BBN198" s="234"/>
      <c r="BBO198" s="234"/>
      <c r="BBP198" s="234"/>
      <c r="BBQ198" s="234"/>
      <c r="BBR198" s="234"/>
      <c r="BBS198" s="234"/>
      <c r="BBT198" s="234"/>
      <c r="BBU198" s="234"/>
      <c r="BBV198" s="234"/>
      <c r="BBW198" s="234"/>
      <c r="BBX198" s="234"/>
      <c r="BBY198" s="234"/>
      <c r="BBZ198" s="234"/>
      <c r="BCA198" s="234"/>
      <c r="BCB198" s="234"/>
      <c r="BCC198" s="234"/>
      <c r="BCD198" s="234"/>
      <c r="BCE198" s="234"/>
      <c r="BCF198" s="234"/>
      <c r="BCG198" s="234"/>
      <c r="BCH198" s="234"/>
      <c r="BCI198" s="234"/>
      <c r="BCJ198" s="234"/>
      <c r="BCK198" s="234"/>
      <c r="BCL198" s="234"/>
      <c r="BCM198" s="234"/>
      <c r="BCN198" s="234"/>
      <c r="BCO198" s="234"/>
      <c r="BCP198" s="234"/>
      <c r="BCQ198" s="234"/>
      <c r="BCR198" s="234"/>
      <c r="BCS198" s="234"/>
      <c r="BCT198" s="234"/>
      <c r="BCU198" s="234"/>
      <c r="BCV198" s="234"/>
      <c r="BCW198" s="234"/>
      <c r="BCX198" s="234"/>
      <c r="BCY198" s="234"/>
      <c r="BCZ198" s="234"/>
      <c r="BDA198" s="234"/>
      <c r="BDB198" s="234"/>
      <c r="BDC198" s="234"/>
      <c r="BDD198" s="234"/>
      <c r="BDE198" s="234"/>
      <c r="BDF198" s="234"/>
      <c r="BDG198" s="234"/>
      <c r="BDH198" s="234"/>
      <c r="BDI198" s="234"/>
      <c r="BDJ198" s="234"/>
      <c r="BDK198" s="234"/>
      <c r="BDL198" s="234"/>
      <c r="BDM198" s="234"/>
      <c r="BDN198" s="234"/>
      <c r="BDO198" s="234"/>
      <c r="BDP198" s="234"/>
      <c r="BDQ198" s="234"/>
      <c r="BDR198" s="234"/>
      <c r="BDS198" s="234"/>
      <c r="BDT198" s="234"/>
      <c r="BDU198" s="234"/>
      <c r="BDV198" s="234"/>
      <c r="BDW198" s="234"/>
      <c r="BDX198" s="234"/>
      <c r="BDY198" s="234"/>
      <c r="BDZ198" s="234"/>
      <c r="BEA198" s="234"/>
      <c r="BEB198" s="234"/>
      <c r="BEC198" s="234"/>
      <c r="BED198" s="234"/>
      <c r="BEE198" s="234"/>
      <c r="BEF198" s="234"/>
      <c r="BEG198" s="234"/>
      <c r="BEH198" s="234"/>
      <c r="BEI198" s="234"/>
      <c r="BEJ198" s="234"/>
      <c r="BEK198" s="234"/>
      <c r="BEL198" s="234"/>
      <c r="BEM198" s="234"/>
      <c r="BEN198" s="234"/>
      <c r="BEO198" s="234"/>
      <c r="BEP198" s="234"/>
      <c r="BEQ198" s="234"/>
      <c r="BER198" s="234"/>
      <c r="BES198" s="234"/>
      <c r="BET198" s="234"/>
      <c r="BEU198" s="234"/>
      <c r="BEV198" s="234"/>
      <c r="BEW198" s="234"/>
      <c r="BEX198" s="234"/>
      <c r="BEY198" s="234"/>
      <c r="BEZ198" s="234"/>
      <c r="BFA198" s="234"/>
      <c r="BFB198" s="234"/>
      <c r="BFC198" s="234"/>
      <c r="BFD198" s="234"/>
      <c r="BFE198" s="234"/>
      <c r="BFF198" s="234"/>
      <c r="BFG198" s="234"/>
      <c r="BFH198" s="234"/>
      <c r="BFI198" s="234"/>
      <c r="BFJ198" s="234"/>
      <c r="BFK198" s="234"/>
      <c r="BFL198" s="234"/>
      <c r="BFM198" s="234"/>
      <c r="BFN198" s="234"/>
      <c r="BFO198" s="234"/>
      <c r="BFP198" s="234"/>
      <c r="BFQ198" s="234"/>
      <c r="BFR198" s="234"/>
      <c r="BFS198" s="234"/>
      <c r="BFT198" s="234"/>
      <c r="BFU198" s="234"/>
      <c r="BFV198" s="234"/>
      <c r="BFW198" s="234"/>
      <c r="BFX198" s="234"/>
      <c r="BFY198" s="234"/>
      <c r="BFZ198" s="234"/>
      <c r="BGA198" s="234"/>
      <c r="BGB198" s="234"/>
      <c r="BGC198" s="234"/>
      <c r="BGD198" s="234"/>
      <c r="BGE198" s="234"/>
      <c r="BGF198" s="234"/>
      <c r="BGG198" s="234"/>
      <c r="BGH198" s="234"/>
      <c r="BGI198" s="234"/>
      <c r="BGJ198" s="234"/>
      <c r="BGK198" s="234"/>
      <c r="BGL198" s="234"/>
      <c r="BGM198" s="234"/>
      <c r="BGN198" s="234"/>
      <c r="BGO198" s="234"/>
      <c r="BGP198" s="234"/>
      <c r="BGQ198" s="234"/>
      <c r="BGR198" s="234"/>
      <c r="BGS198" s="234"/>
      <c r="BGT198" s="234"/>
      <c r="BGU198" s="234"/>
      <c r="BGV198" s="234"/>
      <c r="BGW198" s="234"/>
      <c r="BGX198" s="234"/>
      <c r="BGY198" s="234"/>
      <c r="BGZ198" s="234"/>
      <c r="BHA198" s="234"/>
      <c r="BHB198" s="234"/>
      <c r="BHC198" s="234"/>
      <c r="BHD198" s="234"/>
      <c r="BHE198" s="234"/>
      <c r="BHF198" s="234"/>
      <c r="BHG198" s="234"/>
      <c r="BHH198" s="234"/>
      <c r="BHI198" s="234"/>
      <c r="BHJ198" s="234"/>
      <c r="BHK198" s="234"/>
      <c r="BHL198" s="234"/>
      <c r="BHM198" s="234"/>
      <c r="BHN198" s="234"/>
      <c r="BHO198" s="234"/>
      <c r="BHP198" s="234"/>
      <c r="BHQ198" s="234"/>
      <c r="BHR198" s="234"/>
      <c r="BHS198" s="234"/>
      <c r="BHT198" s="234"/>
      <c r="BHU198" s="234"/>
      <c r="BHV198" s="234"/>
      <c r="BHW198" s="234"/>
      <c r="BHX198" s="234"/>
      <c r="BHY198" s="234"/>
      <c r="BHZ198" s="234"/>
      <c r="BIA198" s="234"/>
      <c r="BIB198" s="234"/>
      <c r="BIC198" s="234"/>
      <c r="BID198" s="234"/>
      <c r="BIE198" s="234"/>
      <c r="BIF198" s="234"/>
      <c r="BIG198" s="234"/>
      <c r="BIH198" s="234"/>
      <c r="BII198" s="234"/>
      <c r="BIJ198" s="234"/>
      <c r="BIK198" s="234"/>
      <c r="BIL198" s="234"/>
      <c r="BIM198" s="234"/>
      <c r="BIN198" s="234"/>
      <c r="BIO198" s="234"/>
      <c r="BIP198" s="234"/>
      <c r="BIQ198" s="234"/>
      <c r="BIR198" s="234"/>
      <c r="BIS198" s="234"/>
      <c r="BIT198" s="234"/>
      <c r="BIU198" s="234"/>
      <c r="BIV198" s="234"/>
      <c r="BIW198" s="234"/>
      <c r="BIX198" s="234"/>
      <c r="BIY198" s="234"/>
      <c r="BIZ198" s="234"/>
      <c r="BJA198" s="234"/>
      <c r="BJB198" s="234"/>
      <c r="BJC198" s="234"/>
      <c r="BJD198" s="234"/>
      <c r="BJE198" s="234"/>
      <c r="BJF198" s="234"/>
      <c r="BJG198" s="234"/>
      <c r="BJH198" s="234"/>
      <c r="BJI198" s="234"/>
      <c r="BJJ198" s="234"/>
      <c r="BJK198" s="234"/>
      <c r="BJL198" s="234"/>
      <c r="BJM198" s="234"/>
      <c r="BJN198" s="234"/>
      <c r="BJO198" s="234"/>
      <c r="BJP198" s="234"/>
      <c r="BJQ198" s="234"/>
      <c r="BJR198" s="234"/>
      <c r="BJS198" s="234"/>
      <c r="BJT198" s="234"/>
      <c r="BJU198" s="234"/>
      <c r="BJV198" s="234"/>
      <c r="BJW198" s="234"/>
      <c r="BJX198" s="234"/>
      <c r="BJY198" s="234"/>
      <c r="BJZ198" s="234"/>
      <c r="BKA198" s="234"/>
      <c r="BKB198" s="234"/>
      <c r="BKC198" s="234"/>
      <c r="BKD198" s="234"/>
      <c r="BKE198" s="234"/>
      <c r="BKF198" s="234"/>
      <c r="BKG198" s="234"/>
      <c r="BKH198" s="234"/>
      <c r="BKI198" s="234"/>
      <c r="BKJ198" s="234"/>
      <c r="BKK198" s="234"/>
      <c r="BKL198" s="234"/>
      <c r="BKM198" s="234"/>
      <c r="BKN198" s="234"/>
      <c r="BKO198" s="234"/>
      <c r="BKP198" s="234"/>
      <c r="BKQ198" s="234"/>
      <c r="BKR198" s="234"/>
      <c r="BKS198" s="234"/>
      <c r="BKT198" s="234"/>
      <c r="BKU198" s="234"/>
      <c r="BKV198" s="234"/>
      <c r="BKW198" s="234"/>
      <c r="BKX198" s="234"/>
      <c r="BKY198" s="234"/>
      <c r="BKZ198" s="234"/>
      <c r="BLA198" s="234"/>
      <c r="BLB198" s="234"/>
      <c r="BLC198" s="234"/>
      <c r="BLD198" s="234"/>
      <c r="BLE198" s="234"/>
      <c r="BLF198" s="234"/>
      <c r="BLG198" s="234"/>
      <c r="BLH198" s="234"/>
      <c r="BLI198" s="234"/>
      <c r="BLJ198" s="234"/>
      <c r="BLK198" s="234"/>
      <c r="BLL198" s="234"/>
      <c r="BLM198" s="234"/>
      <c r="BLN198" s="234"/>
      <c r="BLO198" s="234"/>
      <c r="BLP198" s="234"/>
      <c r="BLQ198" s="234"/>
      <c r="BLR198" s="234"/>
      <c r="BLS198" s="234"/>
      <c r="BLT198" s="234"/>
      <c r="BLU198" s="234"/>
      <c r="BLV198" s="234"/>
      <c r="BLW198" s="234"/>
      <c r="BLX198" s="234"/>
      <c r="BLY198" s="234"/>
      <c r="BLZ198" s="234"/>
      <c r="BMA198" s="234"/>
      <c r="BMB198" s="234"/>
      <c r="BMC198" s="234"/>
      <c r="BMD198" s="234"/>
      <c r="BME198" s="234"/>
      <c r="BMF198" s="234"/>
      <c r="BMG198" s="234"/>
      <c r="BMH198" s="234"/>
      <c r="BMI198" s="234"/>
      <c r="BMJ198" s="234"/>
      <c r="BMK198" s="234"/>
      <c r="BML198" s="234"/>
      <c r="BMM198" s="234"/>
      <c r="BMN198" s="234"/>
      <c r="BMO198" s="234"/>
      <c r="BMP198" s="234"/>
      <c r="BMQ198" s="234"/>
      <c r="BMR198" s="234"/>
      <c r="BMS198" s="234"/>
      <c r="BMT198" s="234"/>
      <c r="BMU198" s="234"/>
      <c r="BMV198" s="234"/>
      <c r="BMW198" s="234"/>
      <c r="BMX198" s="234"/>
      <c r="BMY198" s="234"/>
      <c r="BMZ198" s="234"/>
      <c r="BNA198" s="234"/>
      <c r="BNB198" s="234"/>
      <c r="BNC198" s="234"/>
      <c r="BND198" s="234"/>
      <c r="BNE198" s="234"/>
      <c r="BNF198" s="234"/>
      <c r="BNG198" s="234"/>
      <c r="BNH198" s="234"/>
      <c r="BNI198" s="234"/>
      <c r="BNJ198" s="234"/>
      <c r="BNK198" s="234"/>
      <c r="BNL198" s="234"/>
      <c r="BNM198" s="234"/>
      <c r="BNN198" s="234"/>
      <c r="BNO198" s="234"/>
      <c r="BNP198" s="234"/>
      <c r="BNQ198" s="234"/>
      <c r="BNR198" s="234"/>
      <c r="BNS198" s="234"/>
      <c r="BNT198" s="234"/>
      <c r="BNU198" s="234"/>
      <c r="BNV198" s="234"/>
      <c r="BNW198" s="234"/>
      <c r="BNX198" s="234"/>
      <c r="BNY198" s="234"/>
      <c r="BNZ198" s="234"/>
      <c r="BOA198" s="234"/>
      <c r="BOB198" s="234"/>
      <c r="BOC198" s="234"/>
      <c r="BOD198" s="234"/>
      <c r="BOE198" s="234"/>
      <c r="BOF198" s="234"/>
      <c r="BOG198" s="234"/>
      <c r="BOH198" s="234"/>
      <c r="BOI198" s="234"/>
      <c r="BOJ198" s="234"/>
      <c r="BOK198" s="234"/>
      <c r="BOL198" s="234"/>
      <c r="BOM198" s="234"/>
      <c r="BON198" s="234"/>
      <c r="BOO198" s="234"/>
      <c r="BOP198" s="234"/>
      <c r="BOQ198" s="234"/>
      <c r="BOR198" s="234"/>
      <c r="BOS198" s="234"/>
      <c r="BOT198" s="234"/>
      <c r="BOU198" s="234"/>
      <c r="BOV198" s="234"/>
      <c r="BOW198" s="234"/>
      <c r="BOX198" s="234"/>
      <c r="BOY198" s="234"/>
      <c r="BOZ198" s="234"/>
      <c r="BPA198" s="234"/>
      <c r="BPB198" s="234"/>
      <c r="BPC198" s="234"/>
      <c r="BPD198" s="234"/>
      <c r="BPE198" s="234"/>
      <c r="BPF198" s="234"/>
      <c r="BPG198" s="234"/>
      <c r="BPH198" s="234"/>
      <c r="BPI198" s="234"/>
      <c r="BPJ198" s="234"/>
      <c r="BPK198" s="234"/>
      <c r="BPL198" s="234"/>
      <c r="BPM198" s="234"/>
      <c r="BPN198" s="234"/>
      <c r="BPO198" s="234"/>
      <c r="BPP198" s="234"/>
      <c r="BPQ198" s="234"/>
      <c r="BPR198" s="234"/>
      <c r="BPS198" s="234"/>
      <c r="BPT198" s="234"/>
      <c r="BPU198" s="234"/>
      <c r="BPV198" s="234"/>
      <c r="BPW198" s="234"/>
      <c r="BPX198" s="234"/>
      <c r="BPY198" s="234"/>
      <c r="BPZ198" s="234"/>
      <c r="BQA198" s="234"/>
      <c r="BQB198" s="234"/>
      <c r="BQC198" s="234"/>
      <c r="BQD198" s="234"/>
      <c r="BQE198" s="234"/>
      <c r="BQF198" s="234"/>
      <c r="BQG198" s="234"/>
      <c r="BQH198" s="234"/>
      <c r="BQI198" s="234"/>
      <c r="BQJ198" s="234"/>
      <c r="BQK198" s="234"/>
      <c r="BQL198" s="234"/>
      <c r="BQM198" s="234"/>
      <c r="BQN198" s="234"/>
      <c r="BQO198" s="234"/>
      <c r="BQP198" s="234"/>
      <c r="BQQ198" s="234"/>
      <c r="BQR198" s="234"/>
      <c r="BQS198" s="234"/>
      <c r="BQT198" s="234"/>
      <c r="BQU198" s="234"/>
      <c r="BQV198" s="234"/>
      <c r="BQW198" s="234"/>
      <c r="BQX198" s="234"/>
      <c r="BQY198" s="234"/>
      <c r="BQZ198" s="234"/>
      <c r="BRA198" s="234"/>
      <c r="BRB198" s="234"/>
      <c r="BRC198" s="234"/>
      <c r="BRD198" s="234"/>
      <c r="BRE198" s="234"/>
      <c r="BRF198" s="234"/>
      <c r="BRG198" s="234"/>
      <c r="BRH198" s="234"/>
      <c r="BRI198" s="234"/>
      <c r="BRJ198" s="234"/>
      <c r="BRK198" s="234"/>
      <c r="BRL198" s="234"/>
      <c r="BRM198" s="234"/>
      <c r="BRN198" s="234"/>
      <c r="BRO198" s="234"/>
      <c r="BRP198" s="234"/>
      <c r="BRQ198" s="234"/>
      <c r="BRR198" s="234"/>
      <c r="BRS198" s="234"/>
      <c r="BRT198" s="234"/>
      <c r="BRU198" s="234"/>
      <c r="BRV198" s="234"/>
      <c r="BRW198" s="234"/>
      <c r="BRX198" s="234"/>
      <c r="BRY198" s="234"/>
      <c r="BRZ198" s="234"/>
      <c r="BSA198" s="234"/>
      <c r="BSB198" s="234"/>
      <c r="BSC198" s="234"/>
      <c r="BSD198" s="234"/>
      <c r="BSE198" s="234"/>
      <c r="BSF198" s="234"/>
      <c r="BSG198" s="234"/>
      <c r="BSH198" s="234"/>
      <c r="BSI198" s="234"/>
      <c r="BSJ198" s="234"/>
      <c r="BSK198" s="234"/>
      <c r="BSL198" s="234"/>
      <c r="BSM198" s="234"/>
      <c r="BSN198" s="234"/>
      <c r="BSO198" s="234"/>
      <c r="BSP198" s="234"/>
      <c r="BSQ198" s="234"/>
      <c r="BSR198" s="234"/>
      <c r="BSS198" s="234"/>
      <c r="BST198" s="234"/>
      <c r="BSU198" s="234"/>
      <c r="BSV198" s="234"/>
      <c r="BSW198" s="234"/>
      <c r="BSX198" s="234"/>
      <c r="BSY198" s="234"/>
      <c r="BSZ198" s="234"/>
      <c r="BTA198" s="234"/>
      <c r="BTB198" s="234"/>
      <c r="BTC198" s="234"/>
      <c r="BTD198" s="234"/>
      <c r="BTE198" s="234"/>
      <c r="BTF198" s="234"/>
      <c r="BTG198" s="234"/>
      <c r="BTH198" s="234"/>
      <c r="BTI198" s="234"/>
      <c r="BTJ198" s="234"/>
      <c r="BTK198" s="234"/>
      <c r="BTL198" s="234"/>
      <c r="BTM198" s="234"/>
      <c r="BTN198" s="234"/>
      <c r="BTO198" s="234"/>
      <c r="BTP198" s="234"/>
      <c r="BTQ198" s="234"/>
      <c r="BTR198" s="234"/>
      <c r="BTS198" s="234"/>
      <c r="BTT198" s="234"/>
      <c r="BTU198" s="234"/>
      <c r="BTV198" s="234"/>
      <c r="BTW198" s="234"/>
      <c r="BTX198" s="234"/>
      <c r="BTY198" s="234"/>
      <c r="BTZ198" s="234"/>
      <c r="BUA198" s="234"/>
      <c r="BUB198" s="234"/>
      <c r="BUC198" s="234"/>
      <c r="BUD198" s="234"/>
      <c r="BUE198" s="234"/>
      <c r="BUF198" s="234"/>
      <c r="BUG198" s="234"/>
      <c r="BUH198" s="234"/>
      <c r="BUI198" s="234"/>
      <c r="BUJ198" s="234"/>
      <c r="BUK198" s="234"/>
      <c r="BUL198" s="234"/>
      <c r="BUM198" s="234"/>
      <c r="BUN198" s="234"/>
      <c r="BUO198" s="234"/>
      <c r="BUP198" s="234"/>
      <c r="BUQ198" s="234"/>
      <c r="BUR198" s="234"/>
      <c r="BUS198" s="234"/>
      <c r="BUT198" s="234"/>
      <c r="BUU198" s="234"/>
      <c r="BUV198" s="234"/>
      <c r="BUW198" s="234"/>
      <c r="BUX198" s="234"/>
      <c r="BUY198" s="234"/>
      <c r="BUZ198" s="234"/>
      <c r="BVA198" s="234"/>
      <c r="BVB198" s="234"/>
      <c r="BVC198" s="234"/>
      <c r="BVD198" s="234"/>
      <c r="BVE198" s="234"/>
      <c r="BVF198" s="234"/>
      <c r="BVG198" s="234"/>
      <c r="BVH198" s="234"/>
      <c r="BVI198" s="234"/>
      <c r="BVJ198" s="234"/>
      <c r="BVK198" s="234"/>
      <c r="BVL198" s="234"/>
      <c r="BVM198" s="234"/>
      <c r="BVN198" s="234"/>
      <c r="BVO198" s="234"/>
      <c r="BVP198" s="234"/>
      <c r="BVQ198" s="234"/>
      <c r="BVR198" s="234"/>
      <c r="BVS198" s="234"/>
      <c r="BVT198" s="234"/>
      <c r="BVU198" s="234"/>
      <c r="BVV198" s="234"/>
      <c r="BVW198" s="234"/>
      <c r="BVX198" s="234"/>
      <c r="BVY198" s="234"/>
      <c r="BVZ198" s="234"/>
      <c r="BWA198" s="234"/>
      <c r="BWB198" s="234"/>
      <c r="BWC198" s="234"/>
      <c r="BWD198" s="234"/>
      <c r="BWE198" s="234"/>
      <c r="BWF198" s="234"/>
      <c r="BWG198" s="234"/>
      <c r="BWH198" s="234"/>
      <c r="BWI198" s="234"/>
      <c r="BWJ198" s="234"/>
      <c r="BWK198" s="234"/>
      <c r="BWL198" s="234"/>
      <c r="BWM198" s="234"/>
      <c r="BWN198" s="234"/>
      <c r="BWO198" s="234"/>
      <c r="BWP198" s="234"/>
      <c r="BWQ198" s="234"/>
      <c r="BWR198" s="234"/>
      <c r="BWS198" s="234"/>
      <c r="BWT198" s="234"/>
      <c r="BWU198" s="234"/>
      <c r="BWV198" s="234"/>
      <c r="BWW198" s="234"/>
      <c r="BWX198" s="234"/>
      <c r="BWY198" s="234"/>
      <c r="BWZ198" s="234"/>
      <c r="BXA198" s="234"/>
      <c r="BXB198" s="234"/>
      <c r="BXC198" s="234"/>
      <c r="BXD198" s="234"/>
      <c r="BXE198" s="234"/>
      <c r="BXF198" s="234"/>
      <c r="BXG198" s="234"/>
      <c r="BXH198" s="234"/>
      <c r="BXI198" s="234"/>
      <c r="BXJ198" s="234"/>
      <c r="BXK198" s="234"/>
      <c r="BXL198" s="234"/>
      <c r="BXM198" s="234"/>
      <c r="BXN198" s="234"/>
      <c r="BXO198" s="234"/>
      <c r="BXP198" s="234"/>
      <c r="BXQ198" s="234"/>
      <c r="BXR198" s="234"/>
      <c r="BXS198" s="234"/>
      <c r="BXT198" s="234"/>
      <c r="BXU198" s="234"/>
      <c r="BXV198" s="234"/>
      <c r="BXW198" s="234"/>
      <c r="BXX198" s="234"/>
      <c r="BXY198" s="234"/>
      <c r="BXZ198" s="234"/>
      <c r="BYA198" s="234"/>
      <c r="BYB198" s="234"/>
      <c r="BYC198" s="234"/>
      <c r="BYD198" s="234"/>
      <c r="BYE198" s="234"/>
      <c r="BYF198" s="234"/>
      <c r="BYG198" s="234"/>
      <c r="BYH198" s="234"/>
      <c r="BYI198" s="234"/>
      <c r="BYJ198" s="234"/>
      <c r="BYK198" s="234"/>
      <c r="BYL198" s="234"/>
      <c r="BYM198" s="234"/>
      <c r="BYN198" s="234"/>
      <c r="BYO198" s="234"/>
      <c r="BYP198" s="234"/>
      <c r="BYQ198" s="234"/>
      <c r="BYR198" s="234"/>
      <c r="BYS198" s="234"/>
      <c r="BYT198" s="234"/>
      <c r="BYU198" s="234"/>
      <c r="BYV198" s="234"/>
      <c r="BYW198" s="234"/>
      <c r="BYX198" s="234"/>
      <c r="BYY198" s="234"/>
      <c r="BYZ198" s="234"/>
      <c r="BZA198" s="234"/>
      <c r="BZB198" s="234"/>
      <c r="BZC198" s="234"/>
      <c r="BZD198" s="234"/>
      <c r="BZE198" s="234"/>
      <c r="BZF198" s="234"/>
      <c r="BZG198" s="234"/>
      <c r="BZH198" s="234"/>
      <c r="BZI198" s="234"/>
      <c r="BZJ198" s="234"/>
      <c r="BZK198" s="234"/>
      <c r="BZL198" s="234"/>
      <c r="BZM198" s="234"/>
      <c r="BZN198" s="234"/>
      <c r="BZO198" s="234"/>
      <c r="BZP198" s="234"/>
      <c r="BZQ198" s="234"/>
      <c r="BZR198" s="234"/>
      <c r="BZS198" s="234"/>
      <c r="BZT198" s="234"/>
      <c r="BZU198" s="234"/>
      <c r="BZV198" s="234"/>
      <c r="BZW198" s="234"/>
      <c r="BZX198" s="234"/>
      <c r="BZY198" s="234"/>
      <c r="BZZ198" s="234"/>
      <c r="CAA198" s="234"/>
      <c r="CAB198" s="234"/>
      <c r="CAC198" s="234"/>
      <c r="CAD198" s="234"/>
      <c r="CAE198" s="234"/>
      <c r="CAF198" s="234"/>
      <c r="CAG198" s="234"/>
      <c r="CAH198" s="234"/>
      <c r="CAI198" s="234"/>
      <c r="CAJ198" s="234"/>
      <c r="CAK198" s="234"/>
      <c r="CAL198" s="234"/>
      <c r="CAM198" s="234"/>
      <c r="CAN198" s="234"/>
      <c r="CAO198" s="234"/>
      <c r="CAP198" s="234"/>
      <c r="CAQ198" s="234"/>
      <c r="CAR198" s="234"/>
      <c r="CAS198" s="234"/>
      <c r="CAT198" s="234"/>
      <c r="CAU198" s="234"/>
      <c r="CAV198" s="234"/>
      <c r="CAW198" s="234"/>
      <c r="CAX198" s="234"/>
      <c r="CAY198" s="234"/>
      <c r="CAZ198" s="234"/>
      <c r="CBA198" s="234"/>
      <c r="CBB198" s="234"/>
      <c r="CBC198" s="234"/>
      <c r="CBD198" s="234"/>
      <c r="CBE198" s="234"/>
      <c r="CBF198" s="234"/>
      <c r="CBG198" s="234"/>
      <c r="CBH198" s="234"/>
      <c r="CBI198" s="234"/>
      <c r="CBJ198" s="234"/>
      <c r="CBK198" s="234"/>
      <c r="CBL198" s="234"/>
      <c r="CBM198" s="234"/>
      <c r="CBN198" s="234"/>
      <c r="CBO198" s="234"/>
      <c r="CBP198" s="234"/>
      <c r="CBQ198" s="234"/>
      <c r="CBR198" s="234"/>
      <c r="CBS198" s="234"/>
      <c r="CBT198" s="234"/>
      <c r="CBU198" s="234"/>
      <c r="CBV198" s="234"/>
      <c r="CBW198" s="234"/>
      <c r="CBX198" s="234"/>
      <c r="CBY198" s="234"/>
      <c r="CBZ198" s="234"/>
      <c r="CCA198" s="234"/>
      <c r="CCB198" s="234"/>
      <c r="CCC198" s="234"/>
      <c r="CCD198" s="234"/>
      <c r="CCE198" s="234"/>
      <c r="CCF198" s="234"/>
      <c r="CCG198" s="234"/>
      <c r="CCH198" s="234"/>
      <c r="CCI198" s="234"/>
      <c r="CCJ198" s="234"/>
      <c r="CCK198" s="234"/>
      <c r="CCL198" s="234"/>
      <c r="CCM198" s="234"/>
      <c r="CCN198" s="234"/>
      <c r="CCO198" s="234"/>
      <c r="CCP198" s="234"/>
      <c r="CCQ198" s="234"/>
      <c r="CCR198" s="234"/>
      <c r="CCS198" s="234"/>
      <c r="CCT198" s="234"/>
      <c r="CCU198" s="234"/>
      <c r="CCV198" s="234"/>
      <c r="CCW198" s="234"/>
      <c r="CCX198" s="234"/>
      <c r="CCY198" s="234"/>
      <c r="CCZ198" s="234"/>
      <c r="CDA198" s="234"/>
      <c r="CDB198" s="234"/>
      <c r="CDC198" s="234"/>
      <c r="CDD198" s="234"/>
      <c r="CDE198" s="234"/>
      <c r="CDF198" s="234"/>
      <c r="CDG198" s="234"/>
      <c r="CDH198" s="234"/>
      <c r="CDI198" s="234"/>
      <c r="CDJ198" s="234"/>
      <c r="CDK198" s="234"/>
      <c r="CDL198" s="234"/>
      <c r="CDM198" s="234"/>
      <c r="CDN198" s="234"/>
      <c r="CDO198" s="234"/>
      <c r="CDP198" s="234"/>
      <c r="CDQ198" s="234"/>
      <c r="CDR198" s="234"/>
      <c r="CDS198" s="234"/>
      <c r="CDT198" s="234"/>
      <c r="CDU198" s="234"/>
      <c r="CDV198" s="234"/>
      <c r="CDW198" s="234"/>
      <c r="CDX198" s="234"/>
      <c r="CDY198" s="234"/>
      <c r="CDZ198" s="234"/>
      <c r="CEA198" s="234"/>
      <c r="CEB198" s="234"/>
      <c r="CEC198" s="234"/>
      <c r="CED198" s="234"/>
      <c r="CEE198" s="234"/>
      <c r="CEF198" s="234"/>
      <c r="CEG198" s="234"/>
      <c r="CEH198" s="234"/>
      <c r="CEI198" s="234"/>
      <c r="CEJ198" s="234"/>
      <c r="CEK198" s="234"/>
      <c r="CEL198" s="234"/>
      <c r="CEM198" s="234"/>
      <c r="CEN198" s="234"/>
      <c r="CEO198" s="234"/>
      <c r="CEP198" s="234"/>
      <c r="CEQ198" s="234"/>
      <c r="CER198" s="234"/>
      <c r="CES198" s="234"/>
      <c r="CET198" s="234"/>
      <c r="CEU198" s="234"/>
      <c r="CEV198" s="234"/>
      <c r="CEW198" s="234"/>
      <c r="CEX198" s="234"/>
      <c r="CEY198" s="234"/>
      <c r="CEZ198" s="234"/>
      <c r="CFA198" s="234"/>
      <c r="CFB198" s="234"/>
      <c r="CFC198" s="234"/>
      <c r="CFD198" s="234"/>
      <c r="CFE198" s="234"/>
      <c r="CFF198" s="234"/>
      <c r="CFG198" s="234"/>
      <c r="CFH198" s="234"/>
      <c r="CFI198" s="234"/>
      <c r="CFJ198" s="234"/>
      <c r="CFK198" s="234"/>
      <c r="CFL198" s="234"/>
      <c r="CFM198" s="234"/>
      <c r="CFN198" s="234"/>
      <c r="CFO198" s="234"/>
      <c r="CFP198" s="234"/>
      <c r="CFQ198" s="234"/>
      <c r="CFR198" s="234"/>
      <c r="CFS198" s="234"/>
      <c r="CFT198" s="234"/>
      <c r="CFU198" s="234"/>
      <c r="CFV198" s="234"/>
      <c r="CFW198" s="234"/>
      <c r="CFX198" s="234"/>
      <c r="CFY198" s="234"/>
      <c r="CFZ198" s="234"/>
      <c r="CGA198" s="234"/>
      <c r="CGB198" s="234"/>
      <c r="CGC198" s="234"/>
      <c r="CGD198" s="234"/>
      <c r="CGE198" s="234"/>
      <c r="CGF198" s="234"/>
      <c r="CGG198" s="234"/>
      <c r="CGH198" s="234"/>
      <c r="CGI198" s="234"/>
      <c r="CGJ198" s="234"/>
      <c r="CGK198" s="234"/>
      <c r="CGL198" s="234"/>
      <c r="CGM198" s="234"/>
      <c r="CGN198" s="234"/>
      <c r="CGO198" s="234"/>
      <c r="CGP198" s="234"/>
      <c r="CGQ198" s="234"/>
      <c r="CGR198" s="234"/>
      <c r="CGS198" s="234"/>
      <c r="CGT198" s="234"/>
      <c r="CGU198" s="234"/>
      <c r="CGV198" s="234"/>
      <c r="CGW198" s="234"/>
      <c r="CGX198" s="234"/>
      <c r="CGY198" s="234"/>
      <c r="CGZ198" s="234"/>
      <c r="CHA198" s="234"/>
      <c r="CHB198" s="234"/>
      <c r="CHC198" s="234"/>
      <c r="CHD198" s="234"/>
      <c r="CHE198" s="234"/>
      <c r="CHF198" s="234"/>
      <c r="CHG198" s="234"/>
      <c r="CHH198" s="234"/>
      <c r="CHI198" s="234"/>
      <c r="CHJ198" s="234"/>
      <c r="CHK198" s="234"/>
      <c r="CHL198" s="234"/>
      <c r="CHM198" s="234"/>
      <c r="CHN198" s="234"/>
      <c r="CHO198" s="234"/>
      <c r="CHP198" s="234"/>
      <c r="CHQ198" s="234"/>
      <c r="CHR198" s="234"/>
      <c r="CHS198" s="234"/>
      <c r="CHT198" s="234"/>
      <c r="CHU198" s="234"/>
      <c r="CHV198" s="234"/>
      <c r="CHW198" s="234"/>
      <c r="CHX198" s="234"/>
      <c r="CHY198" s="234"/>
      <c r="CHZ198" s="234"/>
      <c r="CIA198" s="234"/>
      <c r="CIB198" s="234"/>
      <c r="CIC198" s="234"/>
      <c r="CID198" s="234"/>
      <c r="CIE198" s="234"/>
      <c r="CIF198" s="234"/>
      <c r="CIG198" s="234"/>
      <c r="CIH198" s="234"/>
      <c r="CII198" s="234"/>
      <c r="CIJ198" s="234"/>
      <c r="CIK198" s="234"/>
      <c r="CIL198" s="234"/>
      <c r="CIM198" s="234"/>
      <c r="CIN198" s="234"/>
      <c r="CIO198" s="234"/>
      <c r="CIP198" s="234"/>
      <c r="CIQ198" s="234"/>
      <c r="CIR198" s="234"/>
      <c r="CIS198" s="234"/>
      <c r="CIT198" s="234"/>
      <c r="CIU198" s="234"/>
      <c r="CIV198" s="234"/>
      <c r="CIW198" s="234"/>
      <c r="CIX198" s="234"/>
      <c r="CIY198" s="234"/>
      <c r="CIZ198" s="234"/>
      <c r="CJA198" s="234"/>
      <c r="CJB198" s="234"/>
      <c r="CJC198" s="234"/>
      <c r="CJD198" s="234"/>
      <c r="CJE198" s="234"/>
      <c r="CJF198" s="234"/>
      <c r="CJG198" s="234"/>
      <c r="CJH198" s="234"/>
      <c r="CJI198" s="234"/>
      <c r="CJJ198" s="234"/>
      <c r="CJK198" s="234"/>
      <c r="CJL198" s="234"/>
      <c r="CJM198" s="234"/>
      <c r="CJN198" s="234"/>
      <c r="CJO198" s="234"/>
      <c r="CJP198" s="234"/>
      <c r="CJQ198" s="234"/>
      <c r="CJR198" s="234"/>
      <c r="CJS198" s="234"/>
      <c r="CJT198" s="234"/>
      <c r="CJU198" s="234"/>
      <c r="CJV198" s="234"/>
      <c r="CJW198" s="234"/>
      <c r="CJX198" s="234"/>
      <c r="CJY198" s="234"/>
      <c r="CJZ198" s="234"/>
      <c r="CKA198" s="234"/>
      <c r="CKB198" s="234"/>
      <c r="CKC198" s="234"/>
      <c r="CKD198" s="234"/>
      <c r="CKE198" s="234"/>
      <c r="CKF198" s="234"/>
      <c r="CKG198" s="234"/>
      <c r="CKH198" s="234"/>
      <c r="CKI198" s="234"/>
      <c r="CKJ198" s="234"/>
      <c r="CKK198" s="234"/>
      <c r="CKL198" s="234"/>
      <c r="CKM198" s="234"/>
      <c r="CKN198" s="234"/>
      <c r="CKO198" s="234"/>
      <c r="CKP198" s="234"/>
      <c r="CKQ198" s="234"/>
      <c r="CKR198" s="234"/>
      <c r="CKS198" s="234"/>
      <c r="CKT198" s="234"/>
      <c r="CKU198" s="234"/>
      <c r="CKV198" s="234"/>
      <c r="CKW198" s="234"/>
      <c r="CKX198" s="234"/>
      <c r="CKY198" s="234"/>
      <c r="CKZ198" s="234"/>
      <c r="CLA198" s="234"/>
      <c r="CLB198" s="234"/>
      <c r="CLC198" s="234"/>
      <c r="CLD198" s="234"/>
      <c r="CLE198" s="234"/>
      <c r="CLF198" s="234"/>
      <c r="CLG198" s="234"/>
      <c r="CLH198" s="234"/>
      <c r="CLI198" s="234"/>
      <c r="CLJ198" s="234"/>
      <c r="CLK198" s="234"/>
      <c r="CLL198" s="234"/>
      <c r="CLM198" s="234"/>
      <c r="CLN198" s="234"/>
      <c r="CLO198" s="234"/>
      <c r="CLP198" s="234"/>
      <c r="CLQ198" s="234"/>
      <c r="CLR198" s="234"/>
      <c r="CLS198" s="234"/>
      <c r="CLT198" s="234"/>
      <c r="CLU198" s="234"/>
      <c r="CLV198" s="234"/>
      <c r="CLW198" s="234"/>
      <c r="CLX198" s="234"/>
      <c r="CLY198" s="234"/>
      <c r="CLZ198" s="234"/>
      <c r="CMA198" s="234"/>
      <c r="CMB198" s="234"/>
      <c r="CMC198" s="234"/>
      <c r="CMD198" s="234"/>
      <c r="CME198" s="234"/>
      <c r="CMF198" s="234"/>
      <c r="CMG198" s="234"/>
      <c r="CMH198" s="234"/>
      <c r="CMI198" s="234"/>
      <c r="CMJ198" s="234"/>
      <c r="CMK198" s="234"/>
      <c r="CML198" s="234"/>
      <c r="CMM198" s="234"/>
      <c r="CMN198" s="234"/>
      <c r="CMO198" s="234"/>
      <c r="CMP198" s="234"/>
      <c r="CMQ198" s="234"/>
      <c r="CMR198" s="234"/>
      <c r="CMS198" s="234"/>
      <c r="CMT198" s="234"/>
      <c r="CMU198" s="234"/>
      <c r="CMV198" s="234"/>
      <c r="CMW198" s="234"/>
      <c r="CMX198" s="234"/>
      <c r="CMY198" s="234"/>
      <c r="CMZ198" s="234"/>
      <c r="CNA198" s="234"/>
      <c r="CNB198" s="234"/>
      <c r="CNC198" s="234"/>
      <c r="CND198" s="234"/>
      <c r="CNE198" s="234"/>
      <c r="CNF198" s="234"/>
      <c r="CNG198" s="234"/>
      <c r="CNH198" s="234"/>
      <c r="CNI198" s="234"/>
      <c r="CNJ198" s="234"/>
      <c r="CNK198" s="234"/>
      <c r="CNL198" s="234"/>
      <c r="CNM198" s="234"/>
      <c r="CNN198" s="234"/>
      <c r="CNO198" s="234"/>
      <c r="CNP198" s="234"/>
      <c r="CNQ198" s="234"/>
      <c r="CNR198" s="234"/>
      <c r="CNS198" s="234"/>
      <c r="CNT198" s="234"/>
      <c r="CNU198" s="234"/>
      <c r="CNV198" s="234"/>
      <c r="CNW198" s="234"/>
      <c r="CNX198" s="234"/>
      <c r="CNY198" s="234"/>
      <c r="CNZ198" s="234"/>
      <c r="COA198" s="234"/>
      <c r="COB198" s="234"/>
      <c r="COC198" s="234"/>
      <c r="COD198" s="234"/>
      <c r="COE198" s="234"/>
      <c r="COF198" s="234"/>
      <c r="COG198" s="234"/>
      <c r="COH198" s="234"/>
      <c r="COI198" s="234"/>
      <c r="COJ198" s="234"/>
      <c r="COK198" s="234"/>
      <c r="COL198" s="234"/>
      <c r="COM198" s="234"/>
      <c r="CON198" s="234"/>
      <c r="COO198" s="234"/>
      <c r="COP198" s="234"/>
      <c r="COQ198" s="234"/>
      <c r="COR198" s="234"/>
      <c r="COS198" s="234"/>
      <c r="COT198" s="234"/>
      <c r="COU198" s="234"/>
      <c r="COV198" s="234"/>
      <c r="COW198" s="234"/>
      <c r="COX198" s="234"/>
      <c r="COY198" s="234"/>
      <c r="COZ198" s="234"/>
      <c r="CPA198" s="234"/>
      <c r="CPB198" s="234"/>
      <c r="CPC198" s="234"/>
      <c r="CPD198" s="234"/>
      <c r="CPE198" s="234"/>
      <c r="CPF198" s="234"/>
      <c r="CPG198" s="234"/>
      <c r="CPH198" s="234"/>
      <c r="CPI198" s="234"/>
      <c r="CPJ198" s="234"/>
      <c r="CPK198" s="234"/>
      <c r="CPL198" s="234"/>
      <c r="CPM198" s="234"/>
      <c r="CPN198" s="234"/>
      <c r="CPO198" s="234"/>
      <c r="CPP198" s="234"/>
      <c r="CPQ198" s="234"/>
      <c r="CPR198" s="234"/>
      <c r="CPS198" s="234"/>
      <c r="CPT198" s="234"/>
      <c r="CPU198" s="234"/>
      <c r="CPV198" s="234"/>
      <c r="CPW198" s="234"/>
      <c r="CPX198" s="234"/>
      <c r="CPY198" s="234"/>
      <c r="CPZ198" s="234"/>
      <c r="CQA198" s="234"/>
      <c r="CQB198" s="234"/>
      <c r="CQC198" s="234"/>
      <c r="CQD198" s="234"/>
      <c r="CQE198" s="234"/>
      <c r="CQF198" s="234"/>
      <c r="CQG198" s="234"/>
      <c r="CQH198" s="234"/>
      <c r="CQI198" s="234"/>
      <c r="CQJ198" s="234"/>
      <c r="CQK198" s="234"/>
      <c r="CQL198" s="234"/>
      <c r="CQM198" s="234"/>
      <c r="CQN198" s="234"/>
      <c r="CQO198" s="234"/>
      <c r="CQP198" s="234"/>
      <c r="CQQ198" s="234"/>
      <c r="CQR198" s="234"/>
      <c r="CQS198" s="234"/>
      <c r="CQT198" s="234"/>
      <c r="CQU198" s="234"/>
      <c r="CQV198" s="234"/>
      <c r="CQW198" s="234"/>
      <c r="CQX198" s="234"/>
      <c r="CQY198" s="234"/>
      <c r="CQZ198" s="234"/>
      <c r="CRA198" s="234"/>
      <c r="CRB198" s="234"/>
      <c r="CRC198" s="234"/>
      <c r="CRD198" s="234"/>
      <c r="CRE198" s="234"/>
      <c r="CRF198" s="234"/>
      <c r="CRG198" s="234"/>
      <c r="CRH198" s="234"/>
      <c r="CRI198" s="234"/>
      <c r="CRJ198" s="234"/>
      <c r="CRK198" s="234"/>
      <c r="CRL198" s="234"/>
      <c r="CRM198" s="234"/>
      <c r="CRN198" s="234"/>
      <c r="CRO198" s="234"/>
      <c r="CRP198" s="234"/>
      <c r="CRQ198" s="234"/>
      <c r="CRR198" s="234"/>
      <c r="CRS198" s="234"/>
      <c r="CRT198" s="234"/>
      <c r="CRU198" s="234"/>
      <c r="CRV198" s="234"/>
      <c r="CRW198" s="234"/>
      <c r="CRX198" s="234"/>
      <c r="CRY198" s="234"/>
      <c r="CRZ198" s="234"/>
      <c r="CSA198" s="234"/>
      <c r="CSB198" s="234"/>
      <c r="CSC198" s="234"/>
      <c r="CSD198" s="234"/>
      <c r="CSE198" s="234"/>
      <c r="CSF198" s="234"/>
      <c r="CSG198" s="234"/>
      <c r="CSH198" s="234"/>
      <c r="CSI198" s="234"/>
      <c r="CSJ198" s="234"/>
      <c r="CSK198" s="234"/>
      <c r="CSL198" s="234"/>
      <c r="CSM198" s="234"/>
      <c r="CSN198" s="234"/>
      <c r="CSO198" s="234"/>
      <c r="CSP198" s="234"/>
      <c r="CSQ198" s="234"/>
      <c r="CSR198" s="234"/>
      <c r="CSS198" s="234"/>
      <c r="CST198" s="234"/>
      <c r="CSU198" s="234"/>
      <c r="CSV198" s="234"/>
      <c r="CSW198" s="234"/>
      <c r="CSX198" s="234"/>
      <c r="CSY198" s="234"/>
      <c r="CSZ198" s="234"/>
      <c r="CTA198" s="234"/>
      <c r="CTB198" s="234"/>
      <c r="CTC198" s="234"/>
      <c r="CTD198" s="234"/>
      <c r="CTE198" s="234"/>
      <c r="CTF198" s="234"/>
      <c r="CTG198" s="234"/>
      <c r="CTH198" s="234"/>
      <c r="CTI198" s="234"/>
      <c r="CTJ198" s="234"/>
      <c r="CTK198" s="234"/>
      <c r="CTL198" s="234"/>
      <c r="CTM198" s="234"/>
      <c r="CTN198" s="234"/>
      <c r="CTO198" s="234"/>
      <c r="CTP198" s="234"/>
      <c r="CTQ198" s="234"/>
      <c r="CTR198" s="234"/>
      <c r="CTS198" s="234"/>
      <c r="CTT198" s="234"/>
      <c r="CTU198" s="234"/>
      <c r="CTV198" s="234"/>
      <c r="CTW198" s="234"/>
      <c r="CTX198" s="234"/>
      <c r="CTY198" s="234"/>
      <c r="CTZ198" s="234"/>
      <c r="CUA198" s="234"/>
      <c r="CUB198" s="234"/>
      <c r="CUC198" s="234"/>
      <c r="CUD198" s="234"/>
      <c r="CUE198" s="234"/>
      <c r="CUF198" s="234"/>
      <c r="CUG198" s="234"/>
      <c r="CUH198" s="234"/>
      <c r="CUI198" s="234"/>
      <c r="CUJ198" s="234"/>
      <c r="CUK198" s="234"/>
      <c r="CUL198" s="234"/>
      <c r="CUM198" s="234"/>
      <c r="CUN198" s="234"/>
      <c r="CUO198" s="234"/>
      <c r="CUP198" s="234"/>
      <c r="CUQ198" s="234"/>
      <c r="CUR198" s="234"/>
      <c r="CUS198" s="234"/>
      <c r="CUT198" s="234"/>
      <c r="CUU198" s="234"/>
      <c r="CUV198" s="234"/>
      <c r="CUW198" s="234"/>
      <c r="CUX198" s="234"/>
      <c r="CUY198" s="234"/>
      <c r="CUZ198" s="234"/>
      <c r="CVA198" s="234"/>
      <c r="CVB198" s="234"/>
      <c r="CVC198" s="234"/>
      <c r="CVD198" s="234"/>
      <c r="CVE198" s="234"/>
      <c r="CVF198" s="234"/>
      <c r="CVG198" s="234"/>
      <c r="CVH198" s="234"/>
      <c r="CVI198" s="234"/>
      <c r="CVJ198" s="234"/>
      <c r="CVK198" s="234"/>
      <c r="CVL198" s="234"/>
      <c r="CVM198" s="234"/>
      <c r="CVN198" s="234"/>
      <c r="CVO198" s="234"/>
      <c r="CVP198" s="234"/>
      <c r="CVQ198" s="234"/>
      <c r="CVR198" s="234"/>
      <c r="CVS198" s="234"/>
      <c r="CVT198" s="234"/>
      <c r="CVU198" s="234"/>
      <c r="CVV198" s="234"/>
      <c r="CVW198" s="234"/>
      <c r="CVX198" s="234"/>
      <c r="CVY198" s="234"/>
      <c r="CVZ198" s="234"/>
      <c r="CWA198" s="234"/>
      <c r="CWB198" s="234"/>
      <c r="CWC198" s="234"/>
      <c r="CWD198" s="234"/>
      <c r="CWE198" s="234"/>
      <c r="CWF198" s="234"/>
      <c r="CWG198" s="234"/>
      <c r="CWH198" s="234"/>
      <c r="CWI198" s="234"/>
      <c r="CWJ198" s="234"/>
      <c r="CWK198" s="234"/>
      <c r="CWL198" s="234"/>
      <c r="CWM198" s="234"/>
      <c r="CWN198" s="234"/>
      <c r="CWO198" s="234"/>
      <c r="CWP198" s="234"/>
      <c r="CWQ198" s="234"/>
      <c r="CWR198" s="234"/>
      <c r="CWS198" s="234"/>
      <c r="CWT198" s="234"/>
      <c r="CWU198" s="234"/>
      <c r="CWV198" s="234"/>
      <c r="CWW198" s="234"/>
      <c r="CWX198" s="234"/>
      <c r="CWY198" s="234"/>
      <c r="CWZ198" s="234"/>
      <c r="CXA198" s="234"/>
      <c r="CXB198" s="234"/>
      <c r="CXC198" s="234"/>
      <c r="CXD198" s="234"/>
      <c r="CXE198" s="234"/>
      <c r="CXF198" s="234"/>
      <c r="CXG198" s="234"/>
      <c r="CXH198" s="234"/>
      <c r="CXI198" s="234"/>
      <c r="CXJ198" s="234"/>
      <c r="CXK198" s="234"/>
      <c r="CXL198" s="234"/>
      <c r="CXM198" s="234"/>
      <c r="CXN198" s="234"/>
      <c r="CXO198" s="234"/>
      <c r="CXP198" s="234"/>
      <c r="CXQ198" s="234"/>
      <c r="CXR198" s="234"/>
      <c r="CXS198" s="234"/>
      <c r="CXT198" s="234"/>
      <c r="CXU198" s="234"/>
      <c r="CXV198" s="234"/>
      <c r="CXW198" s="234"/>
      <c r="CXX198" s="234"/>
      <c r="CXY198" s="234"/>
      <c r="CXZ198" s="234"/>
      <c r="CYA198" s="234"/>
      <c r="CYB198" s="234"/>
      <c r="CYC198" s="234"/>
      <c r="CYD198" s="234"/>
      <c r="CYE198" s="234"/>
      <c r="CYF198" s="234"/>
      <c r="CYG198" s="234"/>
      <c r="CYH198" s="234"/>
      <c r="CYI198" s="234"/>
      <c r="CYJ198" s="234"/>
      <c r="CYK198" s="234"/>
      <c r="CYL198" s="234"/>
      <c r="CYM198" s="234"/>
      <c r="CYN198" s="234"/>
      <c r="CYO198" s="234"/>
      <c r="CYP198" s="234"/>
      <c r="CYQ198" s="234"/>
      <c r="CYR198" s="234"/>
      <c r="CYS198" s="234"/>
      <c r="CYT198" s="234"/>
      <c r="CYU198" s="234"/>
      <c r="CYV198" s="234"/>
      <c r="CYW198" s="234"/>
      <c r="CYX198" s="234"/>
      <c r="CYY198" s="234"/>
      <c r="CYZ198" s="234"/>
      <c r="CZA198" s="234"/>
      <c r="CZB198" s="234"/>
      <c r="CZC198" s="234"/>
      <c r="CZD198" s="234"/>
      <c r="CZE198" s="234"/>
      <c r="CZF198" s="234"/>
      <c r="CZG198" s="234"/>
      <c r="CZH198" s="234"/>
      <c r="CZI198" s="234"/>
      <c r="CZJ198" s="234"/>
      <c r="CZK198" s="234"/>
      <c r="CZL198" s="234"/>
      <c r="CZM198" s="234"/>
      <c r="CZN198" s="234"/>
      <c r="CZO198" s="234"/>
      <c r="CZP198" s="234"/>
      <c r="CZQ198" s="234"/>
      <c r="CZR198" s="234"/>
      <c r="CZS198" s="234"/>
      <c r="CZT198" s="234"/>
      <c r="CZU198" s="234"/>
      <c r="CZV198" s="234"/>
      <c r="CZW198" s="234"/>
      <c r="CZX198" s="234"/>
      <c r="CZY198" s="234"/>
      <c r="CZZ198" s="234"/>
      <c r="DAA198" s="234"/>
      <c r="DAB198" s="234"/>
      <c r="DAC198" s="234"/>
      <c r="DAD198" s="234"/>
      <c r="DAE198" s="234"/>
      <c r="DAF198" s="234"/>
      <c r="DAG198" s="234"/>
      <c r="DAH198" s="234"/>
      <c r="DAI198" s="234"/>
      <c r="DAJ198" s="234"/>
      <c r="DAK198" s="234"/>
      <c r="DAL198" s="234"/>
      <c r="DAM198" s="234"/>
      <c r="DAN198" s="234"/>
      <c r="DAO198" s="234"/>
      <c r="DAP198" s="234"/>
      <c r="DAQ198" s="234"/>
      <c r="DAR198" s="234"/>
      <c r="DAS198" s="234"/>
      <c r="DAT198" s="234"/>
      <c r="DAU198" s="234"/>
      <c r="DAV198" s="234"/>
      <c r="DAW198" s="234"/>
      <c r="DAX198" s="234"/>
      <c r="DAY198" s="234"/>
      <c r="DAZ198" s="234"/>
      <c r="DBA198" s="234"/>
      <c r="DBB198" s="234"/>
      <c r="DBC198" s="234"/>
      <c r="DBD198" s="234"/>
      <c r="DBE198" s="234"/>
      <c r="DBF198" s="234"/>
      <c r="DBG198" s="234"/>
      <c r="DBH198" s="234"/>
      <c r="DBI198" s="234"/>
      <c r="DBJ198" s="234"/>
      <c r="DBK198" s="234"/>
      <c r="DBL198" s="234"/>
      <c r="DBM198" s="234"/>
      <c r="DBN198" s="234"/>
      <c r="DBO198" s="234"/>
      <c r="DBP198" s="234"/>
      <c r="DBQ198" s="234"/>
      <c r="DBR198" s="234"/>
      <c r="DBS198" s="234"/>
      <c r="DBT198" s="234"/>
      <c r="DBU198" s="234"/>
      <c r="DBV198" s="234"/>
      <c r="DBW198" s="234"/>
      <c r="DBX198" s="234"/>
      <c r="DBY198" s="234"/>
      <c r="DBZ198" s="234"/>
      <c r="DCA198" s="234"/>
      <c r="DCB198" s="234"/>
      <c r="DCC198" s="234"/>
      <c r="DCD198" s="234"/>
      <c r="DCE198" s="234"/>
      <c r="DCF198" s="234"/>
      <c r="DCG198" s="234"/>
      <c r="DCH198" s="234"/>
      <c r="DCI198" s="234"/>
      <c r="DCJ198" s="234"/>
      <c r="DCK198" s="234"/>
      <c r="DCL198" s="234"/>
      <c r="DCM198" s="234"/>
      <c r="DCN198" s="234"/>
      <c r="DCO198" s="234"/>
      <c r="DCP198" s="234"/>
      <c r="DCQ198" s="234"/>
      <c r="DCR198" s="234"/>
      <c r="DCS198" s="234"/>
      <c r="DCT198" s="234"/>
      <c r="DCU198" s="234"/>
      <c r="DCV198" s="234"/>
      <c r="DCW198" s="234"/>
      <c r="DCX198" s="234"/>
      <c r="DCY198" s="234"/>
      <c r="DCZ198" s="234"/>
      <c r="DDA198" s="234"/>
      <c r="DDB198" s="234"/>
      <c r="DDC198" s="234"/>
      <c r="DDD198" s="234"/>
      <c r="DDE198" s="234"/>
      <c r="DDF198" s="234"/>
      <c r="DDG198" s="234"/>
      <c r="DDH198" s="234"/>
      <c r="DDI198" s="234"/>
      <c r="DDJ198" s="234"/>
      <c r="DDK198" s="234"/>
      <c r="DDL198" s="234"/>
      <c r="DDM198" s="234"/>
      <c r="DDN198" s="234"/>
      <c r="DDO198" s="234"/>
      <c r="DDP198" s="234"/>
      <c r="DDQ198" s="234"/>
      <c r="DDR198" s="234"/>
      <c r="DDS198" s="234"/>
      <c r="DDT198" s="234"/>
      <c r="DDU198" s="234"/>
      <c r="DDV198" s="234"/>
      <c r="DDW198" s="234"/>
      <c r="DDX198" s="234"/>
      <c r="DDY198" s="234"/>
      <c r="DDZ198" s="234"/>
      <c r="DEA198" s="234"/>
      <c r="DEB198" s="234"/>
      <c r="DEC198" s="234"/>
      <c r="DED198" s="234"/>
      <c r="DEE198" s="234"/>
      <c r="DEF198" s="234"/>
      <c r="DEG198" s="234"/>
      <c r="DEH198" s="234"/>
      <c r="DEI198" s="234"/>
      <c r="DEJ198" s="234"/>
      <c r="DEK198" s="234"/>
      <c r="DEL198" s="234"/>
      <c r="DEM198" s="234"/>
      <c r="DEN198" s="234"/>
      <c r="DEO198" s="234"/>
      <c r="DEP198" s="234"/>
      <c r="DEQ198" s="234"/>
      <c r="DER198" s="234"/>
      <c r="DES198" s="234"/>
      <c r="DET198" s="234"/>
      <c r="DEU198" s="234"/>
      <c r="DEV198" s="234"/>
      <c r="DEW198" s="234"/>
      <c r="DEX198" s="234"/>
      <c r="DEY198" s="234"/>
      <c r="DEZ198" s="234"/>
      <c r="DFA198" s="234"/>
      <c r="DFB198" s="234"/>
      <c r="DFC198" s="234"/>
      <c r="DFD198" s="234"/>
      <c r="DFE198" s="234"/>
      <c r="DFF198" s="234"/>
      <c r="DFG198" s="234"/>
      <c r="DFH198" s="234"/>
      <c r="DFI198" s="234"/>
      <c r="DFJ198" s="234"/>
      <c r="DFK198" s="234"/>
      <c r="DFL198" s="234"/>
      <c r="DFM198" s="234"/>
      <c r="DFN198" s="234"/>
      <c r="DFO198" s="234"/>
      <c r="DFP198" s="234"/>
      <c r="DFQ198" s="234"/>
      <c r="DFR198" s="234"/>
      <c r="DFS198" s="234"/>
      <c r="DFT198" s="234"/>
      <c r="DFU198" s="234"/>
      <c r="DFV198" s="234"/>
      <c r="DFW198" s="234"/>
      <c r="DFX198" s="234"/>
      <c r="DFY198" s="234"/>
      <c r="DFZ198" s="234"/>
      <c r="DGA198" s="234"/>
      <c r="DGB198" s="234"/>
      <c r="DGC198" s="234"/>
      <c r="DGD198" s="234"/>
      <c r="DGE198" s="234"/>
      <c r="DGF198" s="234"/>
      <c r="DGG198" s="234"/>
      <c r="DGH198" s="234"/>
      <c r="DGI198" s="234"/>
      <c r="DGJ198" s="234"/>
      <c r="DGK198" s="234"/>
      <c r="DGL198" s="234"/>
      <c r="DGM198" s="234"/>
      <c r="DGN198" s="234"/>
      <c r="DGO198" s="234"/>
      <c r="DGP198" s="234"/>
      <c r="DGQ198" s="234"/>
      <c r="DGR198" s="234"/>
      <c r="DGS198" s="234"/>
      <c r="DGT198" s="234"/>
      <c r="DGU198" s="234"/>
      <c r="DGV198" s="234"/>
      <c r="DGW198" s="234"/>
      <c r="DGX198" s="234"/>
      <c r="DGY198" s="234"/>
      <c r="DGZ198" s="234"/>
      <c r="DHA198" s="234"/>
      <c r="DHB198" s="234"/>
      <c r="DHC198" s="234"/>
      <c r="DHD198" s="234"/>
      <c r="DHE198" s="234"/>
      <c r="DHF198" s="234"/>
      <c r="DHG198" s="234"/>
      <c r="DHH198" s="234"/>
      <c r="DHI198" s="234"/>
      <c r="DHJ198" s="234"/>
      <c r="DHK198" s="234"/>
      <c r="DHL198" s="234"/>
      <c r="DHM198" s="234"/>
      <c r="DHN198" s="234"/>
      <c r="DHO198" s="234"/>
      <c r="DHP198" s="234"/>
      <c r="DHQ198" s="234"/>
      <c r="DHR198" s="234"/>
      <c r="DHS198" s="234"/>
      <c r="DHT198" s="234"/>
      <c r="DHU198" s="234"/>
      <c r="DHV198" s="234"/>
      <c r="DHW198" s="234"/>
      <c r="DHX198" s="234"/>
      <c r="DHY198" s="234"/>
      <c r="DHZ198" s="234"/>
      <c r="DIA198" s="234"/>
      <c r="DIB198" s="234"/>
      <c r="DIC198" s="234"/>
      <c r="DID198" s="234"/>
      <c r="DIE198" s="234"/>
      <c r="DIF198" s="234"/>
      <c r="DIG198" s="234"/>
      <c r="DIH198" s="234"/>
      <c r="DII198" s="234"/>
      <c r="DIJ198" s="234"/>
      <c r="DIK198" s="234"/>
      <c r="DIL198" s="234"/>
      <c r="DIM198" s="234"/>
      <c r="DIN198" s="234"/>
      <c r="DIO198" s="234"/>
      <c r="DIP198" s="234"/>
      <c r="DIQ198" s="234"/>
      <c r="DIR198" s="234"/>
      <c r="DIS198" s="234"/>
      <c r="DIT198" s="234"/>
      <c r="DIU198" s="234"/>
      <c r="DIV198" s="234"/>
      <c r="DIW198" s="234"/>
      <c r="DIX198" s="234"/>
      <c r="DIY198" s="234"/>
      <c r="DIZ198" s="234"/>
      <c r="DJA198" s="234"/>
      <c r="DJB198" s="234"/>
      <c r="DJC198" s="234"/>
      <c r="DJD198" s="234"/>
      <c r="DJE198" s="234"/>
      <c r="DJF198" s="234"/>
      <c r="DJG198" s="234"/>
      <c r="DJH198" s="234"/>
      <c r="DJI198" s="234"/>
      <c r="DJJ198" s="234"/>
      <c r="DJK198" s="234"/>
      <c r="DJL198" s="234"/>
      <c r="DJM198" s="234"/>
      <c r="DJN198" s="234"/>
      <c r="DJO198" s="234"/>
      <c r="DJP198" s="234"/>
      <c r="DJQ198" s="234"/>
      <c r="DJR198" s="234"/>
      <c r="DJS198" s="234"/>
      <c r="DJT198" s="234"/>
      <c r="DJU198" s="234"/>
      <c r="DJV198" s="234"/>
      <c r="DJW198" s="234"/>
      <c r="DJX198" s="234"/>
      <c r="DJY198" s="234"/>
      <c r="DJZ198" s="234"/>
      <c r="DKA198" s="234"/>
      <c r="DKB198" s="234"/>
      <c r="DKC198" s="234"/>
      <c r="DKD198" s="234"/>
      <c r="DKE198" s="234"/>
      <c r="DKF198" s="234"/>
      <c r="DKG198" s="234"/>
      <c r="DKH198" s="234"/>
      <c r="DKI198" s="234"/>
      <c r="DKJ198" s="234"/>
      <c r="DKK198" s="234"/>
      <c r="DKL198" s="234"/>
      <c r="DKM198" s="234"/>
      <c r="DKN198" s="234"/>
      <c r="DKO198" s="234"/>
      <c r="DKP198" s="234"/>
      <c r="DKQ198" s="234"/>
      <c r="DKR198" s="234"/>
      <c r="DKS198" s="234"/>
      <c r="DKT198" s="234"/>
      <c r="DKU198" s="234"/>
      <c r="DKV198" s="234"/>
      <c r="DKW198" s="234"/>
      <c r="DKX198" s="234"/>
      <c r="DKY198" s="234"/>
      <c r="DKZ198" s="234"/>
      <c r="DLA198" s="234"/>
      <c r="DLB198" s="234"/>
      <c r="DLC198" s="234"/>
      <c r="DLD198" s="234"/>
      <c r="DLE198" s="234"/>
      <c r="DLF198" s="234"/>
      <c r="DLG198" s="234"/>
      <c r="DLH198" s="234"/>
      <c r="DLI198" s="234"/>
      <c r="DLJ198" s="234"/>
      <c r="DLK198" s="234"/>
      <c r="DLL198" s="234"/>
      <c r="DLM198" s="234"/>
      <c r="DLN198" s="234"/>
      <c r="DLO198" s="234"/>
      <c r="DLP198" s="234"/>
      <c r="DLQ198" s="234"/>
      <c r="DLR198" s="234"/>
      <c r="DLS198" s="234"/>
      <c r="DLT198" s="234"/>
      <c r="DLU198" s="234"/>
      <c r="DLV198" s="234"/>
      <c r="DLW198" s="234"/>
      <c r="DLX198" s="234"/>
      <c r="DLY198" s="234"/>
      <c r="DLZ198" s="234"/>
      <c r="DMA198" s="234"/>
      <c r="DMB198" s="234"/>
      <c r="DMC198" s="234"/>
      <c r="DMD198" s="234"/>
      <c r="DME198" s="234"/>
      <c r="DMF198" s="234"/>
      <c r="DMG198" s="234"/>
      <c r="DMH198" s="234"/>
      <c r="DMI198" s="234"/>
      <c r="DMJ198" s="234"/>
      <c r="DMK198" s="234"/>
      <c r="DML198" s="234"/>
      <c r="DMM198" s="234"/>
      <c r="DMN198" s="234"/>
      <c r="DMO198" s="234"/>
      <c r="DMP198" s="234"/>
      <c r="DMQ198" s="234"/>
      <c r="DMR198" s="234"/>
      <c r="DMS198" s="234"/>
      <c r="DMT198" s="234"/>
      <c r="DMU198" s="234"/>
      <c r="DMV198" s="234"/>
      <c r="DMW198" s="234"/>
      <c r="DMX198" s="234"/>
      <c r="DMY198" s="234"/>
      <c r="DMZ198" s="234"/>
      <c r="DNA198" s="234"/>
      <c r="DNB198" s="234"/>
      <c r="DNC198" s="234"/>
      <c r="DND198" s="234"/>
      <c r="DNE198" s="234"/>
      <c r="DNF198" s="234"/>
      <c r="DNG198" s="234"/>
      <c r="DNH198" s="234"/>
      <c r="DNI198" s="234"/>
      <c r="DNJ198" s="234"/>
      <c r="DNK198" s="234"/>
      <c r="DNL198" s="234"/>
      <c r="DNM198" s="234"/>
      <c r="DNN198" s="234"/>
      <c r="DNO198" s="234"/>
      <c r="DNP198" s="234"/>
      <c r="DNQ198" s="234"/>
      <c r="DNR198" s="234"/>
      <c r="DNS198" s="234"/>
      <c r="DNT198" s="234"/>
      <c r="DNU198" s="234"/>
      <c r="DNV198" s="234"/>
      <c r="DNW198" s="234"/>
      <c r="DNX198" s="234"/>
      <c r="DNY198" s="234"/>
      <c r="DNZ198" s="234"/>
      <c r="DOA198" s="234"/>
      <c r="DOB198" s="234"/>
      <c r="DOC198" s="234"/>
      <c r="DOD198" s="234"/>
      <c r="DOE198" s="234"/>
      <c r="DOF198" s="234"/>
      <c r="DOG198" s="234"/>
      <c r="DOH198" s="234"/>
      <c r="DOI198" s="234"/>
      <c r="DOJ198" s="234"/>
      <c r="DOK198" s="234"/>
      <c r="DOL198" s="234"/>
      <c r="DOM198" s="234"/>
      <c r="DON198" s="234"/>
      <c r="DOO198" s="234"/>
      <c r="DOP198" s="234"/>
      <c r="DOQ198" s="234"/>
      <c r="DOR198" s="234"/>
      <c r="DOS198" s="234"/>
      <c r="DOT198" s="234"/>
      <c r="DOU198" s="234"/>
      <c r="DOV198" s="234"/>
      <c r="DOW198" s="234"/>
      <c r="DOX198" s="234"/>
      <c r="DOY198" s="234"/>
      <c r="DOZ198" s="234"/>
      <c r="DPA198" s="234"/>
      <c r="DPB198" s="234"/>
      <c r="DPC198" s="234"/>
      <c r="DPD198" s="234"/>
      <c r="DPE198" s="234"/>
      <c r="DPF198" s="234"/>
      <c r="DPG198" s="234"/>
      <c r="DPH198" s="234"/>
      <c r="DPI198" s="234"/>
      <c r="DPJ198" s="234"/>
      <c r="DPK198" s="234"/>
      <c r="DPL198" s="234"/>
      <c r="DPM198" s="234"/>
      <c r="DPN198" s="234"/>
      <c r="DPO198" s="234"/>
      <c r="DPP198" s="234"/>
      <c r="DPQ198" s="234"/>
      <c r="DPR198" s="234"/>
      <c r="DPS198" s="234"/>
      <c r="DPT198" s="234"/>
      <c r="DPU198" s="234"/>
      <c r="DPV198" s="234"/>
      <c r="DPW198" s="234"/>
      <c r="DPX198" s="234"/>
      <c r="DPY198" s="234"/>
      <c r="DPZ198" s="234"/>
      <c r="DQA198" s="234"/>
      <c r="DQB198" s="234"/>
      <c r="DQC198" s="234"/>
      <c r="DQD198" s="234"/>
      <c r="DQE198" s="234"/>
      <c r="DQF198" s="234"/>
      <c r="DQG198" s="234"/>
      <c r="DQH198" s="234"/>
      <c r="DQI198" s="234"/>
      <c r="DQJ198" s="234"/>
      <c r="DQK198" s="234"/>
      <c r="DQL198" s="234"/>
      <c r="DQM198" s="234"/>
      <c r="DQN198" s="234"/>
      <c r="DQO198" s="234"/>
      <c r="DQP198" s="234"/>
      <c r="DQQ198" s="234"/>
      <c r="DQR198" s="234"/>
      <c r="DQS198" s="234"/>
      <c r="DQT198" s="234"/>
      <c r="DQU198" s="234"/>
      <c r="DQV198" s="234"/>
      <c r="DQW198" s="234"/>
      <c r="DQX198" s="234"/>
      <c r="DQY198" s="234"/>
      <c r="DQZ198" s="234"/>
      <c r="DRA198" s="234"/>
      <c r="DRB198" s="234"/>
      <c r="DRC198" s="234"/>
      <c r="DRD198" s="234"/>
      <c r="DRE198" s="234"/>
      <c r="DRF198" s="234"/>
      <c r="DRG198" s="234"/>
      <c r="DRH198" s="234"/>
      <c r="DRI198" s="234"/>
      <c r="DRJ198" s="234"/>
      <c r="DRK198" s="234"/>
      <c r="DRL198" s="234"/>
      <c r="DRM198" s="234"/>
      <c r="DRN198" s="234"/>
      <c r="DRO198" s="234"/>
      <c r="DRP198" s="234"/>
      <c r="DRQ198" s="234"/>
      <c r="DRR198" s="234"/>
      <c r="DRS198" s="234"/>
      <c r="DRT198" s="234"/>
      <c r="DRU198" s="234"/>
      <c r="DRV198" s="234"/>
      <c r="DRW198" s="234"/>
      <c r="DRX198" s="234"/>
      <c r="DRY198" s="234"/>
      <c r="DRZ198" s="234"/>
      <c r="DSA198" s="234"/>
      <c r="DSB198" s="234"/>
      <c r="DSC198" s="234"/>
      <c r="DSD198" s="234"/>
      <c r="DSE198" s="234"/>
      <c r="DSF198" s="234"/>
      <c r="DSG198" s="234"/>
      <c r="DSH198" s="234"/>
      <c r="DSI198" s="234"/>
      <c r="DSJ198" s="234"/>
      <c r="DSK198" s="234"/>
      <c r="DSL198" s="234"/>
      <c r="DSM198" s="234"/>
      <c r="DSN198" s="234"/>
      <c r="DSO198" s="234"/>
      <c r="DSP198" s="234"/>
      <c r="DSQ198" s="234"/>
      <c r="DSR198" s="234"/>
      <c r="DSS198" s="234"/>
      <c r="DST198" s="234"/>
      <c r="DSU198" s="234"/>
      <c r="DSV198" s="234"/>
      <c r="DSW198" s="234"/>
      <c r="DSX198" s="234"/>
      <c r="DSY198" s="234"/>
      <c r="DSZ198" s="234"/>
      <c r="DTA198" s="234"/>
      <c r="DTB198" s="234"/>
      <c r="DTC198" s="234"/>
      <c r="DTD198" s="234"/>
      <c r="DTE198" s="234"/>
      <c r="DTF198" s="234"/>
      <c r="DTG198" s="234"/>
      <c r="DTH198" s="234"/>
      <c r="DTI198" s="234"/>
      <c r="DTJ198" s="234"/>
      <c r="DTK198" s="234"/>
      <c r="DTL198" s="234"/>
      <c r="DTM198" s="234"/>
      <c r="DTN198" s="234"/>
      <c r="DTO198" s="234"/>
      <c r="DTP198" s="234"/>
      <c r="DTQ198" s="234"/>
      <c r="DTR198" s="234"/>
      <c r="DTS198" s="234"/>
      <c r="DTT198" s="234"/>
      <c r="DTU198" s="234"/>
      <c r="DTV198" s="234"/>
      <c r="DTW198" s="234"/>
      <c r="DTX198" s="234"/>
      <c r="DTY198" s="234"/>
      <c r="DTZ198" s="234"/>
      <c r="DUA198" s="234"/>
      <c r="DUB198" s="234"/>
      <c r="DUC198" s="234"/>
      <c r="DUD198" s="234"/>
      <c r="DUE198" s="234"/>
      <c r="DUF198" s="234"/>
      <c r="DUG198" s="234"/>
      <c r="DUH198" s="234"/>
      <c r="DUI198" s="234"/>
      <c r="DUJ198" s="234"/>
      <c r="DUK198" s="234"/>
      <c r="DUL198" s="234"/>
      <c r="DUM198" s="234"/>
      <c r="DUN198" s="234"/>
      <c r="DUO198" s="234"/>
      <c r="DUP198" s="234"/>
      <c r="DUQ198" s="234"/>
      <c r="DUR198" s="234"/>
      <c r="DUS198" s="234"/>
      <c r="DUT198" s="234"/>
      <c r="DUU198" s="234"/>
      <c r="DUV198" s="234"/>
      <c r="DUW198" s="234"/>
      <c r="DUX198" s="234"/>
      <c r="DUY198" s="234"/>
      <c r="DUZ198" s="234"/>
      <c r="DVA198" s="234"/>
      <c r="DVB198" s="234"/>
      <c r="DVC198" s="234"/>
      <c r="DVD198" s="234"/>
      <c r="DVE198" s="234"/>
      <c r="DVF198" s="234"/>
      <c r="DVG198" s="234"/>
      <c r="DVH198" s="234"/>
      <c r="DVI198" s="234"/>
      <c r="DVJ198" s="234"/>
      <c r="DVK198" s="234"/>
      <c r="DVL198" s="234"/>
      <c r="DVM198" s="234"/>
      <c r="DVN198" s="234"/>
      <c r="DVO198" s="234"/>
      <c r="DVP198" s="234"/>
      <c r="DVQ198" s="234"/>
      <c r="DVR198" s="234"/>
      <c r="DVS198" s="234"/>
      <c r="DVT198" s="234"/>
      <c r="DVU198" s="234"/>
      <c r="DVV198" s="234"/>
      <c r="DVW198" s="234"/>
      <c r="DVX198" s="234"/>
      <c r="DVY198" s="234"/>
      <c r="DVZ198" s="234"/>
      <c r="DWA198" s="234"/>
      <c r="DWB198" s="234"/>
      <c r="DWC198" s="234"/>
      <c r="DWD198" s="234"/>
      <c r="DWE198" s="234"/>
      <c r="DWF198" s="234"/>
      <c r="DWG198" s="234"/>
      <c r="DWH198" s="234"/>
      <c r="DWI198" s="234"/>
      <c r="DWJ198" s="234"/>
      <c r="DWK198" s="234"/>
      <c r="DWL198" s="234"/>
      <c r="DWM198" s="234"/>
      <c r="DWN198" s="234"/>
      <c r="DWO198" s="234"/>
      <c r="DWP198" s="234"/>
      <c r="DWQ198" s="234"/>
      <c r="DWR198" s="234"/>
      <c r="DWS198" s="234"/>
      <c r="DWT198" s="234"/>
      <c r="DWU198" s="234"/>
      <c r="DWV198" s="234"/>
      <c r="DWW198" s="234"/>
      <c r="DWX198" s="234"/>
      <c r="DWY198" s="234"/>
      <c r="DWZ198" s="234"/>
      <c r="DXA198" s="234"/>
      <c r="DXB198" s="234"/>
      <c r="DXC198" s="234"/>
      <c r="DXD198" s="234"/>
      <c r="DXE198" s="234"/>
      <c r="DXF198" s="234"/>
      <c r="DXG198" s="234"/>
      <c r="DXH198" s="234"/>
      <c r="DXI198" s="234"/>
      <c r="DXJ198" s="234"/>
      <c r="DXK198" s="234"/>
      <c r="DXL198" s="234"/>
      <c r="DXM198" s="234"/>
      <c r="DXN198" s="234"/>
      <c r="DXO198" s="234"/>
      <c r="DXP198" s="234"/>
      <c r="DXQ198" s="234"/>
      <c r="DXR198" s="234"/>
      <c r="DXS198" s="234"/>
      <c r="DXT198" s="234"/>
      <c r="DXU198" s="234"/>
      <c r="DXV198" s="234"/>
      <c r="DXW198" s="234"/>
      <c r="DXX198" s="234"/>
      <c r="DXY198" s="234"/>
      <c r="DXZ198" s="234"/>
      <c r="DYA198" s="234"/>
      <c r="DYB198" s="234"/>
      <c r="DYC198" s="234"/>
      <c r="DYD198" s="234"/>
      <c r="DYE198" s="234"/>
      <c r="DYF198" s="234"/>
      <c r="DYG198" s="234"/>
      <c r="DYH198" s="234"/>
      <c r="DYI198" s="234"/>
      <c r="DYJ198" s="234"/>
      <c r="DYK198" s="234"/>
      <c r="DYL198" s="234"/>
      <c r="DYM198" s="234"/>
      <c r="DYN198" s="234"/>
      <c r="DYO198" s="234"/>
      <c r="DYP198" s="234"/>
      <c r="DYQ198" s="234"/>
      <c r="DYR198" s="234"/>
      <c r="DYS198" s="234"/>
      <c r="DYT198" s="234"/>
      <c r="DYU198" s="234"/>
      <c r="DYV198" s="234"/>
      <c r="DYW198" s="234"/>
      <c r="DYX198" s="234"/>
      <c r="DYY198" s="234"/>
      <c r="DYZ198" s="234"/>
      <c r="DZA198" s="234"/>
      <c r="DZB198" s="234"/>
      <c r="DZC198" s="234"/>
      <c r="DZD198" s="234"/>
      <c r="DZE198" s="234"/>
      <c r="DZF198" s="234"/>
      <c r="DZG198" s="234"/>
      <c r="DZH198" s="234"/>
      <c r="DZI198" s="234"/>
      <c r="DZJ198" s="234"/>
      <c r="DZK198" s="234"/>
      <c r="DZL198" s="234"/>
      <c r="DZM198" s="234"/>
      <c r="DZN198" s="234"/>
      <c r="DZO198" s="234"/>
      <c r="DZP198" s="234"/>
      <c r="DZQ198" s="234"/>
      <c r="DZR198" s="234"/>
      <c r="DZS198" s="234"/>
      <c r="DZT198" s="234"/>
      <c r="DZU198" s="234"/>
      <c r="DZV198" s="234"/>
      <c r="DZW198" s="234"/>
      <c r="DZX198" s="234"/>
      <c r="DZY198" s="234"/>
      <c r="DZZ198" s="234"/>
      <c r="EAA198" s="234"/>
      <c r="EAB198" s="234"/>
      <c r="EAC198" s="234"/>
      <c r="EAD198" s="234"/>
      <c r="EAE198" s="234"/>
      <c r="EAF198" s="234"/>
      <c r="EAG198" s="234"/>
      <c r="EAH198" s="234"/>
      <c r="EAI198" s="234"/>
      <c r="EAJ198" s="234"/>
      <c r="EAK198" s="234"/>
      <c r="EAL198" s="234"/>
      <c r="EAM198" s="234"/>
      <c r="EAN198" s="234"/>
      <c r="EAO198" s="234"/>
      <c r="EAP198" s="234"/>
      <c r="EAQ198" s="234"/>
      <c r="EAR198" s="234"/>
      <c r="EAS198" s="234"/>
      <c r="EAT198" s="234"/>
      <c r="EAU198" s="234"/>
      <c r="EAV198" s="234"/>
      <c r="EAW198" s="234"/>
      <c r="EAX198" s="234"/>
      <c r="EAY198" s="234"/>
      <c r="EAZ198" s="234"/>
      <c r="EBA198" s="234"/>
      <c r="EBB198" s="234"/>
      <c r="EBC198" s="234"/>
      <c r="EBD198" s="234"/>
      <c r="EBE198" s="234"/>
      <c r="EBF198" s="234"/>
      <c r="EBG198" s="234"/>
      <c r="EBH198" s="234"/>
      <c r="EBI198" s="234"/>
      <c r="EBJ198" s="234"/>
      <c r="EBK198" s="234"/>
      <c r="EBL198" s="234"/>
      <c r="EBM198" s="234"/>
      <c r="EBN198" s="234"/>
      <c r="EBO198" s="234"/>
      <c r="EBP198" s="234"/>
      <c r="EBQ198" s="234"/>
      <c r="EBR198" s="234"/>
      <c r="EBS198" s="234"/>
      <c r="EBT198" s="234"/>
      <c r="EBU198" s="234"/>
      <c r="EBV198" s="234"/>
      <c r="EBW198" s="234"/>
      <c r="EBX198" s="234"/>
      <c r="EBY198" s="234"/>
      <c r="EBZ198" s="234"/>
      <c r="ECA198" s="234"/>
      <c r="ECB198" s="234"/>
      <c r="ECC198" s="234"/>
      <c r="ECD198" s="234"/>
      <c r="ECE198" s="234"/>
      <c r="ECF198" s="234"/>
      <c r="ECG198" s="234"/>
      <c r="ECH198" s="234"/>
      <c r="ECI198" s="234"/>
      <c r="ECJ198" s="234"/>
      <c r="ECK198" s="234"/>
      <c r="ECL198" s="234"/>
      <c r="ECM198" s="234"/>
      <c r="ECN198" s="234"/>
      <c r="ECO198" s="234"/>
      <c r="ECP198" s="234"/>
      <c r="ECQ198" s="234"/>
      <c r="ECR198" s="234"/>
      <c r="ECS198" s="234"/>
      <c r="ECT198" s="234"/>
      <c r="ECU198" s="234"/>
      <c r="ECV198" s="234"/>
      <c r="ECW198" s="234"/>
      <c r="ECX198" s="234"/>
      <c r="ECY198" s="234"/>
      <c r="ECZ198" s="234"/>
      <c r="EDA198" s="234"/>
      <c r="EDB198" s="234"/>
      <c r="EDC198" s="234"/>
      <c r="EDD198" s="234"/>
      <c r="EDE198" s="234"/>
      <c r="EDF198" s="234"/>
      <c r="EDG198" s="234"/>
      <c r="EDH198" s="234"/>
      <c r="EDI198" s="234"/>
      <c r="EDJ198" s="234"/>
      <c r="EDK198" s="234"/>
      <c r="EDL198" s="234"/>
      <c r="EDM198" s="234"/>
      <c r="EDN198" s="234"/>
      <c r="EDO198" s="234"/>
      <c r="EDP198" s="234"/>
      <c r="EDQ198" s="234"/>
      <c r="EDR198" s="234"/>
      <c r="EDS198" s="234"/>
      <c r="EDT198" s="234"/>
      <c r="EDU198" s="234"/>
      <c r="EDV198" s="234"/>
      <c r="EDW198" s="234"/>
      <c r="EDX198" s="234"/>
      <c r="EDY198" s="234"/>
      <c r="EDZ198" s="234"/>
      <c r="EEA198" s="234"/>
      <c r="EEB198" s="234"/>
      <c r="EEC198" s="234"/>
      <c r="EED198" s="234"/>
      <c r="EEE198" s="234"/>
      <c r="EEF198" s="234"/>
      <c r="EEG198" s="234"/>
      <c r="EEH198" s="234"/>
      <c r="EEI198" s="234"/>
      <c r="EEJ198" s="234"/>
      <c r="EEK198" s="234"/>
      <c r="EEL198" s="234"/>
      <c r="EEM198" s="234"/>
      <c r="EEN198" s="234"/>
      <c r="EEO198" s="234"/>
      <c r="EEP198" s="234"/>
      <c r="EEQ198" s="234"/>
      <c r="EER198" s="234"/>
      <c r="EES198" s="234"/>
      <c r="EET198" s="234"/>
      <c r="EEU198" s="234"/>
      <c r="EEV198" s="234"/>
      <c r="EEW198" s="234"/>
      <c r="EEX198" s="234"/>
      <c r="EEY198" s="234"/>
      <c r="EEZ198" s="234"/>
      <c r="EFA198" s="234"/>
      <c r="EFB198" s="234"/>
      <c r="EFC198" s="234"/>
      <c r="EFD198" s="234"/>
      <c r="EFE198" s="234"/>
      <c r="EFF198" s="234"/>
      <c r="EFG198" s="234"/>
      <c r="EFH198" s="234"/>
      <c r="EFI198" s="234"/>
      <c r="EFJ198" s="234"/>
      <c r="EFK198" s="234"/>
      <c r="EFL198" s="234"/>
      <c r="EFM198" s="234"/>
      <c r="EFN198" s="234"/>
      <c r="EFO198" s="234"/>
      <c r="EFP198" s="234"/>
      <c r="EFQ198" s="234"/>
      <c r="EFR198" s="234"/>
      <c r="EFS198" s="234"/>
      <c r="EFT198" s="234"/>
      <c r="EFU198" s="234"/>
      <c r="EFV198" s="234"/>
      <c r="EFW198" s="234"/>
      <c r="EFX198" s="234"/>
      <c r="EFY198" s="234"/>
      <c r="EFZ198" s="234"/>
      <c r="EGA198" s="234"/>
      <c r="EGB198" s="234"/>
      <c r="EGC198" s="234"/>
      <c r="EGD198" s="234"/>
      <c r="EGE198" s="234"/>
      <c r="EGF198" s="234"/>
      <c r="EGG198" s="234"/>
      <c r="EGH198" s="234"/>
      <c r="EGI198" s="234"/>
      <c r="EGJ198" s="234"/>
      <c r="EGK198" s="234"/>
      <c r="EGL198" s="234"/>
      <c r="EGM198" s="234"/>
      <c r="EGN198" s="234"/>
      <c r="EGO198" s="234"/>
      <c r="EGP198" s="234"/>
      <c r="EGQ198" s="234"/>
      <c r="EGR198" s="234"/>
      <c r="EGS198" s="234"/>
      <c r="EGT198" s="234"/>
      <c r="EGU198" s="234"/>
      <c r="EGV198" s="234"/>
      <c r="EGW198" s="234"/>
      <c r="EGX198" s="234"/>
      <c r="EGY198" s="234"/>
      <c r="EGZ198" s="234"/>
      <c r="EHA198" s="234"/>
      <c r="EHB198" s="234"/>
      <c r="EHC198" s="234"/>
      <c r="EHD198" s="234"/>
      <c r="EHE198" s="234"/>
      <c r="EHF198" s="234"/>
      <c r="EHG198" s="234"/>
      <c r="EHH198" s="234"/>
      <c r="EHI198" s="234"/>
      <c r="EHJ198" s="234"/>
      <c r="EHK198" s="234"/>
      <c r="EHL198" s="234"/>
      <c r="EHM198" s="234"/>
      <c r="EHN198" s="234"/>
      <c r="EHO198" s="234"/>
      <c r="EHP198" s="234"/>
      <c r="EHQ198" s="234"/>
      <c r="EHR198" s="234"/>
      <c r="EHS198" s="234"/>
      <c r="EHT198" s="234"/>
      <c r="EHU198" s="234"/>
      <c r="EHV198" s="234"/>
      <c r="EHW198" s="234"/>
      <c r="EHX198" s="234"/>
      <c r="EHY198" s="234"/>
      <c r="EHZ198" s="234"/>
      <c r="EIA198" s="234"/>
      <c r="EIB198" s="234"/>
      <c r="EIC198" s="234"/>
      <c r="EID198" s="234"/>
      <c r="EIE198" s="234"/>
      <c r="EIF198" s="234"/>
      <c r="EIG198" s="234"/>
      <c r="EIH198" s="234"/>
      <c r="EII198" s="234"/>
      <c r="EIJ198" s="234"/>
      <c r="EIK198" s="234"/>
      <c r="EIL198" s="234"/>
      <c r="EIM198" s="234"/>
      <c r="EIN198" s="234"/>
      <c r="EIO198" s="234"/>
      <c r="EIP198" s="234"/>
      <c r="EIQ198" s="234"/>
      <c r="EIR198" s="234"/>
      <c r="EIS198" s="234"/>
      <c r="EIT198" s="234"/>
      <c r="EIU198" s="234"/>
      <c r="EIV198" s="234"/>
      <c r="EIW198" s="234"/>
      <c r="EIX198" s="234"/>
      <c r="EIY198" s="234"/>
      <c r="EIZ198" s="234"/>
      <c r="EJA198" s="234"/>
      <c r="EJB198" s="234"/>
      <c r="EJC198" s="234"/>
      <c r="EJD198" s="234"/>
      <c r="EJE198" s="234"/>
      <c r="EJF198" s="234"/>
      <c r="EJG198" s="234"/>
      <c r="EJH198" s="234"/>
      <c r="EJI198" s="234"/>
      <c r="EJJ198" s="234"/>
      <c r="EJK198" s="234"/>
      <c r="EJL198" s="234"/>
      <c r="EJM198" s="234"/>
      <c r="EJN198" s="234"/>
      <c r="EJO198" s="234"/>
      <c r="EJP198" s="234"/>
      <c r="EJQ198" s="234"/>
      <c r="EJR198" s="234"/>
      <c r="EJS198" s="234"/>
      <c r="EJT198" s="234"/>
      <c r="EJU198" s="234"/>
      <c r="EJV198" s="234"/>
      <c r="EJW198" s="234"/>
      <c r="EJX198" s="234"/>
      <c r="EJY198" s="234"/>
      <c r="EJZ198" s="234"/>
      <c r="EKA198" s="234"/>
      <c r="EKB198" s="234"/>
      <c r="EKC198" s="234"/>
      <c r="EKD198" s="234"/>
      <c r="EKE198" s="234"/>
      <c r="EKF198" s="234"/>
      <c r="EKG198" s="234"/>
      <c r="EKH198" s="234"/>
      <c r="EKI198" s="234"/>
      <c r="EKJ198" s="234"/>
      <c r="EKK198" s="234"/>
      <c r="EKL198" s="234"/>
      <c r="EKM198" s="234"/>
      <c r="EKN198" s="234"/>
      <c r="EKO198" s="234"/>
      <c r="EKP198" s="234"/>
      <c r="EKQ198" s="234"/>
      <c r="EKR198" s="234"/>
      <c r="EKS198" s="234"/>
      <c r="EKT198" s="234"/>
      <c r="EKU198" s="234"/>
      <c r="EKV198" s="234"/>
      <c r="EKW198" s="234"/>
      <c r="EKX198" s="234"/>
      <c r="EKY198" s="234"/>
      <c r="EKZ198" s="234"/>
      <c r="ELA198" s="234"/>
      <c r="ELB198" s="234"/>
      <c r="ELC198" s="234"/>
      <c r="ELD198" s="234"/>
      <c r="ELE198" s="234"/>
      <c r="ELF198" s="234"/>
      <c r="ELG198" s="234"/>
      <c r="ELH198" s="234"/>
      <c r="ELI198" s="234"/>
      <c r="ELJ198" s="234"/>
      <c r="ELK198" s="234"/>
      <c r="ELL198" s="234"/>
      <c r="ELM198" s="234"/>
      <c r="ELN198" s="234"/>
      <c r="ELO198" s="234"/>
      <c r="ELP198" s="234"/>
      <c r="ELQ198" s="234"/>
      <c r="ELR198" s="234"/>
      <c r="ELS198" s="234"/>
      <c r="ELT198" s="234"/>
      <c r="ELU198" s="234"/>
      <c r="ELV198" s="234"/>
      <c r="ELW198" s="234"/>
      <c r="ELX198" s="234"/>
      <c r="ELY198" s="234"/>
      <c r="ELZ198" s="234"/>
      <c r="EMA198" s="234"/>
      <c r="EMB198" s="234"/>
      <c r="EMC198" s="234"/>
      <c r="EMD198" s="234"/>
      <c r="EME198" s="234"/>
      <c r="EMF198" s="234"/>
      <c r="EMG198" s="234"/>
      <c r="EMH198" s="234"/>
      <c r="EMI198" s="234"/>
      <c r="EMJ198" s="234"/>
      <c r="EMK198" s="234"/>
      <c r="EML198" s="234"/>
      <c r="EMM198" s="234"/>
      <c r="EMN198" s="234"/>
      <c r="EMO198" s="234"/>
      <c r="EMP198" s="234"/>
      <c r="EMQ198" s="234"/>
      <c r="EMR198" s="234"/>
      <c r="EMS198" s="234"/>
      <c r="EMT198" s="234"/>
      <c r="EMU198" s="234"/>
      <c r="EMV198" s="234"/>
      <c r="EMW198" s="234"/>
      <c r="EMX198" s="234"/>
      <c r="EMY198" s="234"/>
      <c r="EMZ198" s="234"/>
      <c r="ENA198" s="234"/>
      <c r="ENB198" s="234"/>
      <c r="ENC198" s="234"/>
      <c r="END198" s="234"/>
      <c r="ENE198" s="234"/>
      <c r="ENF198" s="234"/>
      <c r="ENG198" s="234"/>
      <c r="ENH198" s="234"/>
      <c r="ENI198" s="234"/>
      <c r="ENJ198" s="234"/>
      <c r="ENK198" s="234"/>
      <c r="ENL198" s="234"/>
      <c r="ENM198" s="234"/>
      <c r="ENN198" s="234"/>
      <c r="ENO198" s="234"/>
      <c r="ENP198" s="234"/>
      <c r="ENQ198" s="234"/>
      <c r="ENR198" s="234"/>
      <c r="ENS198" s="234"/>
      <c r="ENT198" s="234"/>
      <c r="ENU198" s="234"/>
      <c r="ENV198" s="234"/>
      <c r="ENW198" s="234"/>
      <c r="ENX198" s="234"/>
      <c r="ENY198" s="234"/>
      <c r="ENZ198" s="234"/>
      <c r="EOA198" s="234"/>
      <c r="EOB198" s="234"/>
      <c r="EOC198" s="234"/>
      <c r="EOD198" s="234"/>
      <c r="EOE198" s="234"/>
      <c r="EOF198" s="234"/>
      <c r="EOG198" s="234"/>
      <c r="EOH198" s="234"/>
      <c r="EOI198" s="234"/>
      <c r="EOJ198" s="234"/>
      <c r="EOK198" s="234"/>
      <c r="EOL198" s="234"/>
      <c r="EOM198" s="234"/>
      <c r="EON198" s="234"/>
      <c r="EOO198" s="234"/>
      <c r="EOP198" s="234"/>
      <c r="EOQ198" s="234"/>
      <c r="EOR198" s="234"/>
      <c r="EOS198" s="234"/>
      <c r="EOT198" s="234"/>
      <c r="EOU198" s="234"/>
      <c r="EOV198" s="234"/>
      <c r="EOW198" s="234"/>
      <c r="EOX198" s="234"/>
      <c r="EOY198" s="234"/>
      <c r="EOZ198" s="234"/>
      <c r="EPA198" s="234"/>
      <c r="EPB198" s="234"/>
      <c r="EPC198" s="234"/>
      <c r="EPD198" s="234"/>
      <c r="EPE198" s="234"/>
      <c r="EPF198" s="234"/>
      <c r="EPG198" s="234"/>
      <c r="EPH198" s="234"/>
      <c r="EPI198" s="234"/>
      <c r="EPJ198" s="234"/>
      <c r="EPK198" s="234"/>
      <c r="EPL198" s="234"/>
      <c r="EPM198" s="234"/>
      <c r="EPN198" s="234"/>
      <c r="EPO198" s="234"/>
      <c r="EPP198" s="234"/>
      <c r="EPQ198" s="234"/>
      <c r="EPR198" s="234"/>
      <c r="EPS198" s="234"/>
      <c r="EPT198" s="234"/>
      <c r="EPU198" s="234"/>
      <c r="EPV198" s="234"/>
      <c r="EPW198" s="234"/>
      <c r="EPX198" s="234"/>
      <c r="EPY198" s="234"/>
      <c r="EPZ198" s="234"/>
      <c r="EQA198" s="234"/>
      <c r="EQB198" s="234"/>
      <c r="EQC198" s="234"/>
      <c r="EQD198" s="234"/>
      <c r="EQE198" s="234"/>
      <c r="EQF198" s="234"/>
      <c r="EQG198" s="234"/>
      <c r="EQH198" s="234"/>
      <c r="EQI198" s="234"/>
      <c r="EQJ198" s="234"/>
      <c r="EQK198" s="234"/>
      <c r="EQL198" s="234"/>
      <c r="EQM198" s="234"/>
      <c r="EQN198" s="234"/>
      <c r="EQO198" s="234"/>
      <c r="EQP198" s="234"/>
      <c r="EQQ198" s="234"/>
      <c r="EQR198" s="234"/>
      <c r="EQS198" s="234"/>
      <c r="EQT198" s="234"/>
      <c r="EQU198" s="234"/>
      <c r="EQV198" s="234"/>
      <c r="EQW198" s="234"/>
      <c r="EQX198" s="234"/>
      <c r="EQY198" s="234"/>
      <c r="EQZ198" s="234"/>
      <c r="ERA198" s="234"/>
      <c r="ERB198" s="234"/>
      <c r="ERC198" s="234"/>
      <c r="ERD198" s="234"/>
      <c r="ERE198" s="234"/>
      <c r="ERF198" s="234"/>
      <c r="ERG198" s="234"/>
      <c r="ERH198" s="234"/>
      <c r="ERI198" s="234"/>
      <c r="ERJ198" s="234"/>
      <c r="ERK198" s="234"/>
      <c r="ERL198" s="234"/>
      <c r="ERM198" s="234"/>
      <c r="ERN198" s="234"/>
      <c r="ERO198" s="234"/>
      <c r="ERP198" s="234"/>
      <c r="ERQ198" s="234"/>
      <c r="ERR198" s="234"/>
      <c r="ERS198" s="234"/>
      <c r="ERT198" s="234"/>
      <c r="ERU198" s="234"/>
      <c r="ERV198" s="234"/>
      <c r="ERW198" s="234"/>
      <c r="ERX198" s="234"/>
      <c r="ERY198" s="234"/>
      <c r="ERZ198" s="234"/>
      <c r="ESA198" s="234"/>
      <c r="ESB198" s="234"/>
      <c r="ESC198" s="234"/>
      <c r="ESD198" s="234"/>
      <c r="ESE198" s="234"/>
      <c r="ESF198" s="234"/>
      <c r="ESG198" s="234"/>
      <c r="ESH198" s="234"/>
      <c r="ESI198" s="234"/>
      <c r="ESJ198" s="234"/>
      <c r="ESK198" s="234"/>
      <c r="ESL198" s="234"/>
      <c r="ESM198" s="234"/>
      <c r="ESN198" s="234"/>
      <c r="ESO198" s="234"/>
      <c r="ESP198" s="234"/>
      <c r="ESQ198" s="234"/>
      <c r="ESR198" s="234"/>
      <c r="ESS198" s="234"/>
      <c r="EST198" s="234"/>
      <c r="ESU198" s="234"/>
      <c r="ESV198" s="234"/>
      <c r="ESW198" s="234"/>
      <c r="ESX198" s="234"/>
      <c r="ESY198" s="234"/>
      <c r="ESZ198" s="234"/>
      <c r="ETA198" s="234"/>
      <c r="ETB198" s="234"/>
      <c r="ETC198" s="234"/>
      <c r="ETD198" s="234"/>
      <c r="ETE198" s="234"/>
      <c r="ETF198" s="234"/>
      <c r="ETG198" s="234"/>
      <c r="ETH198" s="234"/>
      <c r="ETI198" s="234"/>
      <c r="ETJ198" s="234"/>
      <c r="ETK198" s="234"/>
      <c r="ETL198" s="234"/>
      <c r="ETM198" s="234"/>
      <c r="ETN198" s="234"/>
      <c r="ETO198" s="234"/>
      <c r="ETP198" s="234"/>
      <c r="ETQ198" s="234"/>
      <c r="ETR198" s="234"/>
      <c r="ETS198" s="234"/>
      <c r="ETT198" s="234"/>
      <c r="ETU198" s="234"/>
      <c r="ETV198" s="234"/>
      <c r="ETW198" s="234"/>
      <c r="ETX198" s="234"/>
      <c r="ETY198" s="234"/>
      <c r="ETZ198" s="234"/>
      <c r="EUA198" s="234"/>
      <c r="EUB198" s="234"/>
      <c r="EUC198" s="234"/>
      <c r="EUD198" s="234"/>
      <c r="EUE198" s="234"/>
      <c r="EUF198" s="234"/>
      <c r="EUG198" s="234"/>
      <c r="EUH198" s="234"/>
      <c r="EUI198" s="234"/>
      <c r="EUJ198" s="234"/>
      <c r="EUK198" s="234"/>
      <c r="EUL198" s="234"/>
      <c r="EUM198" s="234"/>
      <c r="EUN198" s="234"/>
      <c r="EUO198" s="234"/>
      <c r="EUP198" s="234"/>
      <c r="EUQ198" s="234"/>
      <c r="EUR198" s="234"/>
      <c r="EUS198" s="234"/>
      <c r="EUT198" s="234"/>
      <c r="EUU198" s="234"/>
      <c r="EUV198" s="234"/>
      <c r="EUW198" s="234"/>
      <c r="EUX198" s="234"/>
      <c r="EUY198" s="234"/>
      <c r="EUZ198" s="234"/>
      <c r="EVA198" s="234"/>
      <c r="EVB198" s="234"/>
      <c r="EVC198" s="234"/>
      <c r="EVD198" s="234"/>
      <c r="EVE198" s="234"/>
      <c r="EVF198" s="234"/>
      <c r="EVG198" s="234"/>
      <c r="EVH198" s="234"/>
      <c r="EVI198" s="234"/>
      <c r="EVJ198" s="234"/>
      <c r="EVK198" s="234"/>
      <c r="EVL198" s="234"/>
      <c r="EVM198" s="234"/>
      <c r="EVN198" s="234"/>
      <c r="EVO198" s="234"/>
      <c r="EVP198" s="234"/>
      <c r="EVQ198" s="234"/>
      <c r="EVR198" s="234"/>
      <c r="EVS198" s="234"/>
      <c r="EVT198" s="234"/>
      <c r="EVU198" s="234"/>
      <c r="EVV198" s="234"/>
      <c r="EVW198" s="234"/>
      <c r="EVX198" s="234"/>
      <c r="EVY198" s="234"/>
      <c r="EVZ198" s="234"/>
      <c r="EWA198" s="234"/>
      <c r="EWB198" s="234"/>
      <c r="EWC198" s="234"/>
      <c r="EWD198" s="234"/>
      <c r="EWE198" s="234"/>
      <c r="EWF198" s="234"/>
      <c r="EWG198" s="234"/>
      <c r="EWH198" s="234"/>
      <c r="EWI198" s="234"/>
      <c r="EWJ198" s="234"/>
      <c r="EWK198" s="234"/>
      <c r="EWL198" s="234"/>
      <c r="EWM198" s="234"/>
      <c r="EWN198" s="234"/>
      <c r="EWO198" s="234"/>
      <c r="EWP198" s="234"/>
      <c r="EWQ198" s="234"/>
      <c r="EWR198" s="234"/>
      <c r="EWS198" s="234"/>
      <c r="EWT198" s="234"/>
      <c r="EWU198" s="234"/>
      <c r="EWV198" s="234"/>
      <c r="EWW198" s="234"/>
      <c r="EWX198" s="234"/>
      <c r="EWY198" s="234"/>
      <c r="EWZ198" s="234"/>
      <c r="EXA198" s="234"/>
      <c r="EXB198" s="234"/>
      <c r="EXC198" s="234"/>
      <c r="EXD198" s="234"/>
      <c r="EXE198" s="234"/>
      <c r="EXF198" s="234"/>
      <c r="EXG198" s="234"/>
      <c r="EXH198" s="234"/>
      <c r="EXI198" s="234"/>
      <c r="EXJ198" s="234"/>
      <c r="EXK198" s="234"/>
      <c r="EXL198" s="234"/>
      <c r="EXM198" s="234"/>
      <c r="EXN198" s="234"/>
      <c r="EXO198" s="234"/>
      <c r="EXP198" s="234"/>
      <c r="EXQ198" s="234"/>
      <c r="EXR198" s="234"/>
      <c r="EXS198" s="234"/>
      <c r="EXT198" s="234"/>
      <c r="EXU198" s="234"/>
      <c r="EXV198" s="234"/>
      <c r="EXW198" s="234"/>
      <c r="EXX198" s="234"/>
      <c r="EXY198" s="234"/>
      <c r="EXZ198" s="234"/>
      <c r="EYA198" s="234"/>
      <c r="EYB198" s="234"/>
      <c r="EYC198" s="234"/>
      <c r="EYD198" s="234"/>
      <c r="EYE198" s="234"/>
      <c r="EYF198" s="234"/>
      <c r="EYG198" s="234"/>
      <c r="EYH198" s="234"/>
      <c r="EYI198" s="234"/>
      <c r="EYJ198" s="234"/>
      <c r="EYK198" s="234"/>
      <c r="EYL198" s="234"/>
      <c r="EYM198" s="234"/>
      <c r="EYN198" s="234"/>
      <c r="EYO198" s="234"/>
      <c r="EYP198" s="234"/>
      <c r="EYQ198" s="234"/>
      <c r="EYR198" s="234"/>
      <c r="EYS198" s="234"/>
      <c r="EYT198" s="234"/>
      <c r="EYU198" s="234"/>
      <c r="EYV198" s="234"/>
      <c r="EYW198" s="234"/>
      <c r="EYX198" s="234"/>
      <c r="EYY198" s="234"/>
      <c r="EYZ198" s="234"/>
      <c r="EZA198" s="234"/>
      <c r="EZB198" s="234"/>
      <c r="EZC198" s="234"/>
      <c r="EZD198" s="234"/>
      <c r="EZE198" s="234"/>
      <c r="EZF198" s="234"/>
      <c r="EZG198" s="234"/>
      <c r="EZH198" s="234"/>
      <c r="EZI198" s="234"/>
      <c r="EZJ198" s="234"/>
      <c r="EZK198" s="234"/>
      <c r="EZL198" s="234"/>
      <c r="EZM198" s="234"/>
      <c r="EZN198" s="234"/>
      <c r="EZO198" s="234"/>
      <c r="EZP198" s="234"/>
      <c r="EZQ198" s="234"/>
      <c r="EZR198" s="234"/>
      <c r="EZS198" s="234"/>
      <c r="EZT198" s="234"/>
      <c r="EZU198" s="234"/>
      <c r="EZV198" s="234"/>
      <c r="EZW198" s="234"/>
      <c r="EZX198" s="234"/>
      <c r="EZY198" s="234"/>
      <c r="EZZ198" s="234"/>
      <c r="FAA198" s="234"/>
      <c r="FAB198" s="234"/>
      <c r="FAC198" s="234"/>
      <c r="FAD198" s="234"/>
      <c r="FAE198" s="234"/>
      <c r="FAF198" s="234"/>
      <c r="FAG198" s="234"/>
      <c r="FAH198" s="234"/>
      <c r="FAI198" s="234"/>
      <c r="FAJ198" s="234"/>
      <c r="FAK198" s="234"/>
      <c r="FAL198" s="234"/>
      <c r="FAM198" s="234"/>
      <c r="FAN198" s="234"/>
      <c r="FAO198" s="234"/>
      <c r="FAP198" s="234"/>
      <c r="FAQ198" s="234"/>
      <c r="FAR198" s="234"/>
      <c r="FAS198" s="234"/>
      <c r="FAT198" s="234"/>
      <c r="FAU198" s="234"/>
      <c r="FAV198" s="234"/>
      <c r="FAW198" s="234"/>
      <c r="FAX198" s="234"/>
      <c r="FAY198" s="234"/>
      <c r="FAZ198" s="234"/>
      <c r="FBA198" s="234"/>
      <c r="FBB198" s="234"/>
      <c r="FBC198" s="234"/>
      <c r="FBD198" s="234"/>
      <c r="FBE198" s="234"/>
      <c r="FBF198" s="234"/>
      <c r="FBG198" s="234"/>
      <c r="FBH198" s="234"/>
      <c r="FBI198" s="234"/>
      <c r="FBJ198" s="234"/>
      <c r="FBK198" s="234"/>
      <c r="FBL198" s="234"/>
      <c r="FBM198" s="234"/>
      <c r="FBN198" s="234"/>
      <c r="FBO198" s="234"/>
      <c r="FBP198" s="234"/>
      <c r="FBQ198" s="234"/>
      <c r="FBR198" s="234"/>
      <c r="FBS198" s="234"/>
      <c r="FBT198" s="234"/>
      <c r="FBU198" s="234"/>
      <c r="FBV198" s="234"/>
      <c r="FBW198" s="234"/>
      <c r="FBX198" s="234"/>
      <c r="FBY198" s="234"/>
      <c r="FBZ198" s="234"/>
      <c r="FCA198" s="234"/>
      <c r="FCB198" s="234"/>
      <c r="FCC198" s="234"/>
      <c r="FCD198" s="234"/>
      <c r="FCE198" s="234"/>
      <c r="FCF198" s="234"/>
      <c r="FCG198" s="234"/>
      <c r="FCH198" s="234"/>
      <c r="FCI198" s="234"/>
      <c r="FCJ198" s="234"/>
      <c r="FCK198" s="234"/>
      <c r="FCL198" s="234"/>
      <c r="FCM198" s="234"/>
      <c r="FCN198" s="234"/>
      <c r="FCO198" s="234"/>
      <c r="FCP198" s="234"/>
      <c r="FCQ198" s="234"/>
      <c r="FCR198" s="234"/>
      <c r="FCS198" s="234"/>
      <c r="FCT198" s="234"/>
      <c r="FCU198" s="234"/>
      <c r="FCV198" s="234"/>
      <c r="FCW198" s="234"/>
      <c r="FCX198" s="234"/>
      <c r="FCY198" s="234"/>
      <c r="FCZ198" s="234"/>
      <c r="FDA198" s="234"/>
      <c r="FDB198" s="234"/>
      <c r="FDC198" s="234"/>
      <c r="FDD198" s="234"/>
      <c r="FDE198" s="234"/>
      <c r="FDF198" s="234"/>
      <c r="FDG198" s="234"/>
      <c r="FDH198" s="234"/>
      <c r="FDI198" s="234"/>
      <c r="FDJ198" s="234"/>
      <c r="FDK198" s="234"/>
      <c r="FDL198" s="234"/>
      <c r="FDM198" s="234"/>
      <c r="FDN198" s="234"/>
      <c r="FDO198" s="234"/>
      <c r="FDP198" s="234"/>
      <c r="FDQ198" s="234"/>
      <c r="FDR198" s="234"/>
      <c r="FDS198" s="234"/>
      <c r="FDT198" s="234"/>
      <c r="FDU198" s="234"/>
      <c r="FDV198" s="234"/>
      <c r="FDW198" s="234"/>
      <c r="FDX198" s="234"/>
      <c r="FDY198" s="234"/>
      <c r="FDZ198" s="234"/>
      <c r="FEA198" s="234"/>
      <c r="FEB198" s="234"/>
      <c r="FEC198" s="234"/>
      <c r="FED198" s="234"/>
      <c r="FEE198" s="234"/>
      <c r="FEF198" s="234"/>
      <c r="FEG198" s="234"/>
      <c r="FEH198" s="234"/>
      <c r="FEI198" s="234"/>
      <c r="FEJ198" s="234"/>
      <c r="FEK198" s="234"/>
      <c r="FEL198" s="234"/>
      <c r="FEM198" s="234"/>
      <c r="FEN198" s="234"/>
      <c r="FEO198" s="234"/>
      <c r="FEP198" s="234"/>
      <c r="FEQ198" s="234"/>
      <c r="FER198" s="234"/>
      <c r="FES198" s="234"/>
      <c r="FET198" s="234"/>
      <c r="FEU198" s="234"/>
      <c r="FEV198" s="234"/>
      <c r="FEW198" s="234"/>
      <c r="FEX198" s="234"/>
      <c r="FEY198" s="234"/>
      <c r="FEZ198" s="234"/>
      <c r="FFA198" s="234"/>
      <c r="FFB198" s="234"/>
      <c r="FFC198" s="234"/>
      <c r="FFD198" s="234"/>
      <c r="FFE198" s="234"/>
      <c r="FFF198" s="234"/>
      <c r="FFG198" s="234"/>
      <c r="FFH198" s="234"/>
      <c r="FFI198" s="234"/>
      <c r="FFJ198" s="234"/>
      <c r="FFK198" s="234"/>
      <c r="FFL198" s="234"/>
      <c r="FFM198" s="234"/>
      <c r="FFN198" s="234"/>
      <c r="FFO198" s="234"/>
      <c r="FFP198" s="234"/>
      <c r="FFQ198" s="234"/>
      <c r="FFR198" s="234"/>
      <c r="FFS198" s="234"/>
      <c r="FFT198" s="234"/>
      <c r="FFU198" s="234"/>
      <c r="FFV198" s="234"/>
      <c r="FFW198" s="234"/>
      <c r="FFX198" s="234"/>
      <c r="FFY198" s="234"/>
      <c r="FFZ198" s="234"/>
      <c r="FGA198" s="234"/>
      <c r="FGB198" s="234"/>
      <c r="FGC198" s="234"/>
      <c r="FGD198" s="234"/>
      <c r="FGE198" s="234"/>
      <c r="FGF198" s="234"/>
      <c r="FGG198" s="234"/>
      <c r="FGH198" s="234"/>
      <c r="FGI198" s="234"/>
      <c r="FGJ198" s="234"/>
      <c r="FGK198" s="234"/>
      <c r="FGL198" s="234"/>
      <c r="FGM198" s="234"/>
      <c r="FGN198" s="234"/>
      <c r="FGO198" s="234"/>
      <c r="FGP198" s="234"/>
      <c r="FGQ198" s="234"/>
      <c r="FGR198" s="234"/>
      <c r="FGS198" s="234"/>
      <c r="FGT198" s="234"/>
      <c r="FGU198" s="234"/>
      <c r="FGV198" s="234"/>
      <c r="FGW198" s="234"/>
      <c r="FGX198" s="234"/>
      <c r="FGY198" s="234"/>
      <c r="FGZ198" s="234"/>
      <c r="FHA198" s="234"/>
      <c r="FHB198" s="234"/>
      <c r="FHC198" s="234"/>
      <c r="FHD198" s="234"/>
      <c r="FHE198" s="234"/>
      <c r="FHF198" s="234"/>
      <c r="FHG198" s="234"/>
      <c r="FHH198" s="234"/>
      <c r="FHI198" s="234"/>
      <c r="FHJ198" s="234"/>
      <c r="FHK198" s="234"/>
      <c r="FHL198" s="234"/>
      <c r="FHM198" s="234"/>
      <c r="FHN198" s="234"/>
      <c r="FHO198" s="234"/>
      <c r="FHP198" s="234"/>
      <c r="FHQ198" s="234"/>
      <c r="FHR198" s="234"/>
      <c r="FHS198" s="234"/>
      <c r="FHT198" s="234"/>
      <c r="FHU198" s="234"/>
      <c r="FHV198" s="234"/>
      <c r="FHW198" s="234"/>
      <c r="FHX198" s="234"/>
      <c r="FHY198" s="234"/>
      <c r="FHZ198" s="234"/>
      <c r="FIA198" s="234"/>
      <c r="FIB198" s="234"/>
      <c r="FIC198" s="234"/>
      <c r="FID198" s="234"/>
      <c r="FIE198" s="234"/>
      <c r="FIF198" s="234"/>
      <c r="FIG198" s="234"/>
      <c r="FIH198" s="234"/>
      <c r="FII198" s="234"/>
      <c r="FIJ198" s="234"/>
      <c r="FIK198" s="234"/>
      <c r="FIL198" s="234"/>
      <c r="FIM198" s="234"/>
      <c r="FIN198" s="234"/>
      <c r="FIO198" s="234"/>
      <c r="FIP198" s="234"/>
      <c r="FIQ198" s="234"/>
      <c r="FIR198" s="234"/>
      <c r="FIS198" s="234"/>
      <c r="FIT198" s="234"/>
      <c r="FIU198" s="234"/>
      <c r="FIV198" s="234"/>
      <c r="FIW198" s="234"/>
      <c r="FIX198" s="234"/>
      <c r="FIY198" s="234"/>
      <c r="FIZ198" s="234"/>
      <c r="FJA198" s="234"/>
      <c r="FJB198" s="234"/>
      <c r="FJC198" s="234"/>
      <c r="FJD198" s="234"/>
      <c r="FJE198" s="234"/>
      <c r="FJF198" s="234"/>
      <c r="FJG198" s="234"/>
      <c r="FJH198" s="234"/>
      <c r="FJI198" s="234"/>
      <c r="FJJ198" s="234"/>
      <c r="FJK198" s="234"/>
      <c r="FJL198" s="234"/>
      <c r="FJM198" s="234"/>
      <c r="FJN198" s="234"/>
      <c r="FJO198" s="234"/>
      <c r="FJP198" s="234"/>
      <c r="FJQ198" s="234"/>
      <c r="FJR198" s="234"/>
      <c r="FJS198" s="234"/>
      <c r="FJT198" s="234"/>
      <c r="FJU198" s="234"/>
      <c r="FJV198" s="234"/>
      <c r="FJW198" s="234"/>
      <c r="FJX198" s="234"/>
      <c r="FJY198" s="234"/>
      <c r="FJZ198" s="234"/>
      <c r="FKA198" s="234"/>
      <c r="FKB198" s="234"/>
      <c r="FKC198" s="234"/>
      <c r="FKD198" s="234"/>
      <c r="FKE198" s="234"/>
      <c r="FKF198" s="234"/>
      <c r="FKG198" s="234"/>
      <c r="FKH198" s="234"/>
      <c r="FKI198" s="234"/>
      <c r="FKJ198" s="234"/>
      <c r="FKK198" s="234"/>
      <c r="FKL198" s="234"/>
      <c r="FKM198" s="234"/>
      <c r="FKN198" s="234"/>
      <c r="FKO198" s="234"/>
      <c r="FKP198" s="234"/>
      <c r="FKQ198" s="234"/>
      <c r="FKR198" s="234"/>
      <c r="FKS198" s="234"/>
      <c r="FKT198" s="234"/>
      <c r="FKU198" s="234"/>
      <c r="FKV198" s="234"/>
      <c r="FKW198" s="234"/>
      <c r="FKX198" s="234"/>
      <c r="FKY198" s="234"/>
      <c r="FKZ198" s="234"/>
      <c r="FLA198" s="234"/>
      <c r="FLB198" s="234"/>
      <c r="FLC198" s="234"/>
      <c r="FLD198" s="234"/>
      <c r="FLE198" s="234"/>
      <c r="FLF198" s="234"/>
      <c r="FLG198" s="234"/>
      <c r="FLH198" s="234"/>
      <c r="FLI198" s="234"/>
      <c r="FLJ198" s="234"/>
      <c r="FLK198" s="234"/>
      <c r="FLL198" s="234"/>
      <c r="FLM198" s="234"/>
      <c r="FLN198" s="234"/>
      <c r="FLO198" s="234"/>
      <c r="FLP198" s="234"/>
      <c r="FLQ198" s="234"/>
      <c r="FLR198" s="234"/>
      <c r="FLS198" s="234"/>
      <c r="FLT198" s="234"/>
      <c r="FLU198" s="234"/>
      <c r="FLV198" s="234"/>
      <c r="FLW198" s="234"/>
      <c r="FLX198" s="234"/>
      <c r="FLY198" s="234"/>
      <c r="FLZ198" s="234"/>
      <c r="FMA198" s="234"/>
      <c r="FMB198" s="234"/>
      <c r="FMC198" s="234"/>
      <c r="FMD198" s="234"/>
      <c r="FME198" s="234"/>
      <c r="FMF198" s="234"/>
      <c r="FMG198" s="234"/>
      <c r="FMH198" s="234"/>
      <c r="FMI198" s="234"/>
      <c r="FMJ198" s="234"/>
      <c r="FMK198" s="234"/>
      <c r="FML198" s="234"/>
      <c r="FMM198" s="234"/>
      <c r="FMN198" s="234"/>
      <c r="FMO198" s="234"/>
      <c r="FMP198" s="234"/>
      <c r="FMQ198" s="234"/>
      <c r="FMR198" s="234"/>
      <c r="FMS198" s="234"/>
      <c r="FMT198" s="234"/>
      <c r="FMU198" s="234"/>
      <c r="FMV198" s="234"/>
      <c r="FMW198" s="234"/>
      <c r="FMX198" s="234"/>
      <c r="FMY198" s="234"/>
      <c r="FMZ198" s="234"/>
      <c r="FNA198" s="234"/>
      <c r="FNB198" s="234"/>
      <c r="FNC198" s="234"/>
      <c r="FND198" s="234"/>
      <c r="FNE198" s="234"/>
      <c r="FNF198" s="234"/>
      <c r="FNG198" s="234"/>
      <c r="FNH198" s="234"/>
      <c r="FNI198" s="234"/>
      <c r="FNJ198" s="234"/>
      <c r="FNK198" s="234"/>
      <c r="FNL198" s="234"/>
      <c r="FNM198" s="234"/>
      <c r="FNN198" s="234"/>
      <c r="FNO198" s="234"/>
      <c r="FNP198" s="234"/>
      <c r="FNQ198" s="234"/>
      <c r="FNR198" s="234"/>
      <c r="FNS198" s="234"/>
      <c r="FNT198" s="234"/>
      <c r="FNU198" s="234"/>
      <c r="FNV198" s="234"/>
      <c r="FNW198" s="234"/>
      <c r="FNX198" s="234"/>
      <c r="FNY198" s="234"/>
      <c r="FNZ198" s="234"/>
      <c r="FOA198" s="234"/>
      <c r="FOB198" s="234"/>
      <c r="FOC198" s="234"/>
      <c r="FOD198" s="234"/>
      <c r="FOE198" s="234"/>
      <c r="FOF198" s="234"/>
      <c r="FOG198" s="234"/>
      <c r="FOH198" s="234"/>
      <c r="FOI198" s="234"/>
      <c r="FOJ198" s="234"/>
      <c r="FOK198" s="234"/>
      <c r="FOL198" s="234"/>
      <c r="FOM198" s="234"/>
      <c r="FON198" s="234"/>
      <c r="FOO198" s="234"/>
      <c r="FOP198" s="234"/>
      <c r="FOQ198" s="234"/>
      <c r="FOR198" s="234"/>
      <c r="FOS198" s="234"/>
      <c r="FOT198" s="234"/>
      <c r="FOU198" s="234"/>
      <c r="FOV198" s="234"/>
      <c r="FOW198" s="234"/>
      <c r="FOX198" s="234"/>
      <c r="FOY198" s="234"/>
      <c r="FOZ198" s="234"/>
      <c r="FPA198" s="234"/>
      <c r="FPB198" s="234"/>
      <c r="FPC198" s="234"/>
      <c r="FPD198" s="234"/>
      <c r="FPE198" s="234"/>
      <c r="FPF198" s="234"/>
      <c r="FPG198" s="234"/>
      <c r="FPH198" s="234"/>
      <c r="FPI198" s="234"/>
      <c r="FPJ198" s="234"/>
      <c r="FPK198" s="234"/>
      <c r="FPL198" s="234"/>
      <c r="FPM198" s="234"/>
      <c r="FPN198" s="234"/>
      <c r="FPO198" s="234"/>
      <c r="FPP198" s="234"/>
      <c r="FPQ198" s="234"/>
      <c r="FPR198" s="234"/>
      <c r="FPS198" s="234"/>
      <c r="FPT198" s="234"/>
      <c r="FPU198" s="234"/>
      <c r="FPV198" s="234"/>
      <c r="FPW198" s="234"/>
      <c r="FPX198" s="234"/>
      <c r="FPY198" s="234"/>
      <c r="FPZ198" s="234"/>
      <c r="FQA198" s="234"/>
      <c r="FQB198" s="234"/>
      <c r="FQC198" s="234"/>
      <c r="FQD198" s="234"/>
      <c r="FQE198" s="234"/>
      <c r="FQF198" s="234"/>
      <c r="FQG198" s="234"/>
      <c r="FQH198" s="234"/>
      <c r="FQI198" s="234"/>
      <c r="FQJ198" s="234"/>
      <c r="FQK198" s="234"/>
      <c r="FQL198" s="234"/>
      <c r="FQM198" s="234"/>
      <c r="FQN198" s="234"/>
      <c r="FQO198" s="234"/>
      <c r="FQP198" s="234"/>
      <c r="FQQ198" s="234"/>
      <c r="FQR198" s="234"/>
      <c r="FQS198" s="234"/>
      <c r="FQT198" s="234"/>
      <c r="FQU198" s="234"/>
      <c r="FQV198" s="234"/>
      <c r="FQW198" s="234"/>
      <c r="FQX198" s="234"/>
      <c r="FQY198" s="234"/>
      <c r="FQZ198" s="234"/>
      <c r="FRA198" s="234"/>
      <c r="FRB198" s="234"/>
      <c r="FRC198" s="234"/>
      <c r="FRD198" s="234"/>
      <c r="FRE198" s="234"/>
      <c r="FRF198" s="234"/>
      <c r="FRG198" s="234"/>
      <c r="FRH198" s="234"/>
      <c r="FRI198" s="234"/>
      <c r="FRJ198" s="234"/>
      <c r="FRK198" s="234"/>
      <c r="FRL198" s="234"/>
      <c r="FRM198" s="234"/>
      <c r="FRN198" s="234"/>
      <c r="FRO198" s="234"/>
      <c r="FRP198" s="234"/>
      <c r="FRQ198" s="234"/>
      <c r="FRR198" s="234"/>
      <c r="FRS198" s="234"/>
      <c r="FRT198" s="234"/>
      <c r="FRU198" s="234"/>
      <c r="FRV198" s="234"/>
      <c r="FRW198" s="234"/>
      <c r="FRX198" s="234"/>
      <c r="FRY198" s="234"/>
      <c r="FRZ198" s="234"/>
      <c r="FSA198" s="234"/>
      <c r="FSB198" s="234"/>
      <c r="FSC198" s="234"/>
      <c r="FSD198" s="234"/>
      <c r="FSE198" s="234"/>
      <c r="FSF198" s="234"/>
      <c r="FSG198" s="234"/>
      <c r="FSH198" s="234"/>
      <c r="FSI198" s="234"/>
      <c r="FSJ198" s="234"/>
      <c r="FSK198" s="234"/>
      <c r="FSL198" s="234"/>
      <c r="FSM198" s="234"/>
      <c r="FSN198" s="234"/>
      <c r="FSO198" s="234"/>
      <c r="FSP198" s="234"/>
      <c r="FSQ198" s="234"/>
      <c r="FSR198" s="234"/>
      <c r="FSS198" s="234"/>
      <c r="FST198" s="234"/>
      <c r="FSU198" s="234"/>
      <c r="FSV198" s="234"/>
      <c r="FSW198" s="234"/>
      <c r="FSX198" s="234"/>
      <c r="FSY198" s="234"/>
      <c r="FSZ198" s="234"/>
      <c r="FTA198" s="234"/>
      <c r="FTB198" s="234"/>
      <c r="FTC198" s="234"/>
      <c r="FTD198" s="234"/>
      <c r="FTE198" s="234"/>
      <c r="FTF198" s="234"/>
      <c r="FTG198" s="234"/>
      <c r="FTH198" s="234"/>
      <c r="FTI198" s="234"/>
      <c r="FTJ198" s="234"/>
      <c r="FTK198" s="234"/>
      <c r="FTL198" s="234"/>
      <c r="FTM198" s="234"/>
      <c r="FTN198" s="234"/>
      <c r="FTO198" s="234"/>
      <c r="FTP198" s="234"/>
      <c r="FTQ198" s="234"/>
      <c r="FTR198" s="234"/>
      <c r="FTS198" s="234"/>
      <c r="FTT198" s="234"/>
      <c r="FTU198" s="234"/>
      <c r="FTV198" s="234"/>
      <c r="FTW198" s="234"/>
      <c r="FTX198" s="234"/>
      <c r="FTY198" s="234"/>
      <c r="FTZ198" s="234"/>
      <c r="FUA198" s="234"/>
      <c r="FUB198" s="234"/>
      <c r="FUC198" s="234"/>
      <c r="FUD198" s="234"/>
      <c r="FUE198" s="234"/>
      <c r="FUF198" s="234"/>
      <c r="FUG198" s="234"/>
      <c r="FUH198" s="234"/>
      <c r="FUI198" s="234"/>
      <c r="FUJ198" s="234"/>
      <c r="FUK198" s="234"/>
      <c r="FUL198" s="234"/>
      <c r="FUM198" s="234"/>
      <c r="FUN198" s="234"/>
      <c r="FUO198" s="234"/>
      <c r="FUP198" s="234"/>
      <c r="FUQ198" s="234"/>
      <c r="FUR198" s="234"/>
      <c r="FUS198" s="234"/>
      <c r="FUT198" s="234"/>
      <c r="FUU198" s="234"/>
      <c r="FUV198" s="234"/>
      <c r="FUW198" s="234"/>
      <c r="FUX198" s="234"/>
      <c r="FUY198" s="234"/>
      <c r="FUZ198" s="234"/>
      <c r="FVA198" s="234"/>
      <c r="FVB198" s="234"/>
      <c r="FVC198" s="234"/>
      <c r="FVD198" s="234"/>
      <c r="FVE198" s="234"/>
      <c r="FVF198" s="234"/>
      <c r="FVG198" s="234"/>
      <c r="FVH198" s="234"/>
      <c r="FVI198" s="234"/>
      <c r="FVJ198" s="234"/>
      <c r="FVK198" s="234"/>
      <c r="FVL198" s="234"/>
      <c r="FVM198" s="234"/>
      <c r="FVN198" s="234"/>
      <c r="FVO198" s="234"/>
      <c r="FVP198" s="234"/>
      <c r="FVQ198" s="234"/>
      <c r="FVR198" s="234"/>
      <c r="FVS198" s="234"/>
      <c r="FVT198" s="234"/>
      <c r="FVU198" s="234"/>
      <c r="FVV198" s="234"/>
      <c r="FVW198" s="234"/>
      <c r="FVX198" s="234"/>
      <c r="FVY198" s="234"/>
      <c r="FVZ198" s="234"/>
      <c r="FWA198" s="234"/>
      <c r="FWB198" s="234"/>
      <c r="FWC198" s="234"/>
      <c r="FWD198" s="234"/>
      <c r="FWE198" s="234"/>
      <c r="FWF198" s="234"/>
      <c r="FWG198" s="234"/>
      <c r="FWH198" s="234"/>
      <c r="FWI198" s="234"/>
      <c r="FWJ198" s="234"/>
      <c r="FWK198" s="234"/>
      <c r="FWL198" s="234"/>
      <c r="FWM198" s="234"/>
      <c r="FWN198" s="234"/>
      <c r="FWO198" s="234"/>
      <c r="FWP198" s="234"/>
      <c r="FWQ198" s="234"/>
      <c r="FWR198" s="234"/>
      <c r="FWS198" s="234"/>
      <c r="FWT198" s="234"/>
      <c r="FWU198" s="234"/>
      <c r="FWV198" s="234"/>
      <c r="FWW198" s="234"/>
      <c r="FWX198" s="234"/>
      <c r="FWY198" s="234"/>
      <c r="FWZ198" s="234"/>
      <c r="FXA198" s="234"/>
      <c r="FXB198" s="234"/>
      <c r="FXC198" s="234"/>
      <c r="FXD198" s="234"/>
      <c r="FXE198" s="234"/>
      <c r="FXF198" s="234"/>
      <c r="FXG198" s="234"/>
      <c r="FXH198" s="234"/>
      <c r="FXI198" s="234"/>
      <c r="FXJ198" s="234"/>
      <c r="FXK198" s="234"/>
      <c r="FXL198" s="234"/>
      <c r="FXM198" s="234"/>
      <c r="FXN198" s="234"/>
      <c r="FXO198" s="234"/>
      <c r="FXP198" s="234"/>
      <c r="FXQ198" s="234"/>
      <c r="FXR198" s="234"/>
      <c r="FXS198" s="234"/>
      <c r="FXT198" s="234"/>
      <c r="FXU198" s="234"/>
      <c r="FXV198" s="234"/>
      <c r="FXW198" s="234"/>
      <c r="FXX198" s="234"/>
      <c r="FXY198" s="234"/>
      <c r="FXZ198" s="234"/>
      <c r="FYA198" s="234"/>
      <c r="FYB198" s="234"/>
      <c r="FYC198" s="234"/>
      <c r="FYD198" s="234"/>
      <c r="FYE198" s="234"/>
      <c r="FYF198" s="234"/>
      <c r="FYG198" s="234"/>
      <c r="FYH198" s="234"/>
      <c r="FYI198" s="234"/>
      <c r="FYJ198" s="234"/>
      <c r="FYK198" s="234"/>
      <c r="FYL198" s="234"/>
      <c r="FYM198" s="234"/>
      <c r="FYN198" s="234"/>
      <c r="FYO198" s="234"/>
      <c r="FYP198" s="234"/>
      <c r="FYQ198" s="234"/>
      <c r="FYR198" s="234"/>
      <c r="FYS198" s="234"/>
      <c r="FYT198" s="234"/>
      <c r="FYU198" s="234"/>
      <c r="FYV198" s="234"/>
      <c r="FYW198" s="234"/>
      <c r="FYX198" s="234"/>
      <c r="FYY198" s="234"/>
      <c r="FYZ198" s="234"/>
      <c r="FZA198" s="234"/>
      <c r="FZB198" s="234"/>
      <c r="FZC198" s="234"/>
      <c r="FZD198" s="234"/>
      <c r="FZE198" s="234"/>
      <c r="FZF198" s="234"/>
      <c r="FZG198" s="234"/>
      <c r="FZH198" s="234"/>
      <c r="FZI198" s="234"/>
      <c r="FZJ198" s="234"/>
      <c r="FZK198" s="234"/>
      <c r="FZL198" s="234"/>
      <c r="FZM198" s="234"/>
      <c r="FZN198" s="234"/>
      <c r="FZO198" s="234"/>
      <c r="FZP198" s="234"/>
      <c r="FZQ198" s="234"/>
      <c r="FZR198" s="234"/>
      <c r="FZS198" s="234"/>
      <c r="FZT198" s="234"/>
      <c r="FZU198" s="234"/>
      <c r="FZV198" s="234"/>
      <c r="FZW198" s="234"/>
      <c r="FZX198" s="234"/>
      <c r="FZY198" s="234"/>
      <c r="FZZ198" s="234"/>
      <c r="GAA198" s="234"/>
      <c r="GAB198" s="234"/>
      <c r="GAC198" s="234"/>
      <c r="GAD198" s="234"/>
      <c r="GAE198" s="234"/>
      <c r="GAF198" s="234"/>
      <c r="GAG198" s="234"/>
      <c r="GAH198" s="234"/>
      <c r="GAI198" s="234"/>
      <c r="GAJ198" s="234"/>
      <c r="GAK198" s="234"/>
      <c r="GAL198" s="234"/>
      <c r="GAM198" s="234"/>
      <c r="GAN198" s="234"/>
      <c r="GAO198" s="234"/>
      <c r="GAP198" s="234"/>
      <c r="GAQ198" s="234"/>
      <c r="GAR198" s="234"/>
      <c r="GAS198" s="234"/>
      <c r="GAT198" s="234"/>
      <c r="GAU198" s="234"/>
      <c r="GAV198" s="234"/>
      <c r="GAW198" s="234"/>
      <c r="GAX198" s="234"/>
      <c r="GAY198" s="234"/>
      <c r="GAZ198" s="234"/>
      <c r="GBA198" s="234"/>
      <c r="GBB198" s="234"/>
      <c r="GBC198" s="234"/>
      <c r="GBD198" s="234"/>
      <c r="GBE198" s="234"/>
      <c r="GBF198" s="234"/>
      <c r="GBG198" s="234"/>
      <c r="GBH198" s="234"/>
      <c r="GBI198" s="234"/>
      <c r="GBJ198" s="234"/>
      <c r="GBK198" s="234"/>
      <c r="GBL198" s="234"/>
      <c r="GBM198" s="234"/>
      <c r="GBN198" s="234"/>
      <c r="GBO198" s="234"/>
      <c r="GBP198" s="234"/>
      <c r="GBQ198" s="234"/>
      <c r="GBR198" s="234"/>
      <c r="GBS198" s="234"/>
      <c r="GBT198" s="234"/>
      <c r="GBU198" s="234"/>
      <c r="GBV198" s="234"/>
      <c r="GBW198" s="234"/>
      <c r="GBX198" s="234"/>
      <c r="GBY198" s="234"/>
      <c r="GBZ198" s="234"/>
      <c r="GCA198" s="234"/>
      <c r="GCB198" s="234"/>
      <c r="GCC198" s="234"/>
      <c r="GCD198" s="234"/>
      <c r="GCE198" s="234"/>
      <c r="GCF198" s="234"/>
      <c r="GCG198" s="234"/>
      <c r="GCH198" s="234"/>
      <c r="GCI198" s="234"/>
      <c r="GCJ198" s="234"/>
      <c r="GCK198" s="234"/>
      <c r="GCL198" s="234"/>
      <c r="GCM198" s="234"/>
      <c r="GCN198" s="234"/>
      <c r="GCO198" s="234"/>
      <c r="GCP198" s="234"/>
      <c r="GCQ198" s="234"/>
      <c r="GCR198" s="234"/>
      <c r="GCS198" s="234"/>
      <c r="GCT198" s="234"/>
      <c r="GCU198" s="234"/>
      <c r="GCV198" s="234"/>
      <c r="GCW198" s="234"/>
      <c r="GCX198" s="234"/>
      <c r="GCY198" s="234"/>
      <c r="GCZ198" s="234"/>
      <c r="GDA198" s="234"/>
      <c r="GDB198" s="234"/>
      <c r="GDC198" s="234"/>
      <c r="GDD198" s="234"/>
      <c r="GDE198" s="234"/>
      <c r="GDF198" s="234"/>
      <c r="GDG198" s="234"/>
      <c r="GDH198" s="234"/>
      <c r="GDI198" s="234"/>
      <c r="GDJ198" s="234"/>
      <c r="GDK198" s="234"/>
      <c r="GDL198" s="234"/>
      <c r="GDM198" s="234"/>
      <c r="GDN198" s="234"/>
      <c r="GDO198" s="234"/>
      <c r="GDP198" s="234"/>
      <c r="GDQ198" s="234"/>
      <c r="GDR198" s="234"/>
      <c r="GDS198" s="234"/>
      <c r="GDT198" s="234"/>
      <c r="GDU198" s="234"/>
      <c r="GDV198" s="234"/>
      <c r="GDW198" s="234"/>
      <c r="GDX198" s="234"/>
      <c r="GDY198" s="234"/>
      <c r="GDZ198" s="234"/>
      <c r="GEA198" s="234"/>
      <c r="GEB198" s="234"/>
      <c r="GEC198" s="234"/>
      <c r="GED198" s="234"/>
      <c r="GEE198" s="234"/>
      <c r="GEF198" s="234"/>
      <c r="GEG198" s="234"/>
      <c r="GEH198" s="234"/>
      <c r="GEI198" s="234"/>
      <c r="GEJ198" s="234"/>
      <c r="GEK198" s="234"/>
      <c r="GEL198" s="234"/>
      <c r="GEM198" s="234"/>
      <c r="GEN198" s="234"/>
      <c r="GEO198" s="234"/>
      <c r="GEP198" s="234"/>
      <c r="GEQ198" s="234"/>
      <c r="GER198" s="234"/>
      <c r="GES198" s="234"/>
      <c r="GET198" s="234"/>
      <c r="GEU198" s="234"/>
      <c r="GEV198" s="234"/>
      <c r="GEW198" s="234"/>
      <c r="GEX198" s="234"/>
      <c r="GEY198" s="234"/>
      <c r="GEZ198" s="234"/>
      <c r="GFA198" s="234"/>
      <c r="GFB198" s="234"/>
      <c r="GFC198" s="234"/>
      <c r="GFD198" s="234"/>
      <c r="GFE198" s="234"/>
      <c r="GFF198" s="234"/>
      <c r="GFG198" s="234"/>
      <c r="GFH198" s="234"/>
      <c r="GFI198" s="234"/>
      <c r="GFJ198" s="234"/>
      <c r="GFK198" s="234"/>
      <c r="GFL198" s="234"/>
      <c r="GFM198" s="234"/>
      <c r="GFN198" s="234"/>
      <c r="GFO198" s="234"/>
      <c r="GFP198" s="234"/>
      <c r="GFQ198" s="234"/>
      <c r="GFR198" s="234"/>
      <c r="GFS198" s="234"/>
      <c r="GFT198" s="234"/>
      <c r="GFU198" s="234"/>
      <c r="GFV198" s="234"/>
      <c r="GFW198" s="234"/>
      <c r="GFX198" s="234"/>
      <c r="GFY198" s="234"/>
      <c r="GFZ198" s="234"/>
      <c r="GGA198" s="234"/>
      <c r="GGB198" s="234"/>
      <c r="GGC198" s="234"/>
      <c r="GGD198" s="234"/>
      <c r="GGE198" s="234"/>
      <c r="GGF198" s="234"/>
      <c r="GGG198" s="234"/>
      <c r="GGH198" s="234"/>
      <c r="GGI198" s="234"/>
      <c r="GGJ198" s="234"/>
      <c r="GGK198" s="234"/>
      <c r="GGL198" s="234"/>
      <c r="GGM198" s="234"/>
      <c r="GGN198" s="234"/>
      <c r="GGO198" s="234"/>
      <c r="GGP198" s="234"/>
      <c r="GGQ198" s="234"/>
      <c r="GGR198" s="234"/>
      <c r="GGS198" s="234"/>
      <c r="GGT198" s="234"/>
      <c r="GGU198" s="234"/>
      <c r="GGV198" s="234"/>
      <c r="GGW198" s="234"/>
      <c r="GGX198" s="234"/>
      <c r="GGY198" s="234"/>
      <c r="GGZ198" s="234"/>
      <c r="GHA198" s="234"/>
      <c r="GHB198" s="234"/>
      <c r="GHC198" s="234"/>
      <c r="GHD198" s="234"/>
      <c r="GHE198" s="234"/>
      <c r="GHF198" s="234"/>
      <c r="GHG198" s="234"/>
      <c r="GHH198" s="234"/>
      <c r="GHI198" s="234"/>
      <c r="GHJ198" s="234"/>
      <c r="GHK198" s="234"/>
      <c r="GHL198" s="234"/>
      <c r="GHM198" s="234"/>
      <c r="GHN198" s="234"/>
      <c r="GHO198" s="234"/>
      <c r="GHP198" s="234"/>
      <c r="GHQ198" s="234"/>
      <c r="GHR198" s="234"/>
      <c r="GHS198" s="234"/>
      <c r="GHT198" s="234"/>
      <c r="GHU198" s="234"/>
      <c r="GHV198" s="234"/>
      <c r="GHW198" s="234"/>
      <c r="GHX198" s="234"/>
      <c r="GHY198" s="234"/>
      <c r="GHZ198" s="234"/>
      <c r="GIA198" s="234"/>
      <c r="GIB198" s="234"/>
      <c r="GIC198" s="234"/>
      <c r="GID198" s="234"/>
      <c r="GIE198" s="234"/>
      <c r="GIF198" s="234"/>
      <c r="GIG198" s="234"/>
      <c r="GIH198" s="234"/>
      <c r="GII198" s="234"/>
      <c r="GIJ198" s="234"/>
      <c r="GIK198" s="234"/>
      <c r="GIL198" s="234"/>
      <c r="GIM198" s="234"/>
      <c r="GIN198" s="234"/>
      <c r="GIO198" s="234"/>
      <c r="GIP198" s="234"/>
      <c r="GIQ198" s="234"/>
      <c r="GIR198" s="234"/>
      <c r="GIS198" s="234"/>
      <c r="GIT198" s="234"/>
      <c r="GIU198" s="234"/>
      <c r="GIV198" s="234"/>
      <c r="GIW198" s="234"/>
      <c r="GIX198" s="234"/>
      <c r="GIY198" s="234"/>
      <c r="GIZ198" s="234"/>
      <c r="GJA198" s="234"/>
      <c r="GJB198" s="234"/>
      <c r="GJC198" s="234"/>
      <c r="GJD198" s="234"/>
      <c r="GJE198" s="234"/>
      <c r="GJF198" s="234"/>
      <c r="GJG198" s="234"/>
      <c r="GJH198" s="234"/>
      <c r="GJI198" s="234"/>
      <c r="GJJ198" s="234"/>
      <c r="GJK198" s="234"/>
      <c r="GJL198" s="234"/>
      <c r="GJM198" s="234"/>
      <c r="GJN198" s="234"/>
      <c r="GJO198" s="234"/>
      <c r="GJP198" s="234"/>
      <c r="GJQ198" s="234"/>
      <c r="GJR198" s="234"/>
      <c r="GJS198" s="234"/>
      <c r="GJT198" s="234"/>
      <c r="GJU198" s="234"/>
      <c r="GJV198" s="234"/>
      <c r="GJW198" s="234"/>
      <c r="GJX198" s="234"/>
      <c r="GJY198" s="234"/>
      <c r="GJZ198" s="234"/>
      <c r="GKA198" s="234"/>
      <c r="GKB198" s="234"/>
      <c r="GKC198" s="234"/>
      <c r="GKD198" s="234"/>
      <c r="GKE198" s="234"/>
      <c r="GKF198" s="234"/>
      <c r="GKG198" s="234"/>
      <c r="GKH198" s="234"/>
      <c r="GKI198" s="234"/>
      <c r="GKJ198" s="234"/>
      <c r="GKK198" s="234"/>
      <c r="GKL198" s="234"/>
      <c r="GKM198" s="234"/>
      <c r="GKN198" s="234"/>
      <c r="GKO198" s="234"/>
      <c r="GKP198" s="234"/>
      <c r="GKQ198" s="234"/>
      <c r="GKR198" s="234"/>
      <c r="GKS198" s="234"/>
      <c r="GKT198" s="234"/>
      <c r="GKU198" s="234"/>
      <c r="GKV198" s="234"/>
      <c r="GKW198" s="234"/>
      <c r="GKX198" s="234"/>
      <c r="GKY198" s="234"/>
      <c r="GKZ198" s="234"/>
      <c r="GLA198" s="234"/>
      <c r="GLB198" s="234"/>
      <c r="GLC198" s="234"/>
      <c r="GLD198" s="234"/>
      <c r="GLE198" s="234"/>
      <c r="GLF198" s="234"/>
      <c r="GLG198" s="234"/>
      <c r="GLH198" s="234"/>
      <c r="GLI198" s="234"/>
      <c r="GLJ198" s="234"/>
      <c r="GLK198" s="234"/>
      <c r="GLL198" s="234"/>
      <c r="GLM198" s="234"/>
      <c r="GLN198" s="234"/>
      <c r="GLO198" s="234"/>
      <c r="GLP198" s="234"/>
      <c r="GLQ198" s="234"/>
      <c r="GLR198" s="234"/>
      <c r="GLS198" s="234"/>
      <c r="GLT198" s="234"/>
      <c r="GLU198" s="234"/>
      <c r="GLV198" s="234"/>
      <c r="GLW198" s="234"/>
      <c r="GLX198" s="234"/>
      <c r="GLY198" s="234"/>
      <c r="GLZ198" s="234"/>
      <c r="GMA198" s="234"/>
      <c r="GMB198" s="234"/>
      <c r="GMC198" s="234"/>
      <c r="GMD198" s="234"/>
      <c r="GME198" s="234"/>
      <c r="GMF198" s="234"/>
      <c r="GMG198" s="234"/>
      <c r="GMH198" s="234"/>
      <c r="GMI198" s="234"/>
      <c r="GMJ198" s="234"/>
      <c r="GMK198" s="234"/>
      <c r="GML198" s="234"/>
      <c r="GMM198" s="234"/>
      <c r="GMN198" s="234"/>
      <c r="GMO198" s="234"/>
      <c r="GMP198" s="234"/>
      <c r="GMQ198" s="234"/>
      <c r="GMR198" s="234"/>
      <c r="GMS198" s="234"/>
      <c r="GMT198" s="234"/>
      <c r="GMU198" s="234"/>
      <c r="GMV198" s="234"/>
      <c r="GMW198" s="234"/>
      <c r="GMX198" s="234"/>
      <c r="GMY198" s="234"/>
      <c r="GMZ198" s="234"/>
      <c r="GNA198" s="234"/>
      <c r="GNB198" s="234"/>
      <c r="GNC198" s="234"/>
      <c r="GND198" s="234"/>
      <c r="GNE198" s="234"/>
      <c r="GNF198" s="234"/>
      <c r="GNG198" s="234"/>
      <c r="GNH198" s="234"/>
      <c r="GNI198" s="234"/>
      <c r="GNJ198" s="234"/>
      <c r="GNK198" s="234"/>
      <c r="GNL198" s="234"/>
      <c r="GNM198" s="234"/>
      <c r="GNN198" s="234"/>
      <c r="GNO198" s="234"/>
      <c r="GNP198" s="234"/>
      <c r="GNQ198" s="234"/>
      <c r="GNR198" s="234"/>
      <c r="GNS198" s="234"/>
      <c r="GNT198" s="234"/>
      <c r="GNU198" s="234"/>
      <c r="GNV198" s="234"/>
      <c r="GNW198" s="234"/>
      <c r="GNX198" s="234"/>
      <c r="GNY198" s="234"/>
      <c r="GNZ198" s="234"/>
      <c r="GOA198" s="234"/>
      <c r="GOB198" s="234"/>
      <c r="GOC198" s="234"/>
      <c r="GOD198" s="234"/>
      <c r="GOE198" s="234"/>
      <c r="GOF198" s="234"/>
      <c r="GOG198" s="234"/>
      <c r="GOH198" s="234"/>
      <c r="GOI198" s="234"/>
      <c r="GOJ198" s="234"/>
      <c r="GOK198" s="234"/>
      <c r="GOL198" s="234"/>
      <c r="GOM198" s="234"/>
      <c r="GON198" s="234"/>
      <c r="GOO198" s="234"/>
      <c r="GOP198" s="234"/>
      <c r="GOQ198" s="234"/>
      <c r="GOR198" s="234"/>
      <c r="GOS198" s="234"/>
      <c r="GOT198" s="234"/>
      <c r="GOU198" s="234"/>
      <c r="GOV198" s="234"/>
      <c r="GOW198" s="234"/>
      <c r="GOX198" s="234"/>
      <c r="GOY198" s="234"/>
      <c r="GOZ198" s="234"/>
      <c r="GPA198" s="234"/>
      <c r="GPB198" s="234"/>
      <c r="GPC198" s="234"/>
      <c r="GPD198" s="234"/>
      <c r="GPE198" s="234"/>
      <c r="GPF198" s="234"/>
      <c r="GPG198" s="234"/>
      <c r="GPH198" s="234"/>
      <c r="GPI198" s="234"/>
      <c r="GPJ198" s="234"/>
      <c r="GPK198" s="234"/>
      <c r="GPL198" s="234"/>
      <c r="GPM198" s="234"/>
      <c r="GPN198" s="234"/>
      <c r="GPO198" s="234"/>
      <c r="GPP198" s="234"/>
      <c r="GPQ198" s="234"/>
      <c r="GPR198" s="234"/>
      <c r="GPS198" s="234"/>
      <c r="GPT198" s="234"/>
      <c r="GPU198" s="234"/>
      <c r="GPV198" s="234"/>
      <c r="GPW198" s="234"/>
      <c r="GPX198" s="234"/>
      <c r="GPY198" s="234"/>
      <c r="GPZ198" s="234"/>
      <c r="GQA198" s="234"/>
      <c r="GQB198" s="234"/>
      <c r="GQC198" s="234"/>
      <c r="GQD198" s="234"/>
      <c r="GQE198" s="234"/>
      <c r="GQF198" s="234"/>
      <c r="GQG198" s="234"/>
      <c r="GQH198" s="234"/>
      <c r="GQI198" s="234"/>
      <c r="GQJ198" s="234"/>
      <c r="GQK198" s="234"/>
      <c r="GQL198" s="234"/>
      <c r="GQM198" s="234"/>
      <c r="GQN198" s="234"/>
      <c r="GQO198" s="234"/>
      <c r="GQP198" s="234"/>
      <c r="GQQ198" s="234"/>
      <c r="GQR198" s="234"/>
      <c r="GQS198" s="234"/>
      <c r="GQT198" s="234"/>
      <c r="GQU198" s="234"/>
      <c r="GQV198" s="234"/>
      <c r="GQW198" s="234"/>
      <c r="GQX198" s="234"/>
      <c r="GQY198" s="234"/>
      <c r="GQZ198" s="234"/>
      <c r="GRA198" s="234"/>
      <c r="GRB198" s="234"/>
      <c r="GRC198" s="234"/>
      <c r="GRD198" s="234"/>
      <c r="GRE198" s="234"/>
      <c r="GRF198" s="234"/>
      <c r="GRG198" s="234"/>
      <c r="GRH198" s="234"/>
      <c r="GRI198" s="234"/>
      <c r="GRJ198" s="234"/>
      <c r="GRK198" s="234"/>
      <c r="GRL198" s="234"/>
      <c r="GRM198" s="234"/>
      <c r="GRN198" s="234"/>
      <c r="GRO198" s="234"/>
      <c r="GRP198" s="234"/>
      <c r="GRQ198" s="234"/>
      <c r="GRR198" s="234"/>
      <c r="GRS198" s="234"/>
      <c r="GRT198" s="234"/>
      <c r="GRU198" s="234"/>
      <c r="GRV198" s="234"/>
      <c r="GRW198" s="234"/>
      <c r="GRX198" s="234"/>
      <c r="GRY198" s="234"/>
      <c r="GRZ198" s="234"/>
      <c r="GSA198" s="234"/>
      <c r="GSB198" s="234"/>
      <c r="GSC198" s="234"/>
      <c r="GSD198" s="234"/>
      <c r="GSE198" s="234"/>
      <c r="GSF198" s="234"/>
      <c r="GSG198" s="234"/>
      <c r="GSH198" s="234"/>
      <c r="GSI198" s="234"/>
      <c r="GSJ198" s="234"/>
      <c r="GSK198" s="234"/>
      <c r="GSL198" s="234"/>
      <c r="GSM198" s="234"/>
      <c r="GSN198" s="234"/>
      <c r="GSO198" s="234"/>
      <c r="GSP198" s="234"/>
      <c r="GSQ198" s="234"/>
      <c r="GSR198" s="234"/>
      <c r="GSS198" s="234"/>
      <c r="GST198" s="234"/>
      <c r="GSU198" s="234"/>
      <c r="GSV198" s="234"/>
      <c r="GSW198" s="234"/>
      <c r="GSX198" s="234"/>
      <c r="GSY198" s="234"/>
      <c r="GSZ198" s="234"/>
      <c r="GTA198" s="234"/>
      <c r="GTB198" s="234"/>
      <c r="GTC198" s="234"/>
      <c r="GTD198" s="234"/>
      <c r="GTE198" s="234"/>
      <c r="GTF198" s="234"/>
      <c r="GTG198" s="234"/>
      <c r="GTH198" s="234"/>
      <c r="GTI198" s="234"/>
      <c r="GTJ198" s="234"/>
      <c r="GTK198" s="234"/>
      <c r="GTL198" s="234"/>
      <c r="GTM198" s="234"/>
      <c r="GTN198" s="234"/>
      <c r="GTO198" s="234"/>
      <c r="GTP198" s="234"/>
      <c r="GTQ198" s="234"/>
      <c r="GTR198" s="234"/>
      <c r="GTS198" s="234"/>
      <c r="GTT198" s="234"/>
      <c r="GTU198" s="234"/>
      <c r="GTV198" s="234"/>
      <c r="GTW198" s="234"/>
      <c r="GTX198" s="234"/>
      <c r="GTY198" s="234"/>
      <c r="GTZ198" s="234"/>
      <c r="GUA198" s="234"/>
      <c r="GUB198" s="234"/>
      <c r="GUC198" s="234"/>
      <c r="GUD198" s="234"/>
      <c r="GUE198" s="234"/>
      <c r="GUF198" s="234"/>
      <c r="GUG198" s="234"/>
      <c r="GUH198" s="234"/>
      <c r="GUI198" s="234"/>
      <c r="GUJ198" s="234"/>
      <c r="GUK198" s="234"/>
      <c r="GUL198" s="234"/>
      <c r="GUM198" s="234"/>
      <c r="GUN198" s="234"/>
      <c r="GUO198" s="234"/>
      <c r="GUP198" s="234"/>
      <c r="GUQ198" s="234"/>
      <c r="GUR198" s="234"/>
      <c r="GUS198" s="234"/>
      <c r="GUT198" s="234"/>
      <c r="GUU198" s="234"/>
      <c r="GUV198" s="234"/>
      <c r="GUW198" s="234"/>
      <c r="GUX198" s="234"/>
      <c r="GUY198" s="234"/>
      <c r="GUZ198" s="234"/>
      <c r="GVA198" s="234"/>
      <c r="GVB198" s="234"/>
      <c r="GVC198" s="234"/>
      <c r="GVD198" s="234"/>
      <c r="GVE198" s="234"/>
      <c r="GVF198" s="234"/>
      <c r="GVG198" s="234"/>
      <c r="GVH198" s="234"/>
      <c r="GVI198" s="234"/>
      <c r="GVJ198" s="234"/>
      <c r="GVK198" s="234"/>
      <c r="GVL198" s="234"/>
      <c r="GVM198" s="234"/>
      <c r="GVN198" s="234"/>
      <c r="GVO198" s="234"/>
      <c r="GVP198" s="234"/>
      <c r="GVQ198" s="234"/>
      <c r="GVR198" s="234"/>
      <c r="GVS198" s="234"/>
      <c r="GVT198" s="234"/>
      <c r="GVU198" s="234"/>
      <c r="GVV198" s="234"/>
      <c r="GVW198" s="234"/>
      <c r="GVX198" s="234"/>
      <c r="GVY198" s="234"/>
      <c r="GVZ198" s="234"/>
      <c r="GWA198" s="234"/>
      <c r="GWB198" s="234"/>
      <c r="GWC198" s="234"/>
      <c r="GWD198" s="234"/>
      <c r="GWE198" s="234"/>
      <c r="GWF198" s="234"/>
      <c r="GWG198" s="234"/>
      <c r="GWH198" s="234"/>
      <c r="GWI198" s="234"/>
      <c r="GWJ198" s="234"/>
      <c r="GWK198" s="234"/>
      <c r="GWL198" s="234"/>
      <c r="GWM198" s="234"/>
      <c r="GWN198" s="234"/>
      <c r="GWO198" s="234"/>
      <c r="GWP198" s="234"/>
      <c r="GWQ198" s="234"/>
      <c r="GWR198" s="234"/>
      <c r="GWS198" s="234"/>
      <c r="GWT198" s="234"/>
      <c r="GWU198" s="234"/>
      <c r="GWV198" s="234"/>
      <c r="GWW198" s="234"/>
      <c r="GWX198" s="234"/>
      <c r="GWY198" s="234"/>
      <c r="GWZ198" s="234"/>
      <c r="GXA198" s="234"/>
      <c r="GXB198" s="234"/>
      <c r="GXC198" s="234"/>
      <c r="GXD198" s="234"/>
      <c r="GXE198" s="234"/>
      <c r="GXF198" s="234"/>
      <c r="GXG198" s="234"/>
      <c r="GXH198" s="234"/>
      <c r="GXI198" s="234"/>
      <c r="GXJ198" s="234"/>
      <c r="GXK198" s="234"/>
      <c r="GXL198" s="234"/>
      <c r="GXM198" s="234"/>
      <c r="GXN198" s="234"/>
      <c r="GXO198" s="234"/>
      <c r="GXP198" s="234"/>
      <c r="GXQ198" s="234"/>
      <c r="GXR198" s="234"/>
      <c r="GXS198" s="234"/>
      <c r="GXT198" s="234"/>
      <c r="GXU198" s="234"/>
      <c r="GXV198" s="234"/>
      <c r="GXW198" s="234"/>
      <c r="GXX198" s="234"/>
      <c r="GXY198" s="234"/>
      <c r="GXZ198" s="234"/>
      <c r="GYA198" s="234"/>
      <c r="GYB198" s="234"/>
      <c r="GYC198" s="234"/>
      <c r="GYD198" s="234"/>
      <c r="GYE198" s="234"/>
      <c r="GYF198" s="234"/>
      <c r="GYG198" s="234"/>
      <c r="GYH198" s="234"/>
      <c r="GYI198" s="234"/>
      <c r="GYJ198" s="234"/>
      <c r="GYK198" s="234"/>
      <c r="GYL198" s="234"/>
      <c r="GYM198" s="234"/>
      <c r="GYN198" s="234"/>
      <c r="GYO198" s="234"/>
      <c r="GYP198" s="234"/>
      <c r="GYQ198" s="234"/>
      <c r="GYR198" s="234"/>
      <c r="GYS198" s="234"/>
      <c r="GYT198" s="234"/>
      <c r="GYU198" s="234"/>
      <c r="GYV198" s="234"/>
      <c r="GYW198" s="234"/>
      <c r="GYX198" s="234"/>
      <c r="GYY198" s="234"/>
      <c r="GYZ198" s="234"/>
      <c r="GZA198" s="234"/>
      <c r="GZB198" s="234"/>
      <c r="GZC198" s="234"/>
      <c r="GZD198" s="234"/>
      <c r="GZE198" s="234"/>
      <c r="GZF198" s="234"/>
      <c r="GZG198" s="234"/>
      <c r="GZH198" s="234"/>
      <c r="GZI198" s="234"/>
      <c r="GZJ198" s="234"/>
      <c r="GZK198" s="234"/>
      <c r="GZL198" s="234"/>
      <c r="GZM198" s="234"/>
      <c r="GZN198" s="234"/>
      <c r="GZO198" s="234"/>
      <c r="GZP198" s="234"/>
      <c r="GZQ198" s="234"/>
      <c r="GZR198" s="234"/>
      <c r="GZS198" s="234"/>
      <c r="GZT198" s="234"/>
      <c r="GZU198" s="234"/>
      <c r="GZV198" s="234"/>
      <c r="GZW198" s="234"/>
      <c r="GZX198" s="234"/>
      <c r="GZY198" s="234"/>
      <c r="GZZ198" s="234"/>
      <c r="HAA198" s="234"/>
      <c r="HAB198" s="234"/>
      <c r="HAC198" s="234"/>
      <c r="HAD198" s="234"/>
      <c r="HAE198" s="234"/>
      <c r="HAF198" s="234"/>
      <c r="HAG198" s="234"/>
      <c r="HAH198" s="234"/>
      <c r="HAI198" s="234"/>
      <c r="HAJ198" s="234"/>
      <c r="HAK198" s="234"/>
      <c r="HAL198" s="234"/>
      <c r="HAM198" s="234"/>
      <c r="HAN198" s="234"/>
      <c r="HAO198" s="234"/>
      <c r="HAP198" s="234"/>
      <c r="HAQ198" s="234"/>
      <c r="HAR198" s="234"/>
      <c r="HAS198" s="234"/>
      <c r="HAT198" s="234"/>
      <c r="HAU198" s="234"/>
      <c r="HAV198" s="234"/>
      <c r="HAW198" s="234"/>
      <c r="HAX198" s="234"/>
      <c r="HAY198" s="234"/>
      <c r="HAZ198" s="234"/>
      <c r="HBA198" s="234"/>
      <c r="HBB198" s="234"/>
      <c r="HBC198" s="234"/>
      <c r="HBD198" s="234"/>
      <c r="HBE198" s="234"/>
      <c r="HBF198" s="234"/>
      <c r="HBG198" s="234"/>
      <c r="HBH198" s="234"/>
      <c r="HBI198" s="234"/>
      <c r="HBJ198" s="234"/>
      <c r="HBK198" s="234"/>
      <c r="HBL198" s="234"/>
      <c r="HBM198" s="234"/>
      <c r="HBN198" s="234"/>
      <c r="HBO198" s="234"/>
      <c r="HBP198" s="234"/>
      <c r="HBQ198" s="234"/>
      <c r="HBR198" s="234"/>
      <c r="HBS198" s="234"/>
      <c r="HBT198" s="234"/>
      <c r="HBU198" s="234"/>
      <c r="HBV198" s="234"/>
      <c r="HBW198" s="234"/>
      <c r="HBX198" s="234"/>
      <c r="HBY198" s="234"/>
      <c r="HBZ198" s="234"/>
      <c r="HCA198" s="234"/>
      <c r="HCB198" s="234"/>
      <c r="HCC198" s="234"/>
      <c r="HCD198" s="234"/>
      <c r="HCE198" s="234"/>
      <c r="HCF198" s="234"/>
      <c r="HCG198" s="234"/>
      <c r="HCH198" s="234"/>
      <c r="HCI198" s="234"/>
      <c r="HCJ198" s="234"/>
      <c r="HCK198" s="234"/>
      <c r="HCL198" s="234"/>
      <c r="HCM198" s="234"/>
      <c r="HCN198" s="234"/>
      <c r="HCO198" s="234"/>
      <c r="HCP198" s="234"/>
      <c r="HCQ198" s="234"/>
      <c r="HCR198" s="234"/>
      <c r="HCS198" s="234"/>
      <c r="HCT198" s="234"/>
      <c r="HCU198" s="234"/>
      <c r="HCV198" s="234"/>
      <c r="HCW198" s="234"/>
      <c r="HCX198" s="234"/>
      <c r="HCY198" s="234"/>
      <c r="HCZ198" s="234"/>
      <c r="HDA198" s="234"/>
      <c r="HDB198" s="234"/>
      <c r="HDC198" s="234"/>
      <c r="HDD198" s="234"/>
      <c r="HDE198" s="234"/>
      <c r="HDF198" s="234"/>
      <c r="HDG198" s="234"/>
      <c r="HDH198" s="234"/>
      <c r="HDI198" s="234"/>
      <c r="HDJ198" s="234"/>
      <c r="HDK198" s="234"/>
      <c r="HDL198" s="234"/>
      <c r="HDM198" s="234"/>
      <c r="HDN198" s="234"/>
      <c r="HDO198" s="234"/>
      <c r="HDP198" s="234"/>
      <c r="HDQ198" s="234"/>
      <c r="HDR198" s="234"/>
      <c r="HDS198" s="234"/>
      <c r="HDT198" s="234"/>
      <c r="HDU198" s="234"/>
      <c r="HDV198" s="234"/>
      <c r="HDW198" s="234"/>
      <c r="HDX198" s="234"/>
      <c r="HDY198" s="234"/>
      <c r="HDZ198" s="234"/>
      <c r="HEA198" s="234"/>
      <c r="HEB198" s="234"/>
      <c r="HEC198" s="234"/>
      <c r="HED198" s="234"/>
      <c r="HEE198" s="234"/>
      <c r="HEF198" s="234"/>
      <c r="HEG198" s="234"/>
      <c r="HEH198" s="234"/>
      <c r="HEI198" s="234"/>
      <c r="HEJ198" s="234"/>
      <c r="HEK198" s="234"/>
      <c r="HEL198" s="234"/>
      <c r="HEM198" s="234"/>
      <c r="HEN198" s="234"/>
      <c r="HEO198" s="234"/>
      <c r="HEP198" s="234"/>
      <c r="HEQ198" s="234"/>
      <c r="HER198" s="234"/>
      <c r="HES198" s="234"/>
      <c r="HET198" s="234"/>
      <c r="HEU198" s="234"/>
      <c r="HEV198" s="234"/>
      <c r="HEW198" s="234"/>
      <c r="HEX198" s="234"/>
      <c r="HEY198" s="234"/>
      <c r="HEZ198" s="234"/>
      <c r="HFA198" s="234"/>
      <c r="HFB198" s="234"/>
      <c r="HFC198" s="234"/>
      <c r="HFD198" s="234"/>
      <c r="HFE198" s="234"/>
      <c r="HFF198" s="234"/>
      <c r="HFG198" s="234"/>
      <c r="HFH198" s="234"/>
      <c r="HFI198" s="234"/>
      <c r="HFJ198" s="234"/>
      <c r="HFK198" s="234"/>
      <c r="HFL198" s="234"/>
      <c r="HFM198" s="234"/>
      <c r="HFN198" s="234"/>
      <c r="HFO198" s="234"/>
      <c r="HFP198" s="234"/>
      <c r="HFQ198" s="234"/>
      <c r="HFR198" s="234"/>
      <c r="HFS198" s="234"/>
      <c r="HFT198" s="234"/>
      <c r="HFU198" s="234"/>
      <c r="HFV198" s="234"/>
      <c r="HFW198" s="234"/>
      <c r="HFX198" s="234"/>
      <c r="HFY198" s="234"/>
      <c r="HFZ198" s="234"/>
      <c r="HGA198" s="234"/>
      <c r="HGB198" s="234"/>
      <c r="HGC198" s="234"/>
      <c r="HGD198" s="234"/>
      <c r="HGE198" s="234"/>
      <c r="HGF198" s="234"/>
      <c r="HGG198" s="234"/>
      <c r="HGH198" s="234"/>
      <c r="HGI198" s="234"/>
      <c r="HGJ198" s="234"/>
      <c r="HGK198" s="234"/>
      <c r="HGL198" s="234"/>
      <c r="HGM198" s="234"/>
      <c r="HGN198" s="234"/>
      <c r="HGO198" s="234"/>
      <c r="HGP198" s="234"/>
      <c r="HGQ198" s="234"/>
      <c r="HGR198" s="234"/>
      <c r="HGS198" s="234"/>
      <c r="HGT198" s="234"/>
      <c r="HGU198" s="234"/>
      <c r="HGV198" s="234"/>
      <c r="HGW198" s="234"/>
      <c r="HGX198" s="234"/>
      <c r="HGY198" s="234"/>
      <c r="HGZ198" s="234"/>
      <c r="HHA198" s="234"/>
      <c r="HHB198" s="234"/>
      <c r="HHC198" s="234"/>
      <c r="HHD198" s="234"/>
      <c r="HHE198" s="234"/>
      <c r="HHF198" s="234"/>
      <c r="HHG198" s="234"/>
      <c r="HHH198" s="234"/>
      <c r="HHI198" s="234"/>
      <c r="HHJ198" s="234"/>
      <c r="HHK198" s="234"/>
      <c r="HHL198" s="234"/>
      <c r="HHM198" s="234"/>
      <c r="HHN198" s="234"/>
      <c r="HHO198" s="234"/>
      <c r="HHP198" s="234"/>
      <c r="HHQ198" s="234"/>
      <c r="HHR198" s="234"/>
      <c r="HHS198" s="234"/>
      <c r="HHT198" s="234"/>
      <c r="HHU198" s="234"/>
      <c r="HHV198" s="234"/>
      <c r="HHW198" s="234"/>
      <c r="HHX198" s="234"/>
      <c r="HHY198" s="234"/>
      <c r="HHZ198" s="234"/>
      <c r="HIA198" s="234"/>
      <c r="HIB198" s="234"/>
      <c r="HIC198" s="234"/>
      <c r="HID198" s="234"/>
      <c r="HIE198" s="234"/>
      <c r="HIF198" s="234"/>
      <c r="HIG198" s="234"/>
      <c r="HIH198" s="234"/>
      <c r="HII198" s="234"/>
      <c r="HIJ198" s="234"/>
      <c r="HIK198" s="234"/>
      <c r="HIL198" s="234"/>
      <c r="HIM198" s="234"/>
      <c r="HIN198" s="234"/>
      <c r="HIO198" s="234"/>
      <c r="HIP198" s="234"/>
      <c r="HIQ198" s="234"/>
      <c r="HIR198" s="234"/>
      <c r="HIS198" s="234"/>
      <c r="HIT198" s="234"/>
      <c r="HIU198" s="234"/>
      <c r="HIV198" s="234"/>
      <c r="HIW198" s="234"/>
      <c r="HIX198" s="234"/>
      <c r="HIY198" s="234"/>
      <c r="HIZ198" s="234"/>
      <c r="HJA198" s="234"/>
      <c r="HJB198" s="234"/>
      <c r="HJC198" s="234"/>
      <c r="HJD198" s="234"/>
      <c r="HJE198" s="234"/>
      <c r="HJF198" s="234"/>
      <c r="HJG198" s="234"/>
      <c r="HJH198" s="234"/>
      <c r="HJI198" s="234"/>
      <c r="HJJ198" s="234"/>
      <c r="HJK198" s="234"/>
      <c r="HJL198" s="234"/>
      <c r="HJM198" s="234"/>
      <c r="HJN198" s="234"/>
      <c r="HJO198" s="234"/>
      <c r="HJP198" s="234"/>
      <c r="HJQ198" s="234"/>
      <c r="HJR198" s="234"/>
      <c r="HJS198" s="234"/>
      <c r="HJT198" s="234"/>
      <c r="HJU198" s="234"/>
      <c r="HJV198" s="234"/>
      <c r="HJW198" s="234"/>
      <c r="HJX198" s="234"/>
      <c r="HJY198" s="234"/>
      <c r="HJZ198" s="234"/>
      <c r="HKA198" s="234"/>
      <c r="HKB198" s="234"/>
      <c r="HKC198" s="234"/>
      <c r="HKD198" s="234"/>
      <c r="HKE198" s="234"/>
      <c r="HKF198" s="234"/>
      <c r="HKG198" s="234"/>
      <c r="HKH198" s="234"/>
      <c r="HKI198" s="234"/>
      <c r="HKJ198" s="234"/>
      <c r="HKK198" s="234"/>
      <c r="HKL198" s="234"/>
      <c r="HKM198" s="234"/>
      <c r="HKN198" s="234"/>
      <c r="HKO198" s="234"/>
      <c r="HKP198" s="234"/>
      <c r="HKQ198" s="234"/>
      <c r="HKR198" s="234"/>
      <c r="HKS198" s="234"/>
      <c r="HKT198" s="234"/>
      <c r="HKU198" s="234"/>
      <c r="HKV198" s="234"/>
      <c r="HKW198" s="234"/>
      <c r="HKX198" s="234"/>
      <c r="HKY198" s="234"/>
      <c r="HKZ198" s="234"/>
      <c r="HLA198" s="234"/>
      <c r="HLB198" s="234"/>
      <c r="HLC198" s="234"/>
      <c r="HLD198" s="234"/>
      <c r="HLE198" s="234"/>
      <c r="HLF198" s="234"/>
      <c r="HLG198" s="234"/>
      <c r="HLH198" s="234"/>
      <c r="HLI198" s="234"/>
      <c r="HLJ198" s="234"/>
      <c r="HLK198" s="234"/>
      <c r="HLL198" s="234"/>
      <c r="HLM198" s="234"/>
      <c r="HLN198" s="234"/>
      <c r="HLO198" s="234"/>
      <c r="HLP198" s="234"/>
      <c r="HLQ198" s="234"/>
      <c r="HLR198" s="234"/>
      <c r="HLS198" s="234"/>
      <c r="HLT198" s="234"/>
      <c r="HLU198" s="234"/>
      <c r="HLV198" s="234"/>
      <c r="HLW198" s="234"/>
      <c r="HLX198" s="234"/>
      <c r="HLY198" s="234"/>
      <c r="HLZ198" s="234"/>
      <c r="HMA198" s="234"/>
      <c r="HMB198" s="234"/>
      <c r="HMC198" s="234"/>
      <c r="HMD198" s="234"/>
      <c r="HME198" s="234"/>
      <c r="HMF198" s="234"/>
      <c r="HMG198" s="234"/>
      <c r="HMH198" s="234"/>
      <c r="HMI198" s="234"/>
      <c r="HMJ198" s="234"/>
      <c r="HMK198" s="234"/>
      <c r="HML198" s="234"/>
      <c r="HMM198" s="234"/>
      <c r="HMN198" s="234"/>
      <c r="HMO198" s="234"/>
      <c r="HMP198" s="234"/>
      <c r="HMQ198" s="234"/>
      <c r="HMR198" s="234"/>
      <c r="HMS198" s="234"/>
      <c r="HMT198" s="234"/>
      <c r="HMU198" s="234"/>
      <c r="HMV198" s="234"/>
      <c r="HMW198" s="234"/>
      <c r="HMX198" s="234"/>
      <c r="HMY198" s="234"/>
      <c r="HMZ198" s="234"/>
      <c r="HNA198" s="234"/>
      <c r="HNB198" s="234"/>
      <c r="HNC198" s="234"/>
      <c r="HND198" s="234"/>
      <c r="HNE198" s="234"/>
      <c r="HNF198" s="234"/>
      <c r="HNG198" s="234"/>
      <c r="HNH198" s="234"/>
      <c r="HNI198" s="234"/>
      <c r="HNJ198" s="234"/>
      <c r="HNK198" s="234"/>
      <c r="HNL198" s="234"/>
      <c r="HNM198" s="234"/>
      <c r="HNN198" s="234"/>
      <c r="HNO198" s="234"/>
      <c r="HNP198" s="234"/>
      <c r="HNQ198" s="234"/>
      <c r="HNR198" s="234"/>
      <c r="HNS198" s="234"/>
      <c r="HNT198" s="234"/>
      <c r="HNU198" s="234"/>
      <c r="HNV198" s="234"/>
      <c r="HNW198" s="234"/>
      <c r="HNX198" s="234"/>
      <c r="HNY198" s="234"/>
      <c r="HNZ198" s="234"/>
      <c r="HOA198" s="234"/>
      <c r="HOB198" s="234"/>
      <c r="HOC198" s="234"/>
      <c r="HOD198" s="234"/>
      <c r="HOE198" s="234"/>
      <c r="HOF198" s="234"/>
      <c r="HOG198" s="234"/>
      <c r="HOH198" s="234"/>
      <c r="HOI198" s="234"/>
      <c r="HOJ198" s="234"/>
      <c r="HOK198" s="234"/>
      <c r="HOL198" s="234"/>
      <c r="HOM198" s="234"/>
      <c r="HON198" s="234"/>
      <c r="HOO198" s="234"/>
      <c r="HOP198" s="234"/>
      <c r="HOQ198" s="234"/>
      <c r="HOR198" s="234"/>
      <c r="HOS198" s="234"/>
      <c r="HOT198" s="234"/>
      <c r="HOU198" s="234"/>
      <c r="HOV198" s="234"/>
      <c r="HOW198" s="234"/>
      <c r="HOX198" s="234"/>
      <c r="HOY198" s="234"/>
      <c r="HOZ198" s="234"/>
      <c r="HPA198" s="234"/>
      <c r="HPB198" s="234"/>
      <c r="HPC198" s="234"/>
      <c r="HPD198" s="234"/>
      <c r="HPE198" s="234"/>
      <c r="HPF198" s="234"/>
      <c r="HPG198" s="234"/>
      <c r="HPH198" s="234"/>
      <c r="HPI198" s="234"/>
      <c r="HPJ198" s="234"/>
      <c r="HPK198" s="234"/>
      <c r="HPL198" s="234"/>
      <c r="HPM198" s="234"/>
      <c r="HPN198" s="234"/>
      <c r="HPO198" s="234"/>
      <c r="HPP198" s="234"/>
      <c r="HPQ198" s="234"/>
      <c r="HPR198" s="234"/>
      <c r="HPS198" s="234"/>
      <c r="HPT198" s="234"/>
      <c r="HPU198" s="234"/>
      <c r="HPV198" s="234"/>
      <c r="HPW198" s="234"/>
      <c r="HPX198" s="234"/>
      <c r="HPY198" s="234"/>
      <c r="HPZ198" s="234"/>
      <c r="HQA198" s="234"/>
      <c r="HQB198" s="234"/>
      <c r="HQC198" s="234"/>
      <c r="HQD198" s="234"/>
      <c r="HQE198" s="234"/>
      <c r="HQF198" s="234"/>
      <c r="HQG198" s="234"/>
      <c r="HQH198" s="234"/>
      <c r="HQI198" s="234"/>
      <c r="HQJ198" s="234"/>
      <c r="HQK198" s="234"/>
      <c r="HQL198" s="234"/>
      <c r="HQM198" s="234"/>
      <c r="HQN198" s="234"/>
      <c r="HQO198" s="234"/>
      <c r="HQP198" s="234"/>
      <c r="HQQ198" s="234"/>
      <c r="HQR198" s="234"/>
      <c r="HQS198" s="234"/>
      <c r="HQT198" s="234"/>
      <c r="HQU198" s="234"/>
      <c r="HQV198" s="234"/>
      <c r="HQW198" s="234"/>
      <c r="HQX198" s="234"/>
      <c r="HQY198" s="234"/>
      <c r="HQZ198" s="234"/>
      <c r="HRA198" s="234"/>
      <c r="HRB198" s="234"/>
      <c r="HRC198" s="234"/>
      <c r="HRD198" s="234"/>
      <c r="HRE198" s="234"/>
      <c r="HRF198" s="234"/>
      <c r="HRG198" s="234"/>
      <c r="HRH198" s="234"/>
      <c r="HRI198" s="234"/>
      <c r="HRJ198" s="234"/>
      <c r="HRK198" s="234"/>
      <c r="HRL198" s="234"/>
      <c r="HRM198" s="234"/>
      <c r="HRN198" s="234"/>
      <c r="HRO198" s="234"/>
      <c r="HRP198" s="234"/>
      <c r="HRQ198" s="234"/>
      <c r="HRR198" s="234"/>
      <c r="HRS198" s="234"/>
      <c r="HRT198" s="234"/>
      <c r="HRU198" s="234"/>
      <c r="HRV198" s="234"/>
      <c r="HRW198" s="234"/>
      <c r="HRX198" s="234"/>
      <c r="HRY198" s="234"/>
      <c r="HRZ198" s="234"/>
      <c r="HSA198" s="234"/>
      <c r="HSB198" s="234"/>
      <c r="HSC198" s="234"/>
      <c r="HSD198" s="234"/>
      <c r="HSE198" s="234"/>
      <c r="HSF198" s="234"/>
      <c r="HSG198" s="234"/>
      <c r="HSH198" s="234"/>
      <c r="HSI198" s="234"/>
      <c r="HSJ198" s="234"/>
      <c r="HSK198" s="234"/>
      <c r="HSL198" s="234"/>
      <c r="HSM198" s="234"/>
      <c r="HSN198" s="234"/>
      <c r="HSO198" s="234"/>
      <c r="HSP198" s="234"/>
      <c r="HSQ198" s="234"/>
      <c r="HSR198" s="234"/>
      <c r="HSS198" s="234"/>
      <c r="HST198" s="234"/>
      <c r="HSU198" s="234"/>
      <c r="HSV198" s="234"/>
      <c r="HSW198" s="234"/>
      <c r="HSX198" s="234"/>
      <c r="HSY198" s="234"/>
      <c r="HSZ198" s="234"/>
      <c r="HTA198" s="234"/>
      <c r="HTB198" s="234"/>
      <c r="HTC198" s="234"/>
      <c r="HTD198" s="234"/>
      <c r="HTE198" s="234"/>
      <c r="HTF198" s="234"/>
      <c r="HTG198" s="234"/>
      <c r="HTH198" s="234"/>
      <c r="HTI198" s="234"/>
      <c r="HTJ198" s="234"/>
      <c r="HTK198" s="234"/>
      <c r="HTL198" s="234"/>
      <c r="HTM198" s="234"/>
      <c r="HTN198" s="234"/>
      <c r="HTO198" s="234"/>
      <c r="HTP198" s="234"/>
      <c r="HTQ198" s="234"/>
      <c r="HTR198" s="234"/>
      <c r="HTS198" s="234"/>
      <c r="HTT198" s="234"/>
      <c r="HTU198" s="234"/>
      <c r="HTV198" s="234"/>
      <c r="HTW198" s="234"/>
      <c r="HTX198" s="234"/>
      <c r="HTY198" s="234"/>
      <c r="HTZ198" s="234"/>
      <c r="HUA198" s="234"/>
      <c r="HUB198" s="234"/>
      <c r="HUC198" s="234"/>
      <c r="HUD198" s="234"/>
      <c r="HUE198" s="234"/>
      <c r="HUF198" s="234"/>
      <c r="HUG198" s="234"/>
      <c r="HUH198" s="234"/>
      <c r="HUI198" s="234"/>
      <c r="HUJ198" s="234"/>
      <c r="HUK198" s="234"/>
      <c r="HUL198" s="234"/>
      <c r="HUM198" s="234"/>
      <c r="HUN198" s="234"/>
      <c r="HUO198" s="234"/>
      <c r="HUP198" s="234"/>
      <c r="HUQ198" s="234"/>
      <c r="HUR198" s="234"/>
      <c r="HUS198" s="234"/>
      <c r="HUT198" s="234"/>
      <c r="HUU198" s="234"/>
      <c r="HUV198" s="234"/>
      <c r="HUW198" s="234"/>
      <c r="HUX198" s="234"/>
      <c r="HUY198" s="234"/>
      <c r="HUZ198" s="234"/>
      <c r="HVA198" s="234"/>
      <c r="HVB198" s="234"/>
      <c r="HVC198" s="234"/>
      <c r="HVD198" s="234"/>
      <c r="HVE198" s="234"/>
      <c r="HVF198" s="234"/>
      <c r="HVG198" s="234"/>
      <c r="HVH198" s="234"/>
      <c r="HVI198" s="234"/>
      <c r="HVJ198" s="234"/>
      <c r="HVK198" s="234"/>
      <c r="HVL198" s="234"/>
      <c r="HVM198" s="234"/>
      <c r="HVN198" s="234"/>
      <c r="HVO198" s="234"/>
      <c r="HVP198" s="234"/>
      <c r="HVQ198" s="234"/>
      <c r="HVR198" s="234"/>
      <c r="HVS198" s="234"/>
      <c r="HVT198" s="234"/>
      <c r="HVU198" s="234"/>
      <c r="HVV198" s="234"/>
      <c r="HVW198" s="234"/>
      <c r="HVX198" s="234"/>
      <c r="HVY198" s="234"/>
      <c r="HVZ198" s="234"/>
      <c r="HWA198" s="234"/>
      <c r="HWB198" s="234"/>
      <c r="HWC198" s="234"/>
      <c r="HWD198" s="234"/>
      <c r="HWE198" s="234"/>
      <c r="HWF198" s="234"/>
      <c r="HWG198" s="234"/>
      <c r="HWH198" s="234"/>
      <c r="HWI198" s="234"/>
      <c r="HWJ198" s="234"/>
      <c r="HWK198" s="234"/>
      <c r="HWL198" s="234"/>
      <c r="HWM198" s="234"/>
      <c r="HWN198" s="234"/>
      <c r="HWO198" s="234"/>
      <c r="HWP198" s="234"/>
      <c r="HWQ198" s="234"/>
      <c r="HWR198" s="234"/>
      <c r="HWS198" s="234"/>
      <c r="HWT198" s="234"/>
      <c r="HWU198" s="234"/>
      <c r="HWV198" s="234"/>
      <c r="HWW198" s="234"/>
      <c r="HWX198" s="234"/>
      <c r="HWY198" s="234"/>
      <c r="HWZ198" s="234"/>
      <c r="HXA198" s="234"/>
      <c r="HXB198" s="234"/>
      <c r="HXC198" s="234"/>
      <c r="HXD198" s="234"/>
      <c r="HXE198" s="234"/>
      <c r="HXF198" s="234"/>
      <c r="HXG198" s="234"/>
      <c r="HXH198" s="234"/>
      <c r="HXI198" s="234"/>
      <c r="HXJ198" s="234"/>
      <c r="HXK198" s="234"/>
      <c r="HXL198" s="234"/>
      <c r="HXM198" s="234"/>
      <c r="HXN198" s="234"/>
      <c r="HXO198" s="234"/>
      <c r="HXP198" s="234"/>
      <c r="HXQ198" s="234"/>
      <c r="HXR198" s="234"/>
      <c r="HXS198" s="234"/>
      <c r="HXT198" s="234"/>
      <c r="HXU198" s="234"/>
      <c r="HXV198" s="234"/>
      <c r="HXW198" s="234"/>
      <c r="HXX198" s="234"/>
      <c r="HXY198" s="234"/>
      <c r="HXZ198" s="234"/>
      <c r="HYA198" s="234"/>
      <c r="HYB198" s="234"/>
      <c r="HYC198" s="234"/>
      <c r="HYD198" s="234"/>
      <c r="HYE198" s="234"/>
      <c r="HYF198" s="234"/>
      <c r="HYG198" s="234"/>
      <c r="HYH198" s="234"/>
      <c r="HYI198" s="234"/>
      <c r="HYJ198" s="234"/>
      <c r="HYK198" s="234"/>
      <c r="HYL198" s="234"/>
      <c r="HYM198" s="234"/>
      <c r="HYN198" s="234"/>
      <c r="HYO198" s="234"/>
      <c r="HYP198" s="234"/>
      <c r="HYQ198" s="234"/>
      <c r="HYR198" s="234"/>
      <c r="HYS198" s="234"/>
      <c r="HYT198" s="234"/>
      <c r="HYU198" s="234"/>
      <c r="HYV198" s="234"/>
      <c r="HYW198" s="234"/>
      <c r="HYX198" s="234"/>
      <c r="HYY198" s="234"/>
      <c r="HYZ198" s="234"/>
      <c r="HZA198" s="234"/>
      <c r="HZB198" s="234"/>
      <c r="HZC198" s="234"/>
      <c r="HZD198" s="234"/>
      <c r="HZE198" s="234"/>
      <c r="HZF198" s="234"/>
      <c r="HZG198" s="234"/>
      <c r="HZH198" s="234"/>
      <c r="HZI198" s="234"/>
      <c r="HZJ198" s="234"/>
      <c r="HZK198" s="234"/>
      <c r="HZL198" s="234"/>
      <c r="HZM198" s="234"/>
      <c r="HZN198" s="234"/>
      <c r="HZO198" s="234"/>
      <c r="HZP198" s="234"/>
      <c r="HZQ198" s="234"/>
      <c r="HZR198" s="234"/>
      <c r="HZS198" s="234"/>
      <c r="HZT198" s="234"/>
      <c r="HZU198" s="234"/>
      <c r="HZV198" s="234"/>
      <c r="HZW198" s="234"/>
      <c r="HZX198" s="234"/>
      <c r="HZY198" s="234"/>
      <c r="HZZ198" s="234"/>
      <c r="IAA198" s="234"/>
      <c r="IAB198" s="234"/>
      <c r="IAC198" s="234"/>
      <c r="IAD198" s="234"/>
      <c r="IAE198" s="234"/>
      <c r="IAF198" s="234"/>
      <c r="IAG198" s="234"/>
      <c r="IAH198" s="234"/>
      <c r="IAI198" s="234"/>
      <c r="IAJ198" s="234"/>
      <c r="IAK198" s="234"/>
      <c r="IAL198" s="234"/>
      <c r="IAM198" s="234"/>
      <c r="IAN198" s="234"/>
      <c r="IAO198" s="234"/>
      <c r="IAP198" s="234"/>
      <c r="IAQ198" s="234"/>
      <c r="IAR198" s="234"/>
      <c r="IAS198" s="234"/>
      <c r="IAT198" s="234"/>
      <c r="IAU198" s="234"/>
      <c r="IAV198" s="234"/>
      <c r="IAW198" s="234"/>
      <c r="IAX198" s="234"/>
      <c r="IAY198" s="234"/>
      <c r="IAZ198" s="234"/>
      <c r="IBA198" s="234"/>
      <c r="IBB198" s="234"/>
      <c r="IBC198" s="234"/>
      <c r="IBD198" s="234"/>
      <c r="IBE198" s="234"/>
      <c r="IBF198" s="234"/>
      <c r="IBG198" s="234"/>
      <c r="IBH198" s="234"/>
      <c r="IBI198" s="234"/>
      <c r="IBJ198" s="234"/>
      <c r="IBK198" s="234"/>
      <c r="IBL198" s="234"/>
      <c r="IBM198" s="234"/>
      <c r="IBN198" s="234"/>
      <c r="IBO198" s="234"/>
      <c r="IBP198" s="234"/>
      <c r="IBQ198" s="234"/>
      <c r="IBR198" s="234"/>
      <c r="IBS198" s="234"/>
      <c r="IBT198" s="234"/>
      <c r="IBU198" s="234"/>
      <c r="IBV198" s="234"/>
      <c r="IBW198" s="234"/>
      <c r="IBX198" s="234"/>
      <c r="IBY198" s="234"/>
      <c r="IBZ198" s="234"/>
      <c r="ICA198" s="234"/>
      <c r="ICB198" s="234"/>
      <c r="ICC198" s="234"/>
      <c r="ICD198" s="234"/>
      <c r="ICE198" s="234"/>
      <c r="ICF198" s="234"/>
      <c r="ICG198" s="234"/>
      <c r="ICH198" s="234"/>
      <c r="ICI198" s="234"/>
      <c r="ICJ198" s="234"/>
      <c r="ICK198" s="234"/>
      <c r="ICL198" s="234"/>
      <c r="ICM198" s="234"/>
      <c r="ICN198" s="234"/>
      <c r="ICO198" s="234"/>
      <c r="ICP198" s="234"/>
      <c r="ICQ198" s="234"/>
      <c r="ICR198" s="234"/>
      <c r="ICS198" s="234"/>
      <c r="ICT198" s="234"/>
      <c r="ICU198" s="234"/>
      <c r="ICV198" s="234"/>
      <c r="ICW198" s="234"/>
      <c r="ICX198" s="234"/>
      <c r="ICY198" s="234"/>
      <c r="ICZ198" s="234"/>
      <c r="IDA198" s="234"/>
      <c r="IDB198" s="234"/>
      <c r="IDC198" s="234"/>
      <c r="IDD198" s="234"/>
      <c r="IDE198" s="234"/>
      <c r="IDF198" s="234"/>
      <c r="IDG198" s="234"/>
      <c r="IDH198" s="234"/>
      <c r="IDI198" s="234"/>
      <c r="IDJ198" s="234"/>
      <c r="IDK198" s="234"/>
      <c r="IDL198" s="234"/>
      <c r="IDM198" s="234"/>
      <c r="IDN198" s="234"/>
      <c r="IDO198" s="234"/>
      <c r="IDP198" s="234"/>
      <c r="IDQ198" s="234"/>
      <c r="IDR198" s="234"/>
      <c r="IDS198" s="234"/>
      <c r="IDT198" s="234"/>
      <c r="IDU198" s="234"/>
      <c r="IDV198" s="234"/>
      <c r="IDW198" s="234"/>
      <c r="IDX198" s="234"/>
      <c r="IDY198" s="234"/>
      <c r="IDZ198" s="234"/>
      <c r="IEA198" s="234"/>
      <c r="IEB198" s="234"/>
      <c r="IEC198" s="234"/>
      <c r="IED198" s="234"/>
      <c r="IEE198" s="234"/>
      <c r="IEF198" s="234"/>
      <c r="IEG198" s="234"/>
      <c r="IEH198" s="234"/>
      <c r="IEI198" s="234"/>
      <c r="IEJ198" s="234"/>
      <c r="IEK198" s="234"/>
      <c r="IEL198" s="234"/>
      <c r="IEM198" s="234"/>
      <c r="IEN198" s="234"/>
      <c r="IEO198" s="234"/>
      <c r="IEP198" s="234"/>
      <c r="IEQ198" s="234"/>
      <c r="IER198" s="234"/>
      <c r="IES198" s="234"/>
      <c r="IET198" s="234"/>
      <c r="IEU198" s="234"/>
      <c r="IEV198" s="234"/>
      <c r="IEW198" s="234"/>
      <c r="IEX198" s="234"/>
      <c r="IEY198" s="234"/>
      <c r="IEZ198" s="234"/>
      <c r="IFA198" s="234"/>
      <c r="IFB198" s="234"/>
      <c r="IFC198" s="234"/>
      <c r="IFD198" s="234"/>
      <c r="IFE198" s="234"/>
      <c r="IFF198" s="234"/>
      <c r="IFG198" s="234"/>
      <c r="IFH198" s="234"/>
      <c r="IFI198" s="234"/>
      <c r="IFJ198" s="234"/>
      <c r="IFK198" s="234"/>
      <c r="IFL198" s="234"/>
      <c r="IFM198" s="234"/>
      <c r="IFN198" s="234"/>
      <c r="IFO198" s="234"/>
      <c r="IFP198" s="234"/>
      <c r="IFQ198" s="234"/>
      <c r="IFR198" s="234"/>
      <c r="IFS198" s="234"/>
      <c r="IFT198" s="234"/>
      <c r="IFU198" s="234"/>
      <c r="IFV198" s="234"/>
      <c r="IFW198" s="234"/>
      <c r="IFX198" s="234"/>
      <c r="IFY198" s="234"/>
      <c r="IFZ198" s="234"/>
      <c r="IGA198" s="234"/>
      <c r="IGB198" s="234"/>
      <c r="IGC198" s="234"/>
      <c r="IGD198" s="234"/>
      <c r="IGE198" s="234"/>
      <c r="IGF198" s="234"/>
      <c r="IGG198" s="234"/>
      <c r="IGH198" s="234"/>
      <c r="IGI198" s="234"/>
      <c r="IGJ198" s="234"/>
      <c r="IGK198" s="234"/>
      <c r="IGL198" s="234"/>
      <c r="IGM198" s="234"/>
      <c r="IGN198" s="234"/>
      <c r="IGO198" s="234"/>
      <c r="IGP198" s="234"/>
      <c r="IGQ198" s="234"/>
      <c r="IGR198" s="234"/>
      <c r="IGS198" s="234"/>
      <c r="IGT198" s="234"/>
      <c r="IGU198" s="234"/>
      <c r="IGV198" s="234"/>
      <c r="IGW198" s="234"/>
      <c r="IGX198" s="234"/>
      <c r="IGY198" s="234"/>
      <c r="IGZ198" s="234"/>
      <c r="IHA198" s="234"/>
      <c r="IHB198" s="234"/>
      <c r="IHC198" s="234"/>
      <c r="IHD198" s="234"/>
      <c r="IHE198" s="234"/>
      <c r="IHF198" s="234"/>
      <c r="IHG198" s="234"/>
      <c r="IHH198" s="234"/>
      <c r="IHI198" s="234"/>
      <c r="IHJ198" s="234"/>
      <c r="IHK198" s="234"/>
      <c r="IHL198" s="234"/>
      <c r="IHM198" s="234"/>
      <c r="IHN198" s="234"/>
      <c r="IHO198" s="234"/>
      <c r="IHP198" s="234"/>
      <c r="IHQ198" s="234"/>
      <c r="IHR198" s="234"/>
      <c r="IHS198" s="234"/>
      <c r="IHT198" s="234"/>
      <c r="IHU198" s="234"/>
      <c r="IHV198" s="234"/>
      <c r="IHW198" s="234"/>
      <c r="IHX198" s="234"/>
      <c r="IHY198" s="234"/>
      <c r="IHZ198" s="234"/>
      <c r="IIA198" s="234"/>
      <c r="IIB198" s="234"/>
      <c r="IIC198" s="234"/>
      <c r="IID198" s="234"/>
      <c r="IIE198" s="234"/>
      <c r="IIF198" s="234"/>
      <c r="IIG198" s="234"/>
      <c r="IIH198" s="234"/>
      <c r="III198" s="234"/>
      <c r="IIJ198" s="234"/>
      <c r="IIK198" s="234"/>
      <c r="IIL198" s="234"/>
      <c r="IIM198" s="234"/>
      <c r="IIN198" s="234"/>
      <c r="IIO198" s="234"/>
      <c r="IIP198" s="234"/>
      <c r="IIQ198" s="234"/>
      <c r="IIR198" s="234"/>
      <c r="IIS198" s="234"/>
      <c r="IIT198" s="234"/>
      <c r="IIU198" s="234"/>
      <c r="IIV198" s="234"/>
      <c r="IIW198" s="234"/>
      <c r="IIX198" s="234"/>
      <c r="IIY198" s="234"/>
      <c r="IIZ198" s="234"/>
      <c r="IJA198" s="234"/>
      <c r="IJB198" s="234"/>
      <c r="IJC198" s="234"/>
      <c r="IJD198" s="234"/>
      <c r="IJE198" s="234"/>
      <c r="IJF198" s="234"/>
      <c r="IJG198" s="234"/>
      <c r="IJH198" s="234"/>
      <c r="IJI198" s="234"/>
      <c r="IJJ198" s="234"/>
      <c r="IJK198" s="234"/>
      <c r="IJL198" s="234"/>
      <c r="IJM198" s="234"/>
      <c r="IJN198" s="234"/>
      <c r="IJO198" s="234"/>
      <c r="IJP198" s="234"/>
      <c r="IJQ198" s="234"/>
      <c r="IJR198" s="234"/>
      <c r="IJS198" s="234"/>
      <c r="IJT198" s="234"/>
      <c r="IJU198" s="234"/>
      <c r="IJV198" s="234"/>
      <c r="IJW198" s="234"/>
      <c r="IJX198" s="234"/>
      <c r="IJY198" s="234"/>
      <c r="IJZ198" s="234"/>
      <c r="IKA198" s="234"/>
      <c r="IKB198" s="234"/>
      <c r="IKC198" s="234"/>
      <c r="IKD198" s="234"/>
      <c r="IKE198" s="234"/>
      <c r="IKF198" s="234"/>
      <c r="IKG198" s="234"/>
      <c r="IKH198" s="234"/>
      <c r="IKI198" s="234"/>
      <c r="IKJ198" s="234"/>
      <c r="IKK198" s="234"/>
      <c r="IKL198" s="234"/>
      <c r="IKM198" s="234"/>
      <c r="IKN198" s="234"/>
      <c r="IKO198" s="234"/>
      <c r="IKP198" s="234"/>
      <c r="IKQ198" s="234"/>
      <c r="IKR198" s="234"/>
      <c r="IKS198" s="234"/>
      <c r="IKT198" s="234"/>
      <c r="IKU198" s="234"/>
      <c r="IKV198" s="234"/>
      <c r="IKW198" s="234"/>
      <c r="IKX198" s="234"/>
      <c r="IKY198" s="234"/>
      <c r="IKZ198" s="234"/>
      <c r="ILA198" s="234"/>
      <c r="ILB198" s="234"/>
      <c r="ILC198" s="234"/>
      <c r="ILD198" s="234"/>
      <c r="ILE198" s="234"/>
      <c r="ILF198" s="234"/>
      <c r="ILG198" s="234"/>
      <c r="ILH198" s="234"/>
      <c r="ILI198" s="234"/>
      <c r="ILJ198" s="234"/>
      <c r="ILK198" s="234"/>
      <c r="ILL198" s="234"/>
      <c r="ILM198" s="234"/>
      <c r="ILN198" s="234"/>
      <c r="ILO198" s="234"/>
      <c r="ILP198" s="234"/>
      <c r="ILQ198" s="234"/>
      <c r="ILR198" s="234"/>
      <c r="ILS198" s="234"/>
      <c r="ILT198" s="234"/>
      <c r="ILU198" s="234"/>
      <c r="ILV198" s="234"/>
      <c r="ILW198" s="234"/>
      <c r="ILX198" s="234"/>
      <c r="ILY198" s="234"/>
      <c r="ILZ198" s="234"/>
      <c r="IMA198" s="234"/>
      <c r="IMB198" s="234"/>
      <c r="IMC198" s="234"/>
      <c r="IMD198" s="234"/>
      <c r="IME198" s="234"/>
      <c r="IMF198" s="234"/>
      <c r="IMG198" s="234"/>
      <c r="IMH198" s="234"/>
      <c r="IMI198" s="234"/>
      <c r="IMJ198" s="234"/>
      <c r="IMK198" s="234"/>
      <c r="IML198" s="234"/>
      <c r="IMM198" s="234"/>
      <c r="IMN198" s="234"/>
      <c r="IMO198" s="234"/>
      <c r="IMP198" s="234"/>
      <c r="IMQ198" s="234"/>
      <c r="IMR198" s="234"/>
      <c r="IMS198" s="234"/>
      <c r="IMT198" s="234"/>
      <c r="IMU198" s="234"/>
      <c r="IMV198" s="234"/>
      <c r="IMW198" s="234"/>
      <c r="IMX198" s="234"/>
      <c r="IMY198" s="234"/>
      <c r="IMZ198" s="234"/>
      <c r="INA198" s="234"/>
      <c r="INB198" s="234"/>
      <c r="INC198" s="234"/>
      <c r="IND198" s="234"/>
      <c r="INE198" s="234"/>
      <c r="INF198" s="234"/>
      <c r="ING198" s="234"/>
      <c r="INH198" s="234"/>
      <c r="INI198" s="234"/>
      <c r="INJ198" s="234"/>
      <c r="INK198" s="234"/>
      <c r="INL198" s="234"/>
      <c r="INM198" s="234"/>
      <c r="INN198" s="234"/>
      <c r="INO198" s="234"/>
      <c r="INP198" s="234"/>
      <c r="INQ198" s="234"/>
      <c r="INR198" s="234"/>
      <c r="INS198" s="234"/>
      <c r="INT198" s="234"/>
      <c r="INU198" s="234"/>
      <c r="INV198" s="234"/>
      <c r="INW198" s="234"/>
      <c r="INX198" s="234"/>
      <c r="INY198" s="234"/>
      <c r="INZ198" s="234"/>
      <c r="IOA198" s="234"/>
      <c r="IOB198" s="234"/>
      <c r="IOC198" s="234"/>
      <c r="IOD198" s="234"/>
      <c r="IOE198" s="234"/>
      <c r="IOF198" s="234"/>
      <c r="IOG198" s="234"/>
      <c r="IOH198" s="234"/>
      <c r="IOI198" s="234"/>
      <c r="IOJ198" s="234"/>
      <c r="IOK198" s="234"/>
      <c r="IOL198" s="234"/>
      <c r="IOM198" s="234"/>
      <c r="ION198" s="234"/>
      <c r="IOO198" s="234"/>
      <c r="IOP198" s="234"/>
      <c r="IOQ198" s="234"/>
      <c r="IOR198" s="234"/>
      <c r="IOS198" s="234"/>
      <c r="IOT198" s="234"/>
      <c r="IOU198" s="234"/>
      <c r="IOV198" s="234"/>
      <c r="IOW198" s="234"/>
      <c r="IOX198" s="234"/>
      <c r="IOY198" s="234"/>
      <c r="IOZ198" s="234"/>
      <c r="IPA198" s="234"/>
      <c r="IPB198" s="234"/>
      <c r="IPC198" s="234"/>
      <c r="IPD198" s="234"/>
      <c r="IPE198" s="234"/>
      <c r="IPF198" s="234"/>
      <c r="IPG198" s="234"/>
      <c r="IPH198" s="234"/>
      <c r="IPI198" s="234"/>
      <c r="IPJ198" s="234"/>
      <c r="IPK198" s="234"/>
      <c r="IPL198" s="234"/>
      <c r="IPM198" s="234"/>
      <c r="IPN198" s="234"/>
      <c r="IPO198" s="234"/>
      <c r="IPP198" s="234"/>
      <c r="IPQ198" s="234"/>
      <c r="IPR198" s="234"/>
      <c r="IPS198" s="234"/>
      <c r="IPT198" s="234"/>
      <c r="IPU198" s="234"/>
      <c r="IPV198" s="234"/>
      <c r="IPW198" s="234"/>
      <c r="IPX198" s="234"/>
      <c r="IPY198" s="234"/>
      <c r="IPZ198" s="234"/>
      <c r="IQA198" s="234"/>
      <c r="IQB198" s="234"/>
      <c r="IQC198" s="234"/>
      <c r="IQD198" s="234"/>
      <c r="IQE198" s="234"/>
      <c r="IQF198" s="234"/>
      <c r="IQG198" s="234"/>
      <c r="IQH198" s="234"/>
      <c r="IQI198" s="234"/>
      <c r="IQJ198" s="234"/>
      <c r="IQK198" s="234"/>
      <c r="IQL198" s="234"/>
      <c r="IQM198" s="234"/>
      <c r="IQN198" s="234"/>
      <c r="IQO198" s="234"/>
      <c r="IQP198" s="234"/>
      <c r="IQQ198" s="234"/>
      <c r="IQR198" s="234"/>
      <c r="IQS198" s="234"/>
      <c r="IQT198" s="234"/>
      <c r="IQU198" s="234"/>
      <c r="IQV198" s="234"/>
      <c r="IQW198" s="234"/>
      <c r="IQX198" s="234"/>
      <c r="IQY198" s="234"/>
      <c r="IQZ198" s="234"/>
      <c r="IRA198" s="234"/>
      <c r="IRB198" s="234"/>
      <c r="IRC198" s="234"/>
      <c r="IRD198" s="234"/>
      <c r="IRE198" s="234"/>
      <c r="IRF198" s="234"/>
      <c r="IRG198" s="234"/>
      <c r="IRH198" s="234"/>
      <c r="IRI198" s="234"/>
      <c r="IRJ198" s="234"/>
      <c r="IRK198" s="234"/>
      <c r="IRL198" s="234"/>
      <c r="IRM198" s="234"/>
      <c r="IRN198" s="234"/>
      <c r="IRO198" s="234"/>
      <c r="IRP198" s="234"/>
      <c r="IRQ198" s="234"/>
      <c r="IRR198" s="234"/>
      <c r="IRS198" s="234"/>
      <c r="IRT198" s="234"/>
      <c r="IRU198" s="234"/>
      <c r="IRV198" s="234"/>
      <c r="IRW198" s="234"/>
      <c r="IRX198" s="234"/>
      <c r="IRY198" s="234"/>
      <c r="IRZ198" s="234"/>
      <c r="ISA198" s="234"/>
      <c r="ISB198" s="234"/>
      <c r="ISC198" s="234"/>
      <c r="ISD198" s="234"/>
      <c r="ISE198" s="234"/>
      <c r="ISF198" s="234"/>
      <c r="ISG198" s="234"/>
      <c r="ISH198" s="234"/>
      <c r="ISI198" s="234"/>
      <c r="ISJ198" s="234"/>
      <c r="ISK198" s="234"/>
      <c r="ISL198" s="234"/>
      <c r="ISM198" s="234"/>
      <c r="ISN198" s="234"/>
      <c r="ISO198" s="234"/>
      <c r="ISP198" s="234"/>
      <c r="ISQ198" s="234"/>
      <c r="ISR198" s="234"/>
      <c r="ISS198" s="234"/>
      <c r="IST198" s="234"/>
      <c r="ISU198" s="234"/>
      <c r="ISV198" s="234"/>
      <c r="ISW198" s="234"/>
      <c r="ISX198" s="234"/>
      <c r="ISY198" s="234"/>
      <c r="ISZ198" s="234"/>
      <c r="ITA198" s="234"/>
      <c r="ITB198" s="234"/>
      <c r="ITC198" s="234"/>
      <c r="ITD198" s="234"/>
      <c r="ITE198" s="234"/>
      <c r="ITF198" s="234"/>
      <c r="ITG198" s="234"/>
      <c r="ITH198" s="234"/>
      <c r="ITI198" s="234"/>
      <c r="ITJ198" s="234"/>
      <c r="ITK198" s="234"/>
      <c r="ITL198" s="234"/>
      <c r="ITM198" s="234"/>
      <c r="ITN198" s="234"/>
      <c r="ITO198" s="234"/>
      <c r="ITP198" s="234"/>
      <c r="ITQ198" s="234"/>
      <c r="ITR198" s="234"/>
      <c r="ITS198" s="234"/>
      <c r="ITT198" s="234"/>
      <c r="ITU198" s="234"/>
      <c r="ITV198" s="234"/>
      <c r="ITW198" s="234"/>
      <c r="ITX198" s="234"/>
      <c r="ITY198" s="234"/>
      <c r="ITZ198" s="234"/>
      <c r="IUA198" s="234"/>
      <c r="IUB198" s="234"/>
      <c r="IUC198" s="234"/>
      <c r="IUD198" s="234"/>
      <c r="IUE198" s="234"/>
      <c r="IUF198" s="234"/>
      <c r="IUG198" s="234"/>
      <c r="IUH198" s="234"/>
      <c r="IUI198" s="234"/>
      <c r="IUJ198" s="234"/>
      <c r="IUK198" s="234"/>
      <c r="IUL198" s="234"/>
      <c r="IUM198" s="234"/>
      <c r="IUN198" s="234"/>
      <c r="IUO198" s="234"/>
      <c r="IUP198" s="234"/>
      <c r="IUQ198" s="234"/>
      <c r="IUR198" s="234"/>
      <c r="IUS198" s="234"/>
      <c r="IUT198" s="234"/>
      <c r="IUU198" s="234"/>
      <c r="IUV198" s="234"/>
      <c r="IUW198" s="234"/>
      <c r="IUX198" s="234"/>
      <c r="IUY198" s="234"/>
      <c r="IUZ198" s="234"/>
      <c r="IVA198" s="234"/>
      <c r="IVB198" s="234"/>
      <c r="IVC198" s="234"/>
      <c r="IVD198" s="234"/>
      <c r="IVE198" s="234"/>
      <c r="IVF198" s="234"/>
      <c r="IVG198" s="234"/>
      <c r="IVH198" s="234"/>
      <c r="IVI198" s="234"/>
      <c r="IVJ198" s="234"/>
      <c r="IVK198" s="234"/>
      <c r="IVL198" s="234"/>
      <c r="IVM198" s="234"/>
      <c r="IVN198" s="234"/>
      <c r="IVO198" s="234"/>
      <c r="IVP198" s="234"/>
      <c r="IVQ198" s="234"/>
      <c r="IVR198" s="234"/>
      <c r="IVS198" s="234"/>
      <c r="IVT198" s="234"/>
      <c r="IVU198" s="234"/>
      <c r="IVV198" s="234"/>
      <c r="IVW198" s="234"/>
      <c r="IVX198" s="234"/>
      <c r="IVY198" s="234"/>
      <c r="IVZ198" s="234"/>
      <c r="IWA198" s="234"/>
      <c r="IWB198" s="234"/>
      <c r="IWC198" s="234"/>
      <c r="IWD198" s="234"/>
      <c r="IWE198" s="234"/>
      <c r="IWF198" s="234"/>
      <c r="IWG198" s="234"/>
      <c r="IWH198" s="234"/>
      <c r="IWI198" s="234"/>
      <c r="IWJ198" s="234"/>
      <c r="IWK198" s="234"/>
      <c r="IWL198" s="234"/>
      <c r="IWM198" s="234"/>
      <c r="IWN198" s="234"/>
      <c r="IWO198" s="234"/>
      <c r="IWP198" s="234"/>
      <c r="IWQ198" s="234"/>
      <c r="IWR198" s="234"/>
      <c r="IWS198" s="234"/>
      <c r="IWT198" s="234"/>
      <c r="IWU198" s="234"/>
      <c r="IWV198" s="234"/>
      <c r="IWW198" s="234"/>
      <c r="IWX198" s="234"/>
      <c r="IWY198" s="234"/>
      <c r="IWZ198" s="234"/>
      <c r="IXA198" s="234"/>
      <c r="IXB198" s="234"/>
      <c r="IXC198" s="234"/>
      <c r="IXD198" s="234"/>
      <c r="IXE198" s="234"/>
      <c r="IXF198" s="234"/>
      <c r="IXG198" s="234"/>
      <c r="IXH198" s="234"/>
      <c r="IXI198" s="234"/>
      <c r="IXJ198" s="234"/>
      <c r="IXK198" s="234"/>
      <c r="IXL198" s="234"/>
      <c r="IXM198" s="234"/>
      <c r="IXN198" s="234"/>
      <c r="IXO198" s="234"/>
      <c r="IXP198" s="234"/>
      <c r="IXQ198" s="234"/>
      <c r="IXR198" s="234"/>
      <c r="IXS198" s="234"/>
      <c r="IXT198" s="234"/>
      <c r="IXU198" s="234"/>
      <c r="IXV198" s="234"/>
      <c r="IXW198" s="234"/>
      <c r="IXX198" s="234"/>
      <c r="IXY198" s="234"/>
      <c r="IXZ198" s="234"/>
      <c r="IYA198" s="234"/>
      <c r="IYB198" s="234"/>
      <c r="IYC198" s="234"/>
      <c r="IYD198" s="234"/>
      <c r="IYE198" s="234"/>
      <c r="IYF198" s="234"/>
      <c r="IYG198" s="234"/>
      <c r="IYH198" s="234"/>
      <c r="IYI198" s="234"/>
      <c r="IYJ198" s="234"/>
      <c r="IYK198" s="234"/>
      <c r="IYL198" s="234"/>
      <c r="IYM198" s="234"/>
      <c r="IYN198" s="234"/>
      <c r="IYO198" s="234"/>
      <c r="IYP198" s="234"/>
      <c r="IYQ198" s="234"/>
      <c r="IYR198" s="234"/>
      <c r="IYS198" s="234"/>
      <c r="IYT198" s="234"/>
      <c r="IYU198" s="234"/>
      <c r="IYV198" s="234"/>
      <c r="IYW198" s="234"/>
      <c r="IYX198" s="234"/>
      <c r="IYY198" s="234"/>
      <c r="IYZ198" s="234"/>
      <c r="IZA198" s="234"/>
      <c r="IZB198" s="234"/>
      <c r="IZC198" s="234"/>
      <c r="IZD198" s="234"/>
      <c r="IZE198" s="234"/>
      <c r="IZF198" s="234"/>
      <c r="IZG198" s="234"/>
      <c r="IZH198" s="234"/>
      <c r="IZI198" s="234"/>
      <c r="IZJ198" s="234"/>
      <c r="IZK198" s="234"/>
      <c r="IZL198" s="234"/>
      <c r="IZM198" s="234"/>
      <c r="IZN198" s="234"/>
      <c r="IZO198" s="234"/>
      <c r="IZP198" s="234"/>
      <c r="IZQ198" s="234"/>
      <c r="IZR198" s="234"/>
      <c r="IZS198" s="234"/>
      <c r="IZT198" s="234"/>
      <c r="IZU198" s="234"/>
      <c r="IZV198" s="234"/>
      <c r="IZW198" s="234"/>
      <c r="IZX198" s="234"/>
      <c r="IZY198" s="234"/>
      <c r="IZZ198" s="234"/>
      <c r="JAA198" s="234"/>
      <c r="JAB198" s="234"/>
      <c r="JAC198" s="234"/>
      <c r="JAD198" s="234"/>
      <c r="JAE198" s="234"/>
      <c r="JAF198" s="234"/>
      <c r="JAG198" s="234"/>
      <c r="JAH198" s="234"/>
      <c r="JAI198" s="234"/>
      <c r="JAJ198" s="234"/>
      <c r="JAK198" s="234"/>
      <c r="JAL198" s="234"/>
      <c r="JAM198" s="234"/>
      <c r="JAN198" s="234"/>
      <c r="JAO198" s="234"/>
      <c r="JAP198" s="234"/>
      <c r="JAQ198" s="234"/>
      <c r="JAR198" s="234"/>
      <c r="JAS198" s="234"/>
      <c r="JAT198" s="234"/>
      <c r="JAU198" s="234"/>
      <c r="JAV198" s="234"/>
      <c r="JAW198" s="234"/>
      <c r="JAX198" s="234"/>
      <c r="JAY198" s="234"/>
      <c r="JAZ198" s="234"/>
      <c r="JBA198" s="234"/>
      <c r="JBB198" s="234"/>
      <c r="JBC198" s="234"/>
      <c r="JBD198" s="234"/>
      <c r="JBE198" s="234"/>
      <c r="JBF198" s="234"/>
      <c r="JBG198" s="234"/>
      <c r="JBH198" s="234"/>
      <c r="JBI198" s="234"/>
      <c r="JBJ198" s="234"/>
      <c r="JBK198" s="234"/>
      <c r="JBL198" s="234"/>
      <c r="JBM198" s="234"/>
      <c r="JBN198" s="234"/>
      <c r="JBO198" s="234"/>
      <c r="JBP198" s="234"/>
      <c r="JBQ198" s="234"/>
      <c r="JBR198" s="234"/>
      <c r="JBS198" s="234"/>
      <c r="JBT198" s="234"/>
      <c r="JBU198" s="234"/>
      <c r="JBV198" s="234"/>
      <c r="JBW198" s="234"/>
      <c r="JBX198" s="234"/>
      <c r="JBY198" s="234"/>
      <c r="JBZ198" s="234"/>
      <c r="JCA198" s="234"/>
      <c r="JCB198" s="234"/>
      <c r="JCC198" s="234"/>
      <c r="JCD198" s="234"/>
      <c r="JCE198" s="234"/>
      <c r="JCF198" s="234"/>
      <c r="JCG198" s="234"/>
      <c r="JCH198" s="234"/>
      <c r="JCI198" s="234"/>
      <c r="JCJ198" s="234"/>
      <c r="JCK198" s="234"/>
      <c r="JCL198" s="234"/>
      <c r="JCM198" s="234"/>
      <c r="JCN198" s="234"/>
      <c r="JCO198" s="234"/>
      <c r="JCP198" s="234"/>
      <c r="JCQ198" s="234"/>
      <c r="JCR198" s="234"/>
      <c r="JCS198" s="234"/>
      <c r="JCT198" s="234"/>
      <c r="JCU198" s="234"/>
      <c r="JCV198" s="234"/>
      <c r="JCW198" s="234"/>
      <c r="JCX198" s="234"/>
      <c r="JCY198" s="234"/>
      <c r="JCZ198" s="234"/>
      <c r="JDA198" s="234"/>
      <c r="JDB198" s="234"/>
      <c r="JDC198" s="234"/>
      <c r="JDD198" s="234"/>
      <c r="JDE198" s="234"/>
      <c r="JDF198" s="234"/>
      <c r="JDG198" s="234"/>
      <c r="JDH198" s="234"/>
      <c r="JDI198" s="234"/>
      <c r="JDJ198" s="234"/>
      <c r="JDK198" s="234"/>
      <c r="JDL198" s="234"/>
      <c r="JDM198" s="234"/>
      <c r="JDN198" s="234"/>
      <c r="JDO198" s="234"/>
      <c r="JDP198" s="234"/>
      <c r="JDQ198" s="234"/>
      <c r="JDR198" s="234"/>
      <c r="JDS198" s="234"/>
      <c r="JDT198" s="234"/>
      <c r="JDU198" s="234"/>
      <c r="JDV198" s="234"/>
      <c r="JDW198" s="234"/>
      <c r="JDX198" s="234"/>
      <c r="JDY198" s="234"/>
      <c r="JDZ198" s="234"/>
      <c r="JEA198" s="234"/>
      <c r="JEB198" s="234"/>
      <c r="JEC198" s="234"/>
      <c r="JED198" s="234"/>
      <c r="JEE198" s="234"/>
      <c r="JEF198" s="234"/>
      <c r="JEG198" s="234"/>
      <c r="JEH198" s="234"/>
      <c r="JEI198" s="234"/>
      <c r="JEJ198" s="234"/>
      <c r="JEK198" s="234"/>
      <c r="JEL198" s="234"/>
      <c r="JEM198" s="234"/>
      <c r="JEN198" s="234"/>
      <c r="JEO198" s="234"/>
      <c r="JEP198" s="234"/>
      <c r="JEQ198" s="234"/>
      <c r="JER198" s="234"/>
      <c r="JES198" s="234"/>
      <c r="JET198" s="234"/>
      <c r="JEU198" s="234"/>
      <c r="JEV198" s="234"/>
      <c r="JEW198" s="234"/>
      <c r="JEX198" s="234"/>
      <c r="JEY198" s="234"/>
      <c r="JEZ198" s="234"/>
      <c r="JFA198" s="234"/>
      <c r="JFB198" s="234"/>
      <c r="JFC198" s="234"/>
      <c r="JFD198" s="234"/>
      <c r="JFE198" s="234"/>
      <c r="JFF198" s="234"/>
      <c r="JFG198" s="234"/>
      <c r="JFH198" s="234"/>
      <c r="JFI198" s="234"/>
      <c r="JFJ198" s="234"/>
      <c r="JFK198" s="234"/>
      <c r="JFL198" s="234"/>
      <c r="JFM198" s="234"/>
      <c r="JFN198" s="234"/>
      <c r="JFO198" s="234"/>
      <c r="JFP198" s="234"/>
      <c r="JFQ198" s="234"/>
      <c r="JFR198" s="234"/>
      <c r="JFS198" s="234"/>
      <c r="JFT198" s="234"/>
      <c r="JFU198" s="234"/>
      <c r="JFV198" s="234"/>
      <c r="JFW198" s="234"/>
      <c r="JFX198" s="234"/>
      <c r="JFY198" s="234"/>
      <c r="JFZ198" s="234"/>
      <c r="JGA198" s="234"/>
      <c r="JGB198" s="234"/>
      <c r="JGC198" s="234"/>
      <c r="JGD198" s="234"/>
      <c r="JGE198" s="234"/>
      <c r="JGF198" s="234"/>
      <c r="JGG198" s="234"/>
      <c r="JGH198" s="234"/>
      <c r="JGI198" s="234"/>
      <c r="JGJ198" s="234"/>
      <c r="JGK198" s="234"/>
      <c r="JGL198" s="234"/>
      <c r="JGM198" s="234"/>
      <c r="JGN198" s="234"/>
      <c r="JGO198" s="234"/>
      <c r="JGP198" s="234"/>
      <c r="JGQ198" s="234"/>
      <c r="JGR198" s="234"/>
      <c r="JGS198" s="234"/>
      <c r="JGT198" s="234"/>
      <c r="JGU198" s="234"/>
      <c r="JGV198" s="234"/>
      <c r="JGW198" s="234"/>
      <c r="JGX198" s="234"/>
      <c r="JGY198" s="234"/>
      <c r="JGZ198" s="234"/>
      <c r="JHA198" s="234"/>
      <c r="JHB198" s="234"/>
      <c r="JHC198" s="234"/>
      <c r="JHD198" s="234"/>
      <c r="JHE198" s="234"/>
      <c r="JHF198" s="234"/>
      <c r="JHG198" s="234"/>
      <c r="JHH198" s="234"/>
      <c r="JHI198" s="234"/>
      <c r="JHJ198" s="234"/>
      <c r="JHK198" s="234"/>
      <c r="JHL198" s="234"/>
      <c r="JHM198" s="234"/>
      <c r="JHN198" s="234"/>
      <c r="JHO198" s="234"/>
      <c r="JHP198" s="234"/>
      <c r="JHQ198" s="234"/>
      <c r="JHR198" s="234"/>
      <c r="JHS198" s="234"/>
      <c r="JHT198" s="234"/>
      <c r="JHU198" s="234"/>
      <c r="JHV198" s="234"/>
      <c r="JHW198" s="234"/>
      <c r="JHX198" s="234"/>
      <c r="JHY198" s="234"/>
      <c r="JHZ198" s="234"/>
      <c r="JIA198" s="234"/>
      <c r="JIB198" s="234"/>
      <c r="JIC198" s="234"/>
      <c r="JID198" s="234"/>
      <c r="JIE198" s="234"/>
      <c r="JIF198" s="234"/>
      <c r="JIG198" s="234"/>
      <c r="JIH198" s="234"/>
      <c r="JII198" s="234"/>
      <c r="JIJ198" s="234"/>
      <c r="JIK198" s="234"/>
      <c r="JIL198" s="234"/>
      <c r="JIM198" s="234"/>
      <c r="JIN198" s="234"/>
      <c r="JIO198" s="234"/>
      <c r="JIP198" s="234"/>
      <c r="JIQ198" s="234"/>
      <c r="JIR198" s="234"/>
      <c r="JIS198" s="234"/>
      <c r="JIT198" s="234"/>
      <c r="JIU198" s="234"/>
      <c r="JIV198" s="234"/>
      <c r="JIW198" s="234"/>
      <c r="JIX198" s="234"/>
      <c r="JIY198" s="234"/>
      <c r="JIZ198" s="234"/>
      <c r="JJA198" s="234"/>
      <c r="JJB198" s="234"/>
      <c r="JJC198" s="234"/>
      <c r="JJD198" s="234"/>
      <c r="JJE198" s="234"/>
      <c r="JJF198" s="234"/>
      <c r="JJG198" s="234"/>
      <c r="JJH198" s="234"/>
      <c r="JJI198" s="234"/>
      <c r="JJJ198" s="234"/>
      <c r="JJK198" s="234"/>
      <c r="JJL198" s="234"/>
      <c r="JJM198" s="234"/>
      <c r="JJN198" s="234"/>
      <c r="JJO198" s="234"/>
      <c r="JJP198" s="234"/>
      <c r="JJQ198" s="234"/>
      <c r="JJR198" s="234"/>
      <c r="JJS198" s="234"/>
      <c r="JJT198" s="234"/>
      <c r="JJU198" s="234"/>
      <c r="JJV198" s="234"/>
      <c r="JJW198" s="234"/>
      <c r="JJX198" s="234"/>
      <c r="JJY198" s="234"/>
      <c r="JJZ198" s="234"/>
      <c r="JKA198" s="234"/>
      <c r="JKB198" s="234"/>
      <c r="JKC198" s="234"/>
      <c r="JKD198" s="234"/>
      <c r="JKE198" s="234"/>
      <c r="JKF198" s="234"/>
      <c r="JKG198" s="234"/>
      <c r="JKH198" s="234"/>
      <c r="JKI198" s="234"/>
      <c r="JKJ198" s="234"/>
      <c r="JKK198" s="234"/>
      <c r="JKL198" s="234"/>
      <c r="JKM198" s="234"/>
      <c r="JKN198" s="234"/>
      <c r="JKO198" s="234"/>
      <c r="JKP198" s="234"/>
      <c r="JKQ198" s="234"/>
      <c r="JKR198" s="234"/>
      <c r="JKS198" s="234"/>
      <c r="JKT198" s="234"/>
      <c r="JKU198" s="234"/>
      <c r="JKV198" s="234"/>
      <c r="JKW198" s="234"/>
      <c r="JKX198" s="234"/>
      <c r="JKY198" s="234"/>
      <c r="JKZ198" s="234"/>
      <c r="JLA198" s="234"/>
      <c r="JLB198" s="234"/>
      <c r="JLC198" s="234"/>
      <c r="JLD198" s="234"/>
      <c r="JLE198" s="234"/>
      <c r="JLF198" s="234"/>
      <c r="JLG198" s="234"/>
      <c r="JLH198" s="234"/>
      <c r="JLI198" s="234"/>
      <c r="JLJ198" s="234"/>
      <c r="JLK198" s="234"/>
      <c r="JLL198" s="234"/>
      <c r="JLM198" s="234"/>
      <c r="JLN198" s="234"/>
      <c r="JLO198" s="234"/>
      <c r="JLP198" s="234"/>
      <c r="JLQ198" s="234"/>
      <c r="JLR198" s="234"/>
      <c r="JLS198" s="234"/>
      <c r="JLT198" s="234"/>
      <c r="JLU198" s="234"/>
      <c r="JLV198" s="234"/>
      <c r="JLW198" s="234"/>
      <c r="JLX198" s="234"/>
      <c r="JLY198" s="234"/>
      <c r="JLZ198" s="234"/>
      <c r="JMA198" s="234"/>
      <c r="JMB198" s="234"/>
      <c r="JMC198" s="234"/>
      <c r="JMD198" s="234"/>
      <c r="JME198" s="234"/>
      <c r="JMF198" s="234"/>
      <c r="JMG198" s="234"/>
      <c r="JMH198" s="234"/>
      <c r="JMI198" s="234"/>
      <c r="JMJ198" s="234"/>
      <c r="JMK198" s="234"/>
      <c r="JML198" s="234"/>
      <c r="JMM198" s="234"/>
      <c r="JMN198" s="234"/>
      <c r="JMO198" s="234"/>
      <c r="JMP198" s="234"/>
      <c r="JMQ198" s="234"/>
      <c r="JMR198" s="234"/>
      <c r="JMS198" s="234"/>
      <c r="JMT198" s="234"/>
      <c r="JMU198" s="234"/>
      <c r="JMV198" s="234"/>
      <c r="JMW198" s="234"/>
      <c r="JMX198" s="234"/>
      <c r="JMY198" s="234"/>
      <c r="JMZ198" s="234"/>
      <c r="JNA198" s="234"/>
      <c r="JNB198" s="234"/>
      <c r="JNC198" s="234"/>
      <c r="JND198" s="234"/>
      <c r="JNE198" s="234"/>
      <c r="JNF198" s="234"/>
      <c r="JNG198" s="234"/>
      <c r="JNH198" s="234"/>
      <c r="JNI198" s="234"/>
      <c r="JNJ198" s="234"/>
      <c r="JNK198" s="234"/>
      <c r="JNL198" s="234"/>
      <c r="JNM198" s="234"/>
      <c r="JNN198" s="234"/>
      <c r="JNO198" s="234"/>
      <c r="JNP198" s="234"/>
      <c r="JNQ198" s="234"/>
      <c r="JNR198" s="234"/>
      <c r="JNS198" s="234"/>
      <c r="JNT198" s="234"/>
      <c r="JNU198" s="234"/>
      <c r="JNV198" s="234"/>
      <c r="JNW198" s="234"/>
      <c r="JNX198" s="234"/>
      <c r="JNY198" s="234"/>
      <c r="JNZ198" s="234"/>
      <c r="JOA198" s="234"/>
      <c r="JOB198" s="234"/>
      <c r="JOC198" s="234"/>
      <c r="JOD198" s="234"/>
      <c r="JOE198" s="234"/>
      <c r="JOF198" s="234"/>
      <c r="JOG198" s="234"/>
      <c r="JOH198" s="234"/>
      <c r="JOI198" s="234"/>
      <c r="JOJ198" s="234"/>
      <c r="JOK198" s="234"/>
      <c r="JOL198" s="234"/>
      <c r="JOM198" s="234"/>
      <c r="JON198" s="234"/>
      <c r="JOO198" s="234"/>
      <c r="JOP198" s="234"/>
      <c r="JOQ198" s="234"/>
      <c r="JOR198" s="234"/>
      <c r="JOS198" s="234"/>
      <c r="JOT198" s="234"/>
      <c r="JOU198" s="234"/>
      <c r="JOV198" s="234"/>
      <c r="JOW198" s="234"/>
      <c r="JOX198" s="234"/>
      <c r="JOY198" s="234"/>
      <c r="JOZ198" s="234"/>
      <c r="JPA198" s="234"/>
      <c r="JPB198" s="234"/>
      <c r="JPC198" s="234"/>
      <c r="JPD198" s="234"/>
      <c r="JPE198" s="234"/>
      <c r="JPF198" s="234"/>
      <c r="JPG198" s="234"/>
      <c r="JPH198" s="234"/>
      <c r="JPI198" s="234"/>
      <c r="JPJ198" s="234"/>
      <c r="JPK198" s="234"/>
      <c r="JPL198" s="234"/>
      <c r="JPM198" s="234"/>
      <c r="JPN198" s="234"/>
      <c r="JPO198" s="234"/>
      <c r="JPP198" s="234"/>
      <c r="JPQ198" s="234"/>
      <c r="JPR198" s="234"/>
      <c r="JPS198" s="234"/>
      <c r="JPT198" s="234"/>
      <c r="JPU198" s="234"/>
      <c r="JPV198" s="234"/>
      <c r="JPW198" s="234"/>
      <c r="JPX198" s="234"/>
      <c r="JPY198" s="234"/>
      <c r="JPZ198" s="234"/>
      <c r="JQA198" s="234"/>
      <c r="JQB198" s="234"/>
      <c r="JQC198" s="234"/>
      <c r="JQD198" s="234"/>
      <c r="JQE198" s="234"/>
      <c r="JQF198" s="234"/>
      <c r="JQG198" s="234"/>
      <c r="JQH198" s="234"/>
      <c r="JQI198" s="234"/>
      <c r="JQJ198" s="234"/>
      <c r="JQK198" s="234"/>
      <c r="JQL198" s="234"/>
      <c r="JQM198" s="234"/>
      <c r="JQN198" s="234"/>
      <c r="JQO198" s="234"/>
      <c r="JQP198" s="234"/>
      <c r="JQQ198" s="234"/>
      <c r="JQR198" s="234"/>
      <c r="JQS198" s="234"/>
      <c r="JQT198" s="234"/>
      <c r="JQU198" s="234"/>
      <c r="JQV198" s="234"/>
      <c r="JQW198" s="234"/>
      <c r="JQX198" s="234"/>
      <c r="JQY198" s="234"/>
      <c r="JQZ198" s="234"/>
      <c r="JRA198" s="234"/>
      <c r="JRB198" s="234"/>
      <c r="JRC198" s="234"/>
      <c r="JRD198" s="234"/>
      <c r="JRE198" s="234"/>
      <c r="JRF198" s="234"/>
      <c r="JRG198" s="234"/>
      <c r="JRH198" s="234"/>
      <c r="JRI198" s="234"/>
      <c r="JRJ198" s="234"/>
      <c r="JRK198" s="234"/>
      <c r="JRL198" s="234"/>
      <c r="JRM198" s="234"/>
      <c r="JRN198" s="234"/>
      <c r="JRO198" s="234"/>
      <c r="JRP198" s="234"/>
      <c r="JRQ198" s="234"/>
      <c r="JRR198" s="234"/>
      <c r="JRS198" s="234"/>
      <c r="JRT198" s="234"/>
      <c r="JRU198" s="234"/>
      <c r="JRV198" s="234"/>
      <c r="JRW198" s="234"/>
      <c r="JRX198" s="234"/>
      <c r="JRY198" s="234"/>
      <c r="JRZ198" s="234"/>
      <c r="JSA198" s="234"/>
      <c r="JSB198" s="234"/>
      <c r="JSC198" s="234"/>
      <c r="JSD198" s="234"/>
      <c r="JSE198" s="234"/>
      <c r="JSF198" s="234"/>
      <c r="JSG198" s="234"/>
      <c r="JSH198" s="234"/>
      <c r="JSI198" s="234"/>
      <c r="JSJ198" s="234"/>
      <c r="JSK198" s="234"/>
      <c r="JSL198" s="234"/>
      <c r="JSM198" s="234"/>
      <c r="JSN198" s="234"/>
      <c r="JSO198" s="234"/>
      <c r="JSP198" s="234"/>
      <c r="JSQ198" s="234"/>
      <c r="JSR198" s="234"/>
      <c r="JSS198" s="234"/>
      <c r="JST198" s="234"/>
      <c r="JSU198" s="234"/>
      <c r="JSV198" s="234"/>
      <c r="JSW198" s="234"/>
      <c r="JSX198" s="234"/>
      <c r="JSY198" s="234"/>
      <c r="JSZ198" s="234"/>
      <c r="JTA198" s="234"/>
      <c r="JTB198" s="234"/>
      <c r="JTC198" s="234"/>
      <c r="JTD198" s="234"/>
      <c r="JTE198" s="234"/>
      <c r="JTF198" s="234"/>
      <c r="JTG198" s="234"/>
      <c r="JTH198" s="234"/>
      <c r="JTI198" s="234"/>
      <c r="JTJ198" s="234"/>
      <c r="JTK198" s="234"/>
      <c r="JTL198" s="234"/>
      <c r="JTM198" s="234"/>
      <c r="JTN198" s="234"/>
      <c r="JTO198" s="234"/>
      <c r="JTP198" s="234"/>
      <c r="JTQ198" s="234"/>
      <c r="JTR198" s="234"/>
      <c r="JTS198" s="234"/>
      <c r="JTT198" s="234"/>
      <c r="JTU198" s="234"/>
      <c r="JTV198" s="234"/>
      <c r="JTW198" s="234"/>
      <c r="JTX198" s="234"/>
      <c r="JTY198" s="234"/>
      <c r="JTZ198" s="234"/>
      <c r="JUA198" s="234"/>
      <c r="JUB198" s="234"/>
      <c r="JUC198" s="234"/>
      <c r="JUD198" s="234"/>
      <c r="JUE198" s="234"/>
      <c r="JUF198" s="234"/>
      <c r="JUG198" s="234"/>
      <c r="JUH198" s="234"/>
      <c r="JUI198" s="234"/>
      <c r="JUJ198" s="234"/>
      <c r="JUK198" s="234"/>
      <c r="JUL198" s="234"/>
      <c r="JUM198" s="234"/>
      <c r="JUN198" s="234"/>
      <c r="JUO198" s="234"/>
      <c r="JUP198" s="234"/>
      <c r="JUQ198" s="234"/>
      <c r="JUR198" s="234"/>
      <c r="JUS198" s="234"/>
      <c r="JUT198" s="234"/>
      <c r="JUU198" s="234"/>
      <c r="JUV198" s="234"/>
      <c r="JUW198" s="234"/>
      <c r="JUX198" s="234"/>
      <c r="JUY198" s="234"/>
      <c r="JUZ198" s="234"/>
      <c r="JVA198" s="234"/>
      <c r="JVB198" s="234"/>
      <c r="JVC198" s="234"/>
      <c r="JVD198" s="234"/>
      <c r="JVE198" s="234"/>
      <c r="JVF198" s="234"/>
      <c r="JVG198" s="234"/>
      <c r="JVH198" s="234"/>
      <c r="JVI198" s="234"/>
      <c r="JVJ198" s="234"/>
      <c r="JVK198" s="234"/>
      <c r="JVL198" s="234"/>
      <c r="JVM198" s="234"/>
      <c r="JVN198" s="234"/>
      <c r="JVO198" s="234"/>
      <c r="JVP198" s="234"/>
      <c r="JVQ198" s="234"/>
      <c r="JVR198" s="234"/>
      <c r="JVS198" s="234"/>
      <c r="JVT198" s="234"/>
      <c r="JVU198" s="234"/>
      <c r="JVV198" s="234"/>
      <c r="JVW198" s="234"/>
      <c r="JVX198" s="234"/>
      <c r="JVY198" s="234"/>
      <c r="JVZ198" s="234"/>
      <c r="JWA198" s="234"/>
      <c r="JWB198" s="234"/>
      <c r="JWC198" s="234"/>
      <c r="JWD198" s="234"/>
      <c r="JWE198" s="234"/>
      <c r="JWF198" s="234"/>
      <c r="JWG198" s="234"/>
      <c r="JWH198" s="234"/>
      <c r="JWI198" s="234"/>
      <c r="JWJ198" s="234"/>
      <c r="JWK198" s="234"/>
      <c r="JWL198" s="234"/>
      <c r="JWM198" s="234"/>
      <c r="JWN198" s="234"/>
      <c r="JWO198" s="234"/>
      <c r="JWP198" s="234"/>
      <c r="JWQ198" s="234"/>
      <c r="JWR198" s="234"/>
      <c r="JWS198" s="234"/>
      <c r="JWT198" s="234"/>
      <c r="JWU198" s="234"/>
      <c r="JWV198" s="234"/>
      <c r="JWW198" s="234"/>
      <c r="JWX198" s="234"/>
      <c r="JWY198" s="234"/>
      <c r="JWZ198" s="234"/>
      <c r="JXA198" s="234"/>
      <c r="JXB198" s="234"/>
      <c r="JXC198" s="234"/>
      <c r="JXD198" s="234"/>
      <c r="JXE198" s="234"/>
      <c r="JXF198" s="234"/>
      <c r="JXG198" s="234"/>
      <c r="JXH198" s="234"/>
      <c r="JXI198" s="234"/>
      <c r="JXJ198" s="234"/>
      <c r="JXK198" s="234"/>
      <c r="JXL198" s="234"/>
      <c r="JXM198" s="234"/>
      <c r="JXN198" s="234"/>
      <c r="JXO198" s="234"/>
      <c r="JXP198" s="234"/>
      <c r="JXQ198" s="234"/>
      <c r="JXR198" s="234"/>
      <c r="JXS198" s="234"/>
      <c r="JXT198" s="234"/>
      <c r="JXU198" s="234"/>
      <c r="JXV198" s="234"/>
      <c r="JXW198" s="234"/>
      <c r="JXX198" s="234"/>
      <c r="JXY198" s="234"/>
      <c r="JXZ198" s="234"/>
      <c r="JYA198" s="234"/>
      <c r="JYB198" s="234"/>
      <c r="JYC198" s="234"/>
      <c r="JYD198" s="234"/>
      <c r="JYE198" s="234"/>
      <c r="JYF198" s="234"/>
      <c r="JYG198" s="234"/>
      <c r="JYH198" s="234"/>
      <c r="JYI198" s="234"/>
      <c r="JYJ198" s="234"/>
      <c r="JYK198" s="234"/>
      <c r="JYL198" s="234"/>
      <c r="JYM198" s="234"/>
      <c r="JYN198" s="234"/>
      <c r="JYO198" s="234"/>
      <c r="JYP198" s="234"/>
      <c r="JYQ198" s="234"/>
      <c r="JYR198" s="234"/>
      <c r="JYS198" s="234"/>
      <c r="JYT198" s="234"/>
      <c r="JYU198" s="234"/>
      <c r="JYV198" s="234"/>
      <c r="JYW198" s="234"/>
      <c r="JYX198" s="234"/>
      <c r="JYY198" s="234"/>
      <c r="JYZ198" s="234"/>
      <c r="JZA198" s="234"/>
      <c r="JZB198" s="234"/>
      <c r="JZC198" s="234"/>
      <c r="JZD198" s="234"/>
      <c r="JZE198" s="234"/>
      <c r="JZF198" s="234"/>
      <c r="JZG198" s="234"/>
      <c r="JZH198" s="234"/>
      <c r="JZI198" s="234"/>
      <c r="JZJ198" s="234"/>
      <c r="JZK198" s="234"/>
      <c r="JZL198" s="234"/>
      <c r="JZM198" s="234"/>
      <c r="JZN198" s="234"/>
      <c r="JZO198" s="234"/>
      <c r="JZP198" s="234"/>
      <c r="JZQ198" s="234"/>
      <c r="JZR198" s="234"/>
      <c r="JZS198" s="234"/>
      <c r="JZT198" s="234"/>
      <c r="JZU198" s="234"/>
      <c r="JZV198" s="234"/>
      <c r="JZW198" s="234"/>
      <c r="JZX198" s="234"/>
      <c r="JZY198" s="234"/>
      <c r="JZZ198" s="234"/>
      <c r="KAA198" s="234"/>
      <c r="KAB198" s="234"/>
      <c r="KAC198" s="234"/>
      <c r="KAD198" s="234"/>
      <c r="KAE198" s="234"/>
      <c r="KAF198" s="234"/>
      <c r="KAG198" s="234"/>
      <c r="KAH198" s="234"/>
      <c r="KAI198" s="234"/>
      <c r="KAJ198" s="234"/>
      <c r="KAK198" s="234"/>
      <c r="KAL198" s="234"/>
      <c r="KAM198" s="234"/>
      <c r="KAN198" s="234"/>
      <c r="KAO198" s="234"/>
      <c r="KAP198" s="234"/>
      <c r="KAQ198" s="234"/>
      <c r="KAR198" s="234"/>
      <c r="KAS198" s="234"/>
      <c r="KAT198" s="234"/>
      <c r="KAU198" s="234"/>
      <c r="KAV198" s="234"/>
      <c r="KAW198" s="234"/>
      <c r="KAX198" s="234"/>
      <c r="KAY198" s="234"/>
      <c r="KAZ198" s="234"/>
      <c r="KBA198" s="234"/>
      <c r="KBB198" s="234"/>
      <c r="KBC198" s="234"/>
      <c r="KBD198" s="234"/>
      <c r="KBE198" s="234"/>
      <c r="KBF198" s="234"/>
      <c r="KBG198" s="234"/>
      <c r="KBH198" s="234"/>
      <c r="KBI198" s="234"/>
      <c r="KBJ198" s="234"/>
      <c r="KBK198" s="234"/>
      <c r="KBL198" s="234"/>
      <c r="KBM198" s="234"/>
      <c r="KBN198" s="234"/>
      <c r="KBO198" s="234"/>
      <c r="KBP198" s="234"/>
      <c r="KBQ198" s="234"/>
      <c r="KBR198" s="234"/>
      <c r="KBS198" s="234"/>
      <c r="KBT198" s="234"/>
      <c r="KBU198" s="234"/>
      <c r="KBV198" s="234"/>
      <c r="KBW198" s="234"/>
      <c r="KBX198" s="234"/>
      <c r="KBY198" s="234"/>
      <c r="KBZ198" s="234"/>
      <c r="KCA198" s="234"/>
      <c r="KCB198" s="234"/>
      <c r="KCC198" s="234"/>
      <c r="KCD198" s="234"/>
      <c r="KCE198" s="234"/>
      <c r="KCF198" s="234"/>
      <c r="KCG198" s="234"/>
      <c r="KCH198" s="234"/>
      <c r="KCI198" s="234"/>
      <c r="KCJ198" s="234"/>
      <c r="KCK198" s="234"/>
      <c r="KCL198" s="234"/>
      <c r="KCM198" s="234"/>
      <c r="KCN198" s="234"/>
      <c r="KCO198" s="234"/>
      <c r="KCP198" s="234"/>
      <c r="KCQ198" s="234"/>
      <c r="KCR198" s="234"/>
      <c r="KCS198" s="234"/>
      <c r="KCT198" s="234"/>
      <c r="KCU198" s="234"/>
      <c r="KCV198" s="234"/>
      <c r="KCW198" s="234"/>
      <c r="KCX198" s="234"/>
      <c r="KCY198" s="234"/>
      <c r="KCZ198" s="234"/>
      <c r="KDA198" s="234"/>
      <c r="KDB198" s="234"/>
      <c r="KDC198" s="234"/>
      <c r="KDD198" s="234"/>
      <c r="KDE198" s="234"/>
      <c r="KDF198" s="234"/>
      <c r="KDG198" s="234"/>
      <c r="KDH198" s="234"/>
      <c r="KDI198" s="234"/>
      <c r="KDJ198" s="234"/>
      <c r="KDK198" s="234"/>
      <c r="KDL198" s="234"/>
      <c r="KDM198" s="234"/>
      <c r="KDN198" s="234"/>
      <c r="KDO198" s="234"/>
      <c r="KDP198" s="234"/>
      <c r="KDQ198" s="234"/>
      <c r="KDR198" s="234"/>
      <c r="KDS198" s="234"/>
      <c r="KDT198" s="234"/>
      <c r="KDU198" s="234"/>
      <c r="KDV198" s="234"/>
      <c r="KDW198" s="234"/>
      <c r="KDX198" s="234"/>
      <c r="KDY198" s="234"/>
      <c r="KDZ198" s="234"/>
      <c r="KEA198" s="234"/>
      <c r="KEB198" s="234"/>
      <c r="KEC198" s="234"/>
      <c r="KED198" s="234"/>
      <c r="KEE198" s="234"/>
      <c r="KEF198" s="234"/>
      <c r="KEG198" s="234"/>
      <c r="KEH198" s="234"/>
      <c r="KEI198" s="234"/>
      <c r="KEJ198" s="234"/>
      <c r="KEK198" s="234"/>
      <c r="KEL198" s="234"/>
      <c r="KEM198" s="234"/>
      <c r="KEN198" s="234"/>
      <c r="KEO198" s="234"/>
      <c r="KEP198" s="234"/>
      <c r="KEQ198" s="234"/>
      <c r="KER198" s="234"/>
      <c r="KES198" s="234"/>
      <c r="KET198" s="234"/>
      <c r="KEU198" s="234"/>
      <c r="KEV198" s="234"/>
      <c r="KEW198" s="234"/>
      <c r="KEX198" s="234"/>
      <c r="KEY198" s="234"/>
      <c r="KEZ198" s="234"/>
      <c r="KFA198" s="234"/>
      <c r="KFB198" s="234"/>
      <c r="KFC198" s="234"/>
      <c r="KFD198" s="234"/>
      <c r="KFE198" s="234"/>
      <c r="KFF198" s="234"/>
      <c r="KFG198" s="234"/>
      <c r="KFH198" s="234"/>
      <c r="KFI198" s="234"/>
      <c r="KFJ198" s="234"/>
      <c r="KFK198" s="234"/>
      <c r="KFL198" s="234"/>
      <c r="KFM198" s="234"/>
      <c r="KFN198" s="234"/>
      <c r="KFO198" s="234"/>
      <c r="KFP198" s="234"/>
      <c r="KFQ198" s="234"/>
      <c r="KFR198" s="234"/>
      <c r="KFS198" s="234"/>
      <c r="KFT198" s="234"/>
      <c r="KFU198" s="234"/>
      <c r="KFV198" s="234"/>
      <c r="KFW198" s="234"/>
      <c r="KFX198" s="234"/>
      <c r="KFY198" s="234"/>
      <c r="KFZ198" s="234"/>
      <c r="KGA198" s="234"/>
      <c r="KGB198" s="234"/>
      <c r="KGC198" s="234"/>
      <c r="KGD198" s="234"/>
      <c r="KGE198" s="234"/>
      <c r="KGF198" s="234"/>
      <c r="KGG198" s="234"/>
      <c r="KGH198" s="234"/>
      <c r="KGI198" s="234"/>
      <c r="KGJ198" s="234"/>
      <c r="KGK198" s="234"/>
      <c r="KGL198" s="234"/>
      <c r="KGM198" s="234"/>
      <c r="KGN198" s="234"/>
      <c r="KGO198" s="234"/>
      <c r="KGP198" s="234"/>
      <c r="KGQ198" s="234"/>
      <c r="KGR198" s="234"/>
      <c r="KGS198" s="234"/>
      <c r="KGT198" s="234"/>
      <c r="KGU198" s="234"/>
      <c r="KGV198" s="234"/>
      <c r="KGW198" s="234"/>
      <c r="KGX198" s="234"/>
      <c r="KGY198" s="234"/>
      <c r="KGZ198" s="234"/>
      <c r="KHA198" s="234"/>
      <c r="KHB198" s="234"/>
      <c r="KHC198" s="234"/>
      <c r="KHD198" s="234"/>
      <c r="KHE198" s="234"/>
      <c r="KHF198" s="234"/>
      <c r="KHG198" s="234"/>
      <c r="KHH198" s="234"/>
      <c r="KHI198" s="234"/>
      <c r="KHJ198" s="234"/>
      <c r="KHK198" s="234"/>
      <c r="KHL198" s="234"/>
      <c r="KHM198" s="234"/>
      <c r="KHN198" s="234"/>
      <c r="KHO198" s="234"/>
      <c r="KHP198" s="234"/>
      <c r="KHQ198" s="234"/>
      <c r="KHR198" s="234"/>
      <c r="KHS198" s="234"/>
      <c r="KHT198" s="234"/>
      <c r="KHU198" s="234"/>
      <c r="KHV198" s="234"/>
      <c r="KHW198" s="234"/>
      <c r="KHX198" s="234"/>
      <c r="KHY198" s="234"/>
      <c r="KHZ198" s="234"/>
      <c r="KIA198" s="234"/>
      <c r="KIB198" s="234"/>
      <c r="KIC198" s="234"/>
      <c r="KID198" s="234"/>
      <c r="KIE198" s="234"/>
      <c r="KIF198" s="234"/>
      <c r="KIG198" s="234"/>
      <c r="KIH198" s="234"/>
      <c r="KII198" s="234"/>
      <c r="KIJ198" s="234"/>
      <c r="KIK198" s="234"/>
      <c r="KIL198" s="234"/>
      <c r="KIM198" s="234"/>
      <c r="KIN198" s="234"/>
      <c r="KIO198" s="234"/>
      <c r="KIP198" s="234"/>
      <c r="KIQ198" s="234"/>
      <c r="KIR198" s="234"/>
      <c r="KIS198" s="234"/>
      <c r="KIT198" s="234"/>
      <c r="KIU198" s="234"/>
      <c r="KIV198" s="234"/>
      <c r="KIW198" s="234"/>
      <c r="KIX198" s="234"/>
      <c r="KIY198" s="234"/>
      <c r="KIZ198" s="234"/>
      <c r="KJA198" s="234"/>
      <c r="KJB198" s="234"/>
      <c r="KJC198" s="234"/>
      <c r="KJD198" s="234"/>
      <c r="KJE198" s="234"/>
      <c r="KJF198" s="234"/>
      <c r="KJG198" s="234"/>
      <c r="KJH198" s="234"/>
      <c r="KJI198" s="234"/>
      <c r="KJJ198" s="234"/>
      <c r="KJK198" s="234"/>
      <c r="KJL198" s="234"/>
      <c r="KJM198" s="234"/>
      <c r="KJN198" s="234"/>
      <c r="KJO198" s="234"/>
      <c r="KJP198" s="234"/>
      <c r="KJQ198" s="234"/>
      <c r="KJR198" s="234"/>
      <c r="KJS198" s="234"/>
      <c r="KJT198" s="234"/>
      <c r="KJU198" s="234"/>
      <c r="KJV198" s="234"/>
      <c r="KJW198" s="234"/>
      <c r="KJX198" s="234"/>
      <c r="KJY198" s="234"/>
      <c r="KJZ198" s="234"/>
      <c r="KKA198" s="234"/>
      <c r="KKB198" s="234"/>
      <c r="KKC198" s="234"/>
      <c r="KKD198" s="234"/>
      <c r="KKE198" s="234"/>
      <c r="KKF198" s="234"/>
      <c r="KKG198" s="234"/>
      <c r="KKH198" s="234"/>
      <c r="KKI198" s="234"/>
      <c r="KKJ198" s="234"/>
      <c r="KKK198" s="234"/>
      <c r="KKL198" s="234"/>
      <c r="KKM198" s="234"/>
      <c r="KKN198" s="234"/>
      <c r="KKO198" s="234"/>
      <c r="KKP198" s="234"/>
      <c r="KKQ198" s="234"/>
      <c r="KKR198" s="234"/>
      <c r="KKS198" s="234"/>
      <c r="KKT198" s="234"/>
      <c r="KKU198" s="234"/>
      <c r="KKV198" s="234"/>
      <c r="KKW198" s="234"/>
      <c r="KKX198" s="234"/>
      <c r="KKY198" s="234"/>
      <c r="KKZ198" s="234"/>
      <c r="KLA198" s="234"/>
      <c r="KLB198" s="234"/>
      <c r="KLC198" s="234"/>
      <c r="KLD198" s="234"/>
      <c r="KLE198" s="234"/>
      <c r="KLF198" s="234"/>
      <c r="KLG198" s="234"/>
      <c r="KLH198" s="234"/>
      <c r="KLI198" s="234"/>
      <c r="KLJ198" s="234"/>
      <c r="KLK198" s="234"/>
      <c r="KLL198" s="234"/>
      <c r="KLM198" s="234"/>
      <c r="KLN198" s="234"/>
      <c r="KLO198" s="234"/>
      <c r="KLP198" s="234"/>
      <c r="KLQ198" s="234"/>
      <c r="KLR198" s="234"/>
      <c r="KLS198" s="234"/>
      <c r="KLT198" s="234"/>
      <c r="KLU198" s="234"/>
      <c r="KLV198" s="234"/>
      <c r="KLW198" s="234"/>
      <c r="KLX198" s="234"/>
      <c r="KLY198" s="234"/>
      <c r="KLZ198" s="234"/>
      <c r="KMA198" s="234"/>
      <c r="KMB198" s="234"/>
      <c r="KMC198" s="234"/>
      <c r="KMD198" s="234"/>
      <c r="KME198" s="234"/>
      <c r="KMF198" s="234"/>
      <c r="KMG198" s="234"/>
      <c r="KMH198" s="234"/>
      <c r="KMI198" s="234"/>
      <c r="KMJ198" s="234"/>
      <c r="KMK198" s="234"/>
      <c r="KML198" s="234"/>
      <c r="KMM198" s="234"/>
      <c r="KMN198" s="234"/>
      <c r="KMO198" s="234"/>
      <c r="KMP198" s="234"/>
      <c r="KMQ198" s="234"/>
      <c r="KMR198" s="234"/>
      <c r="KMS198" s="234"/>
      <c r="KMT198" s="234"/>
      <c r="KMU198" s="234"/>
      <c r="KMV198" s="234"/>
      <c r="KMW198" s="234"/>
      <c r="KMX198" s="234"/>
      <c r="KMY198" s="234"/>
      <c r="KMZ198" s="234"/>
      <c r="KNA198" s="234"/>
      <c r="KNB198" s="234"/>
      <c r="KNC198" s="234"/>
      <c r="KND198" s="234"/>
      <c r="KNE198" s="234"/>
      <c r="KNF198" s="234"/>
      <c r="KNG198" s="234"/>
      <c r="KNH198" s="234"/>
      <c r="KNI198" s="234"/>
      <c r="KNJ198" s="234"/>
      <c r="KNK198" s="234"/>
      <c r="KNL198" s="234"/>
      <c r="KNM198" s="234"/>
      <c r="KNN198" s="234"/>
      <c r="KNO198" s="234"/>
      <c r="KNP198" s="234"/>
      <c r="KNQ198" s="234"/>
      <c r="KNR198" s="234"/>
      <c r="KNS198" s="234"/>
      <c r="KNT198" s="234"/>
      <c r="KNU198" s="234"/>
      <c r="KNV198" s="234"/>
      <c r="KNW198" s="234"/>
      <c r="KNX198" s="234"/>
      <c r="KNY198" s="234"/>
      <c r="KNZ198" s="234"/>
      <c r="KOA198" s="234"/>
      <c r="KOB198" s="234"/>
      <c r="KOC198" s="234"/>
      <c r="KOD198" s="234"/>
      <c r="KOE198" s="234"/>
      <c r="KOF198" s="234"/>
      <c r="KOG198" s="234"/>
      <c r="KOH198" s="234"/>
      <c r="KOI198" s="234"/>
      <c r="KOJ198" s="234"/>
      <c r="KOK198" s="234"/>
      <c r="KOL198" s="234"/>
      <c r="KOM198" s="234"/>
      <c r="KON198" s="234"/>
      <c r="KOO198" s="234"/>
      <c r="KOP198" s="234"/>
      <c r="KOQ198" s="234"/>
      <c r="KOR198" s="234"/>
      <c r="KOS198" s="234"/>
      <c r="KOT198" s="234"/>
      <c r="KOU198" s="234"/>
      <c r="KOV198" s="234"/>
      <c r="KOW198" s="234"/>
      <c r="KOX198" s="234"/>
      <c r="KOY198" s="234"/>
      <c r="KOZ198" s="234"/>
      <c r="KPA198" s="234"/>
      <c r="KPB198" s="234"/>
      <c r="KPC198" s="234"/>
      <c r="KPD198" s="234"/>
      <c r="KPE198" s="234"/>
      <c r="KPF198" s="234"/>
      <c r="KPG198" s="234"/>
      <c r="KPH198" s="234"/>
      <c r="KPI198" s="234"/>
      <c r="KPJ198" s="234"/>
      <c r="KPK198" s="234"/>
      <c r="KPL198" s="234"/>
      <c r="KPM198" s="234"/>
      <c r="KPN198" s="234"/>
      <c r="KPO198" s="234"/>
      <c r="KPP198" s="234"/>
      <c r="KPQ198" s="234"/>
      <c r="KPR198" s="234"/>
      <c r="KPS198" s="234"/>
      <c r="KPT198" s="234"/>
      <c r="KPU198" s="234"/>
      <c r="KPV198" s="234"/>
      <c r="KPW198" s="234"/>
      <c r="KPX198" s="234"/>
      <c r="KPY198" s="234"/>
      <c r="KPZ198" s="234"/>
      <c r="KQA198" s="234"/>
      <c r="KQB198" s="234"/>
      <c r="KQC198" s="234"/>
      <c r="KQD198" s="234"/>
      <c r="KQE198" s="234"/>
      <c r="KQF198" s="234"/>
      <c r="KQG198" s="234"/>
      <c r="KQH198" s="234"/>
      <c r="KQI198" s="234"/>
      <c r="KQJ198" s="234"/>
      <c r="KQK198" s="234"/>
      <c r="KQL198" s="234"/>
      <c r="KQM198" s="234"/>
      <c r="KQN198" s="234"/>
      <c r="KQO198" s="234"/>
      <c r="KQP198" s="234"/>
      <c r="KQQ198" s="234"/>
      <c r="KQR198" s="234"/>
      <c r="KQS198" s="234"/>
      <c r="KQT198" s="234"/>
      <c r="KQU198" s="234"/>
      <c r="KQV198" s="234"/>
      <c r="KQW198" s="234"/>
      <c r="KQX198" s="234"/>
      <c r="KQY198" s="234"/>
      <c r="KQZ198" s="234"/>
      <c r="KRA198" s="234"/>
      <c r="KRB198" s="234"/>
      <c r="KRC198" s="234"/>
      <c r="KRD198" s="234"/>
      <c r="KRE198" s="234"/>
      <c r="KRF198" s="234"/>
      <c r="KRG198" s="234"/>
      <c r="KRH198" s="234"/>
      <c r="KRI198" s="234"/>
      <c r="KRJ198" s="234"/>
      <c r="KRK198" s="234"/>
      <c r="KRL198" s="234"/>
      <c r="KRM198" s="234"/>
      <c r="KRN198" s="234"/>
      <c r="KRO198" s="234"/>
      <c r="KRP198" s="234"/>
      <c r="KRQ198" s="234"/>
      <c r="KRR198" s="234"/>
      <c r="KRS198" s="234"/>
      <c r="KRT198" s="234"/>
      <c r="KRU198" s="234"/>
      <c r="KRV198" s="234"/>
      <c r="KRW198" s="234"/>
      <c r="KRX198" s="234"/>
      <c r="KRY198" s="234"/>
      <c r="KRZ198" s="234"/>
      <c r="KSA198" s="234"/>
      <c r="KSB198" s="234"/>
      <c r="KSC198" s="234"/>
      <c r="KSD198" s="234"/>
      <c r="KSE198" s="234"/>
      <c r="KSF198" s="234"/>
      <c r="KSG198" s="234"/>
      <c r="KSH198" s="234"/>
      <c r="KSI198" s="234"/>
      <c r="KSJ198" s="234"/>
      <c r="KSK198" s="234"/>
      <c r="KSL198" s="234"/>
      <c r="KSM198" s="234"/>
      <c r="KSN198" s="234"/>
      <c r="KSO198" s="234"/>
      <c r="KSP198" s="234"/>
      <c r="KSQ198" s="234"/>
      <c r="KSR198" s="234"/>
      <c r="KSS198" s="234"/>
      <c r="KST198" s="234"/>
      <c r="KSU198" s="234"/>
      <c r="KSV198" s="234"/>
      <c r="KSW198" s="234"/>
      <c r="KSX198" s="234"/>
      <c r="KSY198" s="234"/>
      <c r="KSZ198" s="234"/>
      <c r="KTA198" s="234"/>
      <c r="KTB198" s="234"/>
      <c r="KTC198" s="234"/>
      <c r="KTD198" s="234"/>
      <c r="KTE198" s="234"/>
      <c r="KTF198" s="234"/>
      <c r="KTG198" s="234"/>
      <c r="KTH198" s="234"/>
      <c r="KTI198" s="234"/>
      <c r="KTJ198" s="234"/>
      <c r="KTK198" s="234"/>
      <c r="KTL198" s="234"/>
      <c r="KTM198" s="234"/>
      <c r="KTN198" s="234"/>
      <c r="KTO198" s="234"/>
      <c r="KTP198" s="234"/>
      <c r="KTQ198" s="234"/>
      <c r="KTR198" s="234"/>
      <c r="KTS198" s="234"/>
      <c r="KTT198" s="234"/>
      <c r="KTU198" s="234"/>
      <c r="KTV198" s="234"/>
      <c r="KTW198" s="234"/>
      <c r="KTX198" s="234"/>
      <c r="KTY198" s="234"/>
      <c r="KTZ198" s="234"/>
      <c r="KUA198" s="234"/>
      <c r="KUB198" s="234"/>
      <c r="KUC198" s="234"/>
      <c r="KUD198" s="234"/>
      <c r="KUE198" s="234"/>
      <c r="KUF198" s="234"/>
      <c r="KUG198" s="234"/>
      <c r="KUH198" s="234"/>
      <c r="KUI198" s="234"/>
      <c r="KUJ198" s="234"/>
      <c r="KUK198" s="234"/>
      <c r="KUL198" s="234"/>
      <c r="KUM198" s="234"/>
      <c r="KUN198" s="234"/>
      <c r="KUO198" s="234"/>
      <c r="KUP198" s="234"/>
      <c r="KUQ198" s="234"/>
      <c r="KUR198" s="234"/>
      <c r="KUS198" s="234"/>
      <c r="KUT198" s="234"/>
      <c r="KUU198" s="234"/>
      <c r="KUV198" s="234"/>
      <c r="KUW198" s="234"/>
      <c r="KUX198" s="234"/>
      <c r="KUY198" s="234"/>
      <c r="KUZ198" s="234"/>
      <c r="KVA198" s="234"/>
      <c r="KVB198" s="234"/>
      <c r="KVC198" s="234"/>
      <c r="KVD198" s="234"/>
      <c r="KVE198" s="234"/>
      <c r="KVF198" s="234"/>
      <c r="KVG198" s="234"/>
      <c r="KVH198" s="234"/>
      <c r="KVI198" s="234"/>
      <c r="KVJ198" s="234"/>
      <c r="KVK198" s="234"/>
      <c r="KVL198" s="234"/>
      <c r="KVM198" s="234"/>
      <c r="KVN198" s="234"/>
      <c r="KVO198" s="234"/>
      <c r="KVP198" s="234"/>
      <c r="KVQ198" s="234"/>
      <c r="KVR198" s="234"/>
      <c r="KVS198" s="234"/>
      <c r="KVT198" s="234"/>
      <c r="KVU198" s="234"/>
      <c r="KVV198" s="234"/>
      <c r="KVW198" s="234"/>
      <c r="KVX198" s="234"/>
      <c r="KVY198" s="234"/>
      <c r="KVZ198" s="234"/>
      <c r="KWA198" s="234"/>
      <c r="KWB198" s="234"/>
      <c r="KWC198" s="234"/>
      <c r="KWD198" s="234"/>
      <c r="KWE198" s="234"/>
      <c r="KWF198" s="234"/>
      <c r="KWG198" s="234"/>
      <c r="KWH198" s="234"/>
      <c r="KWI198" s="234"/>
      <c r="KWJ198" s="234"/>
      <c r="KWK198" s="234"/>
      <c r="KWL198" s="234"/>
      <c r="KWM198" s="234"/>
      <c r="KWN198" s="234"/>
      <c r="KWO198" s="234"/>
      <c r="KWP198" s="234"/>
      <c r="KWQ198" s="234"/>
      <c r="KWR198" s="234"/>
      <c r="KWS198" s="234"/>
      <c r="KWT198" s="234"/>
      <c r="KWU198" s="234"/>
      <c r="KWV198" s="234"/>
      <c r="KWW198" s="234"/>
      <c r="KWX198" s="234"/>
      <c r="KWY198" s="234"/>
      <c r="KWZ198" s="234"/>
      <c r="KXA198" s="234"/>
      <c r="KXB198" s="234"/>
      <c r="KXC198" s="234"/>
      <c r="KXD198" s="234"/>
      <c r="KXE198" s="234"/>
      <c r="KXF198" s="234"/>
      <c r="KXG198" s="234"/>
      <c r="KXH198" s="234"/>
      <c r="KXI198" s="234"/>
      <c r="KXJ198" s="234"/>
      <c r="KXK198" s="234"/>
      <c r="KXL198" s="234"/>
      <c r="KXM198" s="234"/>
      <c r="KXN198" s="234"/>
      <c r="KXO198" s="234"/>
      <c r="KXP198" s="234"/>
      <c r="KXQ198" s="234"/>
      <c r="KXR198" s="234"/>
      <c r="KXS198" s="234"/>
      <c r="KXT198" s="234"/>
      <c r="KXU198" s="234"/>
      <c r="KXV198" s="234"/>
      <c r="KXW198" s="234"/>
      <c r="KXX198" s="234"/>
      <c r="KXY198" s="234"/>
      <c r="KXZ198" s="234"/>
      <c r="KYA198" s="234"/>
      <c r="KYB198" s="234"/>
      <c r="KYC198" s="234"/>
      <c r="KYD198" s="234"/>
      <c r="KYE198" s="234"/>
      <c r="KYF198" s="234"/>
      <c r="KYG198" s="234"/>
      <c r="KYH198" s="234"/>
      <c r="KYI198" s="234"/>
      <c r="KYJ198" s="234"/>
      <c r="KYK198" s="234"/>
      <c r="KYL198" s="234"/>
      <c r="KYM198" s="234"/>
      <c r="KYN198" s="234"/>
      <c r="KYO198" s="234"/>
      <c r="KYP198" s="234"/>
      <c r="KYQ198" s="234"/>
      <c r="KYR198" s="234"/>
      <c r="KYS198" s="234"/>
      <c r="KYT198" s="234"/>
      <c r="KYU198" s="234"/>
      <c r="KYV198" s="234"/>
      <c r="KYW198" s="234"/>
      <c r="KYX198" s="234"/>
      <c r="KYY198" s="234"/>
      <c r="KYZ198" s="234"/>
      <c r="KZA198" s="234"/>
      <c r="KZB198" s="234"/>
      <c r="KZC198" s="234"/>
      <c r="KZD198" s="234"/>
      <c r="KZE198" s="234"/>
      <c r="KZF198" s="234"/>
      <c r="KZG198" s="234"/>
      <c r="KZH198" s="234"/>
      <c r="KZI198" s="234"/>
      <c r="KZJ198" s="234"/>
      <c r="KZK198" s="234"/>
      <c r="KZL198" s="234"/>
      <c r="KZM198" s="234"/>
      <c r="KZN198" s="234"/>
      <c r="KZO198" s="234"/>
      <c r="KZP198" s="234"/>
      <c r="KZQ198" s="234"/>
      <c r="KZR198" s="234"/>
      <c r="KZS198" s="234"/>
      <c r="KZT198" s="234"/>
      <c r="KZU198" s="234"/>
      <c r="KZV198" s="234"/>
      <c r="KZW198" s="234"/>
      <c r="KZX198" s="234"/>
      <c r="KZY198" s="234"/>
      <c r="KZZ198" s="234"/>
      <c r="LAA198" s="234"/>
      <c r="LAB198" s="234"/>
      <c r="LAC198" s="234"/>
      <c r="LAD198" s="234"/>
      <c r="LAE198" s="234"/>
      <c r="LAF198" s="234"/>
      <c r="LAG198" s="234"/>
      <c r="LAH198" s="234"/>
      <c r="LAI198" s="234"/>
      <c r="LAJ198" s="234"/>
      <c r="LAK198" s="234"/>
      <c r="LAL198" s="234"/>
      <c r="LAM198" s="234"/>
      <c r="LAN198" s="234"/>
      <c r="LAO198" s="234"/>
      <c r="LAP198" s="234"/>
      <c r="LAQ198" s="234"/>
      <c r="LAR198" s="234"/>
      <c r="LAS198" s="234"/>
      <c r="LAT198" s="234"/>
      <c r="LAU198" s="234"/>
      <c r="LAV198" s="234"/>
      <c r="LAW198" s="234"/>
      <c r="LAX198" s="234"/>
      <c r="LAY198" s="234"/>
      <c r="LAZ198" s="234"/>
      <c r="LBA198" s="234"/>
      <c r="LBB198" s="234"/>
      <c r="LBC198" s="234"/>
      <c r="LBD198" s="234"/>
      <c r="LBE198" s="234"/>
      <c r="LBF198" s="234"/>
      <c r="LBG198" s="234"/>
      <c r="LBH198" s="234"/>
      <c r="LBI198" s="234"/>
      <c r="LBJ198" s="234"/>
      <c r="LBK198" s="234"/>
      <c r="LBL198" s="234"/>
      <c r="LBM198" s="234"/>
      <c r="LBN198" s="234"/>
      <c r="LBO198" s="234"/>
      <c r="LBP198" s="234"/>
      <c r="LBQ198" s="234"/>
      <c r="LBR198" s="234"/>
      <c r="LBS198" s="234"/>
      <c r="LBT198" s="234"/>
      <c r="LBU198" s="234"/>
      <c r="LBV198" s="234"/>
      <c r="LBW198" s="234"/>
      <c r="LBX198" s="234"/>
      <c r="LBY198" s="234"/>
      <c r="LBZ198" s="234"/>
      <c r="LCA198" s="234"/>
      <c r="LCB198" s="234"/>
      <c r="LCC198" s="234"/>
      <c r="LCD198" s="234"/>
      <c r="LCE198" s="234"/>
      <c r="LCF198" s="234"/>
      <c r="LCG198" s="234"/>
      <c r="LCH198" s="234"/>
      <c r="LCI198" s="234"/>
      <c r="LCJ198" s="234"/>
      <c r="LCK198" s="234"/>
      <c r="LCL198" s="234"/>
      <c r="LCM198" s="234"/>
      <c r="LCN198" s="234"/>
      <c r="LCO198" s="234"/>
      <c r="LCP198" s="234"/>
      <c r="LCQ198" s="234"/>
      <c r="LCR198" s="234"/>
      <c r="LCS198" s="234"/>
      <c r="LCT198" s="234"/>
      <c r="LCU198" s="234"/>
      <c r="LCV198" s="234"/>
      <c r="LCW198" s="234"/>
      <c r="LCX198" s="234"/>
      <c r="LCY198" s="234"/>
      <c r="LCZ198" s="234"/>
      <c r="LDA198" s="234"/>
      <c r="LDB198" s="234"/>
      <c r="LDC198" s="234"/>
      <c r="LDD198" s="234"/>
      <c r="LDE198" s="234"/>
      <c r="LDF198" s="234"/>
      <c r="LDG198" s="234"/>
      <c r="LDH198" s="234"/>
      <c r="LDI198" s="234"/>
      <c r="LDJ198" s="234"/>
      <c r="LDK198" s="234"/>
      <c r="LDL198" s="234"/>
      <c r="LDM198" s="234"/>
      <c r="LDN198" s="234"/>
      <c r="LDO198" s="234"/>
      <c r="LDP198" s="234"/>
      <c r="LDQ198" s="234"/>
      <c r="LDR198" s="234"/>
      <c r="LDS198" s="234"/>
      <c r="LDT198" s="234"/>
      <c r="LDU198" s="234"/>
      <c r="LDV198" s="234"/>
      <c r="LDW198" s="234"/>
      <c r="LDX198" s="234"/>
      <c r="LDY198" s="234"/>
      <c r="LDZ198" s="234"/>
      <c r="LEA198" s="234"/>
      <c r="LEB198" s="234"/>
      <c r="LEC198" s="234"/>
      <c r="LED198" s="234"/>
      <c r="LEE198" s="234"/>
      <c r="LEF198" s="234"/>
      <c r="LEG198" s="234"/>
      <c r="LEH198" s="234"/>
      <c r="LEI198" s="234"/>
      <c r="LEJ198" s="234"/>
      <c r="LEK198" s="234"/>
      <c r="LEL198" s="234"/>
      <c r="LEM198" s="234"/>
      <c r="LEN198" s="234"/>
      <c r="LEO198" s="234"/>
      <c r="LEP198" s="234"/>
      <c r="LEQ198" s="234"/>
      <c r="LER198" s="234"/>
      <c r="LES198" s="234"/>
      <c r="LET198" s="234"/>
      <c r="LEU198" s="234"/>
      <c r="LEV198" s="234"/>
      <c r="LEW198" s="234"/>
      <c r="LEX198" s="234"/>
      <c r="LEY198" s="234"/>
      <c r="LEZ198" s="234"/>
      <c r="LFA198" s="234"/>
      <c r="LFB198" s="234"/>
      <c r="LFC198" s="234"/>
      <c r="LFD198" s="234"/>
      <c r="LFE198" s="234"/>
      <c r="LFF198" s="234"/>
      <c r="LFG198" s="234"/>
      <c r="LFH198" s="234"/>
      <c r="LFI198" s="234"/>
      <c r="LFJ198" s="234"/>
      <c r="LFK198" s="234"/>
      <c r="LFL198" s="234"/>
      <c r="LFM198" s="234"/>
      <c r="LFN198" s="234"/>
      <c r="LFO198" s="234"/>
      <c r="LFP198" s="234"/>
      <c r="LFQ198" s="234"/>
      <c r="LFR198" s="234"/>
      <c r="LFS198" s="234"/>
      <c r="LFT198" s="234"/>
      <c r="LFU198" s="234"/>
      <c r="LFV198" s="234"/>
      <c r="LFW198" s="234"/>
      <c r="LFX198" s="234"/>
      <c r="LFY198" s="234"/>
      <c r="LFZ198" s="234"/>
      <c r="LGA198" s="234"/>
      <c r="LGB198" s="234"/>
      <c r="LGC198" s="234"/>
      <c r="LGD198" s="234"/>
      <c r="LGE198" s="234"/>
      <c r="LGF198" s="234"/>
      <c r="LGG198" s="234"/>
      <c r="LGH198" s="234"/>
      <c r="LGI198" s="234"/>
      <c r="LGJ198" s="234"/>
      <c r="LGK198" s="234"/>
      <c r="LGL198" s="234"/>
      <c r="LGM198" s="234"/>
      <c r="LGN198" s="234"/>
      <c r="LGO198" s="234"/>
      <c r="LGP198" s="234"/>
      <c r="LGQ198" s="234"/>
      <c r="LGR198" s="234"/>
      <c r="LGS198" s="234"/>
      <c r="LGT198" s="234"/>
      <c r="LGU198" s="234"/>
      <c r="LGV198" s="234"/>
      <c r="LGW198" s="234"/>
      <c r="LGX198" s="234"/>
      <c r="LGY198" s="234"/>
      <c r="LGZ198" s="234"/>
      <c r="LHA198" s="234"/>
      <c r="LHB198" s="234"/>
      <c r="LHC198" s="234"/>
      <c r="LHD198" s="234"/>
      <c r="LHE198" s="234"/>
      <c r="LHF198" s="234"/>
      <c r="LHG198" s="234"/>
      <c r="LHH198" s="234"/>
      <c r="LHI198" s="234"/>
      <c r="LHJ198" s="234"/>
      <c r="LHK198" s="234"/>
      <c r="LHL198" s="234"/>
      <c r="LHM198" s="234"/>
      <c r="LHN198" s="234"/>
      <c r="LHO198" s="234"/>
      <c r="LHP198" s="234"/>
      <c r="LHQ198" s="234"/>
      <c r="LHR198" s="234"/>
      <c r="LHS198" s="234"/>
      <c r="LHT198" s="234"/>
      <c r="LHU198" s="234"/>
      <c r="LHV198" s="234"/>
      <c r="LHW198" s="234"/>
      <c r="LHX198" s="234"/>
      <c r="LHY198" s="234"/>
      <c r="LHZ198" s="234"/>
      <c r="LIA198" s="234"/>
      <c r="LIB198" s="234"/>
      <c r="LIC198" s="234"/>
      <c r="LID198" s="234"/>
      <c r="LIE198" s="234"/>
      <c r="LIF198" s="234"/>
      <c r="LIG198" s="234"/>
      <c r="LIH198" s="234"/>
      <c r="LII198" s="234"/>
      <c r="LIJ198" s="234"/>
      <c r="LIK198" s="234"/>
      <c r="LIL198" s="234"/>
      <c r="LIM198" s="234"/>
      <c r="LIN198" s="234"/>
      <c r="LIO198" s="234"/>
      <c r="LIP198" s="234"/>
      <c r="LIQ198" s="234"/>
      <c r="LIR198" s="234"/>
      <c r="LIS198" s="234"/>
      <c r="LIT198" s="234"/>
      <c r="LIU198" s="234"/>
      <c r="LIV198" s="234"/>
      <c r="LIW198" s="234"/>
      <c r="LIX198" s="234"/>
      <c r="LIY198" s="234"/>
      <c r="LIZ198" s="234"/>
      <c r="LJA198" s="234"/>
      <c r="LJB198" s="234"/>
      <c r="LJC198" s="234"/>
      <c r="LJD198" s="234"/>
      <c r="LJE198" s="234"/>
      <c r="LJF198" s="234"/>
      <c r="LJG198" s="234"/>
      <c r="LJH198" s="234"/>
      <c r="LJI198" s="234"/>
      <c r="LJJ198" s="234"/>
      <c r="LJK198" s="234"/>
      <c r="LJL198" s="234"/>
      <c r="LJM198" s="234"/>
      <c r="LJN198" s="234"/>
      <c r="LJO198" s="234"/>
      <c r="LJP198" s="234"/>
      <c r="LJQ198" s="234"/>
      <c r="LJR198" s="234"/>
      <c r="LJS198" s="234"/>
      <c r="LJT198" s="234"/>
      <c r="LJU198" s="234"/>
      <c r="LJV198" s="234"/>
      <c r="LJW198" s="234"/>
      <c r="LJX198" s="234"/>
      <c r="LJY198" s="234"/>
      <c r="LJZ198" s="234"/>
      <c r="LKA198" s="234"/>
      <c r="LKB198" s="234"/>
      <c r="LKC198" s="234"/>
      <c r="LKD198" s="234"/>
      <c r="LKE198" s="234"/>
      <c r="LKF198" s="234"/>
      <c r="LKG198" s="234"/>
      <c r="LKH198" s="234"/>
      <c r="LKI198" s="234"/>
      <c r="LKJ198" s="234"/>
      <c r="LKK198" s="234"/>
      <c r="LKL198" s="234"/>
      <c r="LKM198" s="234"/>
      <c r="LKN198" s="234"/>
      <c r="LKO198" s="234"/>
      <c r="LKP198" s="234"/>
      <c r="LKQ198" s="234"/>
      <c r="LKR198" s="234"/>
      <c r="LKS198" s="234"/>
      <c r="LKT198" s="234"/>
      <c r="LKU198" s="234"/>
      <c r="LKV198" s="234"/>
      <c r="LKW198" s="234"/>
      <c r="LKX198" s="234"/>
      <c r="LKY198" s="234"/>
      <c r="LKZ198" s="234"/>
      <c r="LLA198" s="234"/>
      <c r="LLB198" s="234"/>
      <c r="LLC198" s="234"/>
      <c r="LLD198" s="234"/>
      <c r="LLE198" s="234"/>
      <c r="LLF198" s="234"/>
      <c r="LLG198" s="234"/>
      <c r="LLH198" s="234"/>
      <c r="LLI198" s="234"/>
      <c r="LLJ198" s="234"/>
      <c r="LLK198" s="234"/>
      <c r="LLL198" s="234"/>
      <c r="LLM198" s="234"/>
      <c r="LLN198" s="234"/>
      <c r="LLO198" s="234"/>
      <c r="LLP198" s="234"/>
      <c r="LLQ198" s="234"/>
      <c r="LLR198" s="234"/>
      <c r="LLS198" s="234"/>
      <c r="LLT198" s="234"/>
      <c r="LLU198" s="234"/>
      <c r="LLV198" s="234"/>
      <c r="LLW198" s="234"/>
      <c r="LLX198" s="234"/>
      <c r="LLY198" s="234"/>
      <c r="LLZ198" s="234"/>
      <c r="LMA198" s="234"/>
      <c r="LMB198" s="234"/>
      <c r="LMC198" s="234"/>
      <c r="LMD198" s="234"/>
      <c r="LME198" s="234"/>
      <c r="LMF198" s="234"/>
      <c r="LMG198" s="234"/>
      <c r="LMH198" s="234"/>
      <c r="LMI198" s="234"/>
      <c r="LMJ198" s="234"/>
      <c r="LMK198" s="234"/>
      <c r="LML198" s="234"/>
      <c r="LMM198" s="234"/>
      <c r="LMN198" s="234"/>
      <c r="LMO198" s="234"/>
      <c r="LMP198" s="234"/>
      <c r="LMQ198" s="234"/>
      <c r="LMR198" s="234"/>
      <c r="LMS198" s="234"/>
      <c r="LMT198" s="234"/>
      <c r="LMU198" s="234"/>
      <c r="LMV198" s="234"/>
      <c r="LMW198" s="234"/>
      <c r="LMX198" s="234"/>
      <c r="LMY198" s="234"/>
      <c r="LMZ198" s="234"/>
      <c r="LNA198" s="234"/>
      <c r="LNB198" s="234"/>
      <c r="LNC198" s="234"/>
      <c r="LND198" s="234"/>
      <c r="LNE198" s="234"/>
      <c r="LNF198" s="234"/>
      <c r="LNG198" s="234"/>
      <c r="LNH198" s="234"/>
      <c r="LNI198" s="234"/>
      <c r="LNJ198" s="234"/>
      <c r="LNK198" s="234"/>
      <c r="LNL198" s="234"/>
      <c r="LNM198" s="234"/>
      <c r="LNN198" s="234"/>
      <c r="LNO198" s="234"/>
      <c r="LNP198" s="234"/>
      <c r="LNQ198" s="234"/>
      <c r="LNR198" s="234"/>
      <c r="LNS198" s="234"/>
      <c r="LNT198" s="234"/>
      <c r="LNU198" s="234"/>
      <c r="LNV198" s="234"/>
      <c r="LNW198" s="234"/>
      <c r="LNX198" s="234"/>
      <c r="LNY198" s="234"/>
      <c r="LNZ198" s="234"/>
      <c r="LOA198" s="234"/>
      <c r="LOB198" s="234"/>
      <c r="LOC198" s="234"/>
      <c r="LOD198" s="234"/>
      <c r="LOE198" s="234"/>
      <c r="LOF198" s="234"/>
      <c r="LOG198" s="234"/>
      <c r="LOH198" s="234"/>
      <c r="LOI198" s="234"/>
      <c r="LOJ198" s="234"/>
      <c r="LOK198" s="234"/>
      <c r="LOL198" s="234"/>
      <c r="LOM198" s="234"/>
      <c r="LON198" s="234"/>
      <c r="LOO198" s="234"/>
      <c r="LOP198" s="234"/>
      <c r="LOQ198" s="234"/>
      <c r="LOR198" s="234"/>
      <c r="LOS198" s="234"/>
      <c r="LOT198" s="234"/>
      <c r="LOU198" s="234"/>
      <c r="LOV198" s="234"/>
      <c r="LOW198" s="234"/>
      <c r="LOX198" s="234"/>
      <c r="LOY198" s="234"/>
      <c r="LOZ198" s="234"/>
      <c r="LPA198" s="234"/>
      <c r="LPB198" s="234"/>
      <c r="LPC198" s="234"/>
      <c r="LPD198" s="234"/>
      <c r="LPE198" s="234"/>
      <c r="LPF198" s="234"/>
      <c r="LPG198" s="234"/>
      <c r="LPH198" s="234"/>
      <c r="LPI198" s="234"/>
      <c r="LPJ198" s="234"/>
      <c r="LPK198" s="234"/>
      <c r="LPL198" s="234"/>
      <c r="LPM198" s="234"/>
      <c r="LPN198" s="234"/>
      <c r="LPO198" s="234"/>
      <c r="LPP198" s="234"/>
      <c r="LPQ198" s="234"/>
      <c r="LPR198" s="234"/>
      <c r="LPS198" s="234"/>
      <c r="LPT198" s="234"/>
      <c r="LPU198" s="234"/>
      <c r="LPV198" s="234"/>
      <c r="LPW198" s="234"/>
      <c r="LPX198" s="234"/>
      <c r="LPY198" s="234"/>
      <c r="LPZ198" s="234"/>
      <c r="LQA198" s="234"/>
      <c r="LQB198" s="234"/>
      <c r="LQC198" s="234"/>
      <c r="LQD198" s="234"/>
      <c r="LQE198" s="234"/>
      <c r="LQF198" s="234"/>
      <c r="LQG198" s="234"/>
      <c r="LQH198" s="234"/>
      <c r="LQI198" s="234"/>
      <c r="LQJ198" s="234"/>
      <c r="LQK198" s="234"/>
      <c r="LQL198" s="234"/>
      <c r="LQM198" s="234"/>
      <c r="LQN198" s="234"/>
      <c r="LQO198" s="234"/>
      <c r="LQP198" s="234"/>
      <c r="LQQ198" s="234"/>
      <c r="LQR198" s="234"/>
      <c r="LQS198" s="234"/>
      <c r="LQT198" s="234"/>
      <c r="LQU198" s="234"/>
      <c r="LQV198" s="234"/>
      <c r="LQW198" s="234"/>
      <c r="LQX198" s="234"/>
      <c r="LQY198" s="234"/>
      <c r="LQZ198" s="234"/>
      <c r="LRA198" s="234"/>
      <c r="LRB198" s="234"/>
      <c r="LRC198" s="234"/>
      <c r="LRD198" s="234"/>
      <c r="LRE198" s="234"/>
      <c r="LRF198" s="234"/>
      <c r="LRG198" s="234"/>
      <c r="LRH198" s="234"/>
      <c r="LRI198" s="234"/>
      <c r="LRJ198" s="234"/>
      <c r="LRK198" s="234"/>
      <c r="LRL198" s="234"/>
      <c r="LRM198" s="234"/>
      <c r="LRN198" s="234"/>
      <c r="LRO198" s="234"/>
      <c r="LRP198" s="234"/>
      <c r="LRQ198" s="234"/>
      <c r="LRR198" s="234"/>
      <c r="LRS198" s="234"/>
      <c r="LRT198" s="234"/>
      <c r="LRU198" s="234"/>
      <c r="LRV198" s="234"/>
      <c r="LRW198" s="234"/>
      <c r="LRX198" s="234"/>
      <c r="LRY198" s="234"/>
      <c r="LRZ198" s="234"/>
      <c r="LSA198" s="234"/>
      <c r="LSB198" s="234"/>
      <c r="LSC198" s="234"/>
      <c r="LSD198" s="234"/>
      <c r="LSE198" s="234"/>
      <c r="LSF198" s="234"/>
      <c r="LSG198" s="234"/>
      <c r="LSH198" s="234"/>
      <c r="LSI198" s="234"/>
      <c r="LSJ198" s="234"/>
      <c r="LSK198" s="234"/>
      <c r="LSL198" s="234"/>
      <c r="LSM198" s="234"/>
      <c r="LSN198" s="234"/>
      <c r="LSO198" s="234"/>
      <c r="LSP198" s="234"/>
      <c r="LSQ198" s="234"/>
      <c r="LSR198" s="234"/>
      <c r="LSS198" s="234"/>
      <c r="LST198" s="234"/>
      <c r="LSU198" s="234"/>
      <c r="LSV198" s="234"/>
      <c r="LSW198" s="234"/>
      <c r="LSX198" s="234"/>
      <c r="LSY198" s="234"/>
      <c r="LSZ198" s="234"/>
      <c r="LTA198" s="234"/>
      <c r="LTB198" s="234"/>
      <c r="LTC198" s="234"/>
      <c r="LTD198" s="234"/>
      <c r="LTE198" s="234"/>
      <c r="LTF198" s="234"/>
      <c r="LTG198" s="234"/>
      <c r="LTH198" s="234"/>
      <c r="LTI198" s="234"/>
      <c r="LTJ198" s="234"/>
      <c r="LTK198" s="234"/>
      <c r="LTL198" s="234"/>
      <c r="LTM198" s="234"/>
      <c r="LTN198" s="234"/>
      <c r="LTO198" s="234"/>
      <c r="LTP198" s="234"/>
      <c r="LTQ198" s="234"/>
      <c r="LTR198" s="234"/>
      <c r="LTS198" s="234"/>
      <c r="LTT198" s="234"/>
      <c r="LTU198" s="234"/>
      <c r="LTV198" s="234"/>
      <c r="LTW198" s="234"/>
      <c r="LTX198" s="234"/>
      <c r="LTY198" s="234"/>
      <c r="LTZ198" s="234"/>
      <c r="LUA198" s="234"/>
      <c r="LUB198" s="234"/>
      <c r="LUC198" s="234"/>
      <c r="LUD198" s="234"/>
      <c r="LUE198" s="234"/>
      <c r="LUF198" s="234"/>
      <c r="LUG198" s="234"/>
      <c r="LUH198" s="234"/>
      <c r="LUI198" s="234"/>
      <c r="LUJ198" s="234"/>
      <c r="LUK198" s="234"/>
      <c r="LUL198" s="234"/>
      <c r="LUM198" s="234"/>
      <c r="LUN198" s="234"/>
      <c r="LUO198" s="234"/>
      <c r="LUP198" s="234"/>
      <c r="LUQ198" s="234"/>
      <c r="LUR198" s="234"/>
      <c r="LUS198" s="234"/>
      <c r="LUT198" s="234"/>
      <c r="LUU198" s="234"/>
      <c r="LUV198" s="234"/>
      <c r="LUW198" s="234"/>
      <c r="LUX198" s="234"/>
      <c r="LUY198" s="234"/>
      <c r="LUZ198" s="234"/>
      <c r="LVA198" s="234"/>
      <c r="LVB198" s="234"/>
      <c r="LVC198" s="234"/>
      <c r="LVD198" s="234"/>
      <c r="LVE198" s="234"/>
      <c r="LVF198" s="234"/>
      <c r="LVG198" s="234"/>
      <c r="LVH198" s="234"/>
      <c r="LVI198" s="234"/>
      <c r="LVJ198" s="234"/>
      <c r="LVK198" s="234"/>
      <c r="LVL198" s="234"/>
      <c r="LVM198" s="234"/>
      <c r="LVN198" s="234"/>
      <c r="LVO198" s="234"/>
      <c r="LVP198" s="234"/>
      <c r="LVQ198" s="234"/>
      <c r="LVR198" s="234"/>
      <c r="LVS198" s="234"/>
      <c r="LVT198" s="234"/>
      <c r="LVU198" s="234"/>
      <c r="LVV198" s="234"/>
      <c r="LVW198" s="234"/>
      <c r="LVX198" s="234"/>
      <c r="LVY198" s="234"/>
      <c r="LVZ198" s="234"/>
      <c r="LWA198" s="234"/>
      <c r="LWB198" s="234"/>
      <c r="LWC198" s="234"/>
      <c r="LWD198" s="234"/>
      <c r="LWE198" s="234"/>
      <c r="LWF198" s="234"/>
      <c r="LWG198" s="234"/>
      <c r="LWH198" s="234"/>
      <c r="LWI198" s="234"/>
      <c r="LWJ198" s="234"/>
      <c r="LWK198" s="234"/>
      <c r="LWL198" s="234"/>
      <c r="LWM198" s="234"/>
      <c r="LWN198" s="234"/>
      <c r="LWO198" s="234"/>
      <c r="LWP198" s="234"/>
      <c r="LWQ198" s="234"/>
      <c r="LWR198" s="234"/>
      <c r="LWS198" s="234"/>
      <c r="LWT198" s="234"/>
      <c r="LWU198" s="234"/>
      <c r="LWV198" s="234"/>
      <c r="LWW198" s="234"/>
      <c r="LWX198" s="234"/>
      <c r="LWY198" s="234"/>
      <c r="LWZ198" s="234"/>
      <c r="LXA198" s="234"/>
      <c r="LXB198" s="234"/>
      <c r="LXC198" s="234"/>
      <c r="LXD198" s="234"/>
      <c r="LXE198" s="234"/>
      <c r="LXF198" s="234"/>
      <c r="LXG198" s="234"/>
      <c r="LXH198" s="234"/>
      <c r="LXI198" s="234"/>
      <c r="LXJ198" s="234"/>
      <c r="LXK198" s="234"/>
      <c r="LXL198" s="234"/>
      <c r="LXM198" s="234"/>
      <c r="LXN198" s="234"/>
      <c r="LXO198" s="234"/>
      <c r="LXP198" s="234"/>
      <c r="LXQ198" s="234"/>
      <c r="LXR198" s="234"/>
      <c r="LXS198" s="234"/>
      <c r="LXT198" s="234"/>
      <c r="LXU198" s="234"/>
      <c r="LXV198" s="234"/>
      <c r="LXW198" s="234"/>
      <c r="LXX198" s="234"/>
      <c r="LXY198" s="234"/>
      <c r="LXZ198" s="234"/>
      <c r="LYA198" s="234"/>
      <c r="LYB198" s="234"/>
      <c r="LYC198" s="234"/>
      <c r="LYD198" s="234"/>
      <c r="LYE198" s="234"/>
      <c r="LYF198" s="234"/>
      <c r="LYG198" s="234"/>
      <c r="LYH198" s="234"/>
      <c r="LYI198" s="234"/>
      <c r="LYJ198" s="234"/>
      <c r="LYK198" s="234"/>
      <c r="LYL198" s="234"/>
      <c r="LYM198" s="234"/>
      <c r="LYN198" s="234"/>
      <c r="LYO198" s="234"/>
      <c r="LYP198" s="234"/>
      <c r="LYQ198" s="234"/>
      <c r="LYR198" s="234"/>
      <c r="LYS198" s="234"/>
      <c r="LYT198" s="234"/>
      <c r="LYU198" s="234"/>
      <c r="LYV198" s="234"/>
      <c r="LYW198" s="234"/>
      <c r="LYX198" s="234"/>
      <c r="LYY198" s="234"/>
      <c r="LYZ198" s="234"/>
      <c r="LZA198" s="234"/>
      <c r="LZB198" s="234"/>
      <c r="LZC198" s="234"/>
      <c r="LZD198" s="234"/>
      <c r="LZE198" s="234"/>
      <c r="LZF198" s="234"/>
      <c r="LZG198" s="234"/>
      <c r="LZH198" s="234"/>
      <c r="LZI198" s="234"/>
      <c r="LZJ198" s="234"/>
      <c r="LZK198" s="234"/>
      <c r="LZL198" s="234"/>
      <c r="LZM198" s="234"/>
      <c r="LZN198" s="234"/>
      <c r="LZO198" s="234"/>
      <c r="LZP198" s="234"/>
      <c r="LZQ198" s="234"/>
      <c r="LZR198" s="234"/>
      <c r="LZS198" s="234"/>
      <c r="LZT198" s="234"/>
      <c r="LZU198" s="234"/>
      <c r="LZV198" s="234"/>
      <c r="LZW198" s="234"/>
      <c r="LZX198" s="234"/>
      <c r="LZY198" s="234"/>
      <c r="LZZ198" s="234"/>
      <c r="MAA198" s="234"/>
      <c r="MAB198" s="234"/>
      <c r="MAC198" s="234"/>
      <c r="MAD198" s="234"/>
      <c r="MAE198" s="234"/>
      <c r="MAF198" s="234"/>
      <c r="MAG198" s="234"/>
      <c r="MAH198" s="234"/>
      <c r="MAI198" s="234"/>
      <c r="MAJ198" s="234"/>
      <c r="MAK198" s="234"/>
      <c r="MAL198" s="234"/>
      <c r="MAM198" s="234"/>
      <c r="MAN198" s="234"/>
      <c r="MAO198" s="234"/>
      <c r="MAP198" s="234"/>
      <c r="MAQ198" s="234"/>
      <c r="MAR198" s="234"/>
      <c r="MAS198" s="234"/>
      <c r="MAT198" s="234"/>
      <c r="MAU198" s="234"/>
      <c r="MAV198" s="234"/>
      <c r="MAW198" s="234"/>
      <c r="MAX198" s="234"/>
      <c r="MAY198" s="234"/>
      <c r="MAZ198" s="234"/>
      <c r="MBA198" s="234"/>
      <c r="MBB198" s="234"/>
      <c r="MBC198" s="234"/>
      <c r="MBD198" s="234"/>
      <c r="MBE198" s="234"/>
      <c r="MBF198" s="234"/>
      <c r="MBG198" s="234"/>
      <c r="MBH198" s="234"/>
      <c r="MBI198" s="234"/>
      <c r="MBJ198" s="234"/>
      <c r="MBK198" s="234"/>
      <c r="MBL198" s="234"/>
      <c r="MBM198" s="234"/>
      <c r="MBN198" s="234"/>
      <c r="MBO198" s="234"/>
      <c r="MBP198" s="234"/>
      <c r="MBQ198" s="234"/>
      <c r="MBR198" s="234"/>
      <c r="MBS198" s="234"/>
      <c r="MBT198" s="234"/>
      <c r="MBU198" s="234"/>
      <c r="MBV198" s="234"/>
      <c r="MBW198" s="234"/>
      <c r="MBX198" s="234"/>
      <c r="MBY198" s="234"/>
      <c r="MBZ198" s="234"/>
      <c r="MCA198" s="234"/>
      <c r="MCB198" s="234"/>
      <c r="MCC198" s="234"/>
      <c r="MCD198" s="234"/>
      <c r="MCE198" s="234"/>
      <c r="MCF198" s="234"/>
      <c r="MCG198" s="234"/>
      <c r="MCH198" s="234"/>
      <c r="MCI198" s="234"/>
      <c r="MCJ198" s="234"/>
      <c r="MCK198" s="234"/>
      <c r="MCL198" s="234"/>
      <c r="MCM198" s="234"/>
      <c r="MCN198" s="234"/>
      <c r="MCO198" s="234"/>
      <c r="MCP198" s="234"/>
      <c r="MCQ198" s="234"/>
      <c r="MCR198" s="234"/>
      <c r="MCS198" s="234"/>
      <c r="MCT198" s="234"/>
      <c r="MCU198" s="234"/>
      <c r="MCV198" s="234"/>
      <c r="MCW198" s="234"/>
      <c r="MCX198" s="234"/>
      <c r="MCY198" s="234"/>
      <c r="MCZ198" s="234"/>
      <c r="MDA198" s="234"/>
      <c r="MDB198" s="234"/>
      <c r="MDC198" s="234"/>
      <c r="MDD198" s="234"/>
      <c r="MDE198" s="234"/>
      <c r="MDF198" s="234"/>
      <c r="MDG198" s="234"/>
      <c r="MDH198" s="234"/>
      <c r="MDI198" s="234"/>
      <c r="MDJ198" s="234"/>
      <c r="MDK198" s="234"/>
      <c r="MDL198" s="234"/>
      <c r="MDM198" s="234"/>
      <c r="MDN198" s="234"/>
      <c r="MDO198" s="234"/>
      <c r="MDP198" s="234"/>
      <c r="MDQ198" s="234"/>
      <c r="MDR198" s="234"/>
      <c r="MDS198" s="234"/>
      <c r="MDT198" s="234"/>
      <c r="MDU198" s="234"/>
      <c r="MDV198" s="234"/>
      <c r="MDW198" s="234"/>
      <c r="MDX198" s="234"/>
      <c r="MDY198" s="234"/>
      <c r="MDZ198" s="234"/>
      <c r="MEA198" s="234"/>
      <c r="MEB198" s="234"/>
      <c r="MEC198" s="234"/>
      <c r="MED198" s="234"/>
      <c r="MEE198" s="234"/>
      <c r="MEF198" s="234"/>
      <c r="MEG198" s="234"/>
      <c r="MEH198" s="234"/>
      <c r="MEI198" s="234"/>
      <c r="MEJ198" s="234"/>
      <c r="MEK198" s="234"/>
      <c r="MEL198" s="234"/>
      <c r="MEM198" s="234"/>
      <c r="MEN198" s="234"/>
      <c r="MEO198" s="234"/>
      <c r="MEP198" s="234"/>
      <c r="MEQ198" s="234"/>
      <c r="MER198" s="234"/>
      <c r="MES198" s="234"/>
      <c r="MET198" s="234"/>
      <c r="MEU198" s="234"/>
      <c r="MEV198" s="234"/>
      <c r="MEW198" s="234"/>
      <c r="MEX198" s="234"/>
      <c r="MEY198" s="234"/>
      <c r="MEZ198" s="234"/>
      <c r="MFA198" s="234"/>
      <c r="MFB198" s="234"/>
      <c r="MFC198" s="234"/>
      <c r="MFD198" s="234"/>
      <c r="MFE198" s="234"/>
      <c r="MFF198" s="234"/>
      <c r="MFG198" s="234"/>
      <c r="MFH198" s="234"/>
      <c r="MFI198" s="234"/>
      <c r="MFJ198" s="234"/>
      <c r="MFK198" s="234"/>
      <c r="MFL198" s="234"/>
      <c r="MFM198" s="234"/>
      <c r="MFN198" s="234"/>
      <c r="MFO198" s="234"/>
      <c r="MFP198" s="234"/>
      <c r="MFQ198" s="234"/>
      <c r="MFR198" s="234"/>
      <c r="MFS198" s="234"/>
      <c r="MFT198" s="234"/>
      <c r="MFU198" s="234"/>
      <c r="MFV198" s="234"/>
      <c r="MFW198" s="234"/>
      <c r="MFX198" s="234"/>
      <c r="MFY198" s="234"/>
      <c r="MFZ198" s="234"/>
      <c r="MGA198" s="234"/>
      <c r="MGB198" s="234"/>
      <c r="MGC198" s="234"/>
      <c r="MGD198" s="234"/>
      <c r="MGE198" s="234"/>
      <c r="MGF198" s="234"/>
      <c r="MGG198" s="234"/>
      <c r="MGH198" s="234"/>
      <c r="MGI198" s="234"/>
      <c r="MGJ198" s="234"/>
      <c r="MGK198" s="234"/>
      <c r="MGL198" s="234"/>
      <c r="MGM198" s="234"/>
      <c r="MGN198" s="234"/>
      <c r="MGO198" s="234"/>
      <c r="MGP198" s="234"/>
      <c r="MGQ198" s="234"/>
      <c r="MGR198" s="234"/>
      <c r="MGS198" s="234"/>
      <c r="MGT198" s="234"/>
      <c r="MGU198" s="234"/>
      <c r="MGV198" s="234"/>
      <c r="MGW198" s="234"/>
      <c r="MGX198" s="234"/>
      <c r="MGY198" s="234"/>
      <c r="MGZ198" s="234"/>
      <c r="MHA198" s="234"/>
      <c r="MHB198" s="234"/>
      <c r="MHC198" s="234"/>
      <c r="MHD198" s="234"/>
      <c r="MHE198" s="234"/>
      <c r="MHF198" s="234"/>
      <c r="MHG198" s="234"/>
      <c r="MHH198" s="234"/>
      <c r="MHI198" s="234"/>
      <c r="MHJ198" s="234"/>
      <c r="MHK198" s="234"/>
      <c r="MHL198" s="234"/>
      <c r="MHM198" s="234"/>
      <c r="MHN198" s="234"/>
      <c r="MHO198" s="234"/>
      <c r="MHP198" s="234"/>
      <c r="MHQ198" s="234"/>
      <c r="MHR198" s="234"/>
      <c r="MHS198" s="234"/>
      <c r="MHT198" s="234"/>
      <c r="MHU198" s="234"/>
      <c r="MHV198" s="234"/>
      <c r="MHW198" s="234"/>
      <c r="MHX198" s="234"/>
      <c r="MHY198" s="234"/>
      <c r="MHZ198" s="234"/>
      <c r="MIA198" s="234"/>
      <c r="MIB198" s="234"/>
      <c r="MIC198" s="234"/>
      <c r="MID198" s="234"/>
      <c r="MIE198" s="234"/>
      <c r="MIF198" s="234"/>
      <c r="MIG198" s="234"/>
      <c r="MIH198" s="234"/>
      <c r="MII198" s="234"/>
      <c r="MIJ198" s="234"/>
      <c r="MIK198" s="234"/>
      <c r="MIL198" s="234"/>
      <c r="MIM198" s="234"/>
      <c r="MIN198" s="234"/>
      <c r="MIO198" s="234"/>
      <c r="MIP198" s="234"/>
      <c r="MIQ198" s="234"/>
      <c r="MIR198" s="234"/>
      <c r="MIS198" s="234"/>
      <c r="MIT198" s="234"/>
      <c r="MIU198" s="234"/>
      <c r="MIV198" s="234"/>
      <c r="MIW198" s="234"/>
      <c r="MIX198" s="234"/>
      <c r="MIY198" s="234"/>
      <c r="MIZ198" s="234"/>
      <c r="MJA198" s="234"/>
      <c r="MJB198" s="234"/>
      <c r="MJC198" s="234"/>
      <c r="MJD198" s="234"/>
      <c r="MJE198" s="234"/>
      <c r="MJF198" s="234"/>
      <c r="MJG198" s="234"/>
      <c r="MJH198" s="234"/>
      <c r="MJI198" s="234"/>
      <c r="MJJ198" s="234"/>
      <c r="MJK198" s="234"/>
      <c r="MJL198" s="234"/>
      <c r="MJM198" s="234"/>
      <c r="MJN198" s="234"/>
      <c r="MJO198" s="234"/>
      <c r="MJP198" s="234"/>
      <c r="MJQ198" s="234"/>
      <c r="MJR198" s="234"/>
      <c r="MJS198" s="234"/>
      <c r="MJT198" s="234"/>
      <c r="MJU198" s="234"/>
      <c r="MJV198" s="234"/>
      <c r="MJW198" s="234"/>
      <c r="MJX198" s="234"/>
      <c r="MJY198" s="234"/>
      <c r="MJZ198" s="234"/>
      <c r="MKA198" s="234"/>
      <c r="MKB198" s="234"/>
      <c r="MKC198" s="234"/>
      <c r="MKD198" s="234"/>
      <c r="MKE198" s="234"/>
      <c r="MKF198" s="234"/>
      <c r="MKG198" s="234"/>
      <c r="MKH198" s="234"/>
      <c r="MKI198" s="234"/>
      <c r="MKJ198" s="234"/>
      <c r="MKK198" s="234"/>
      <c r="MKL198" s="234"/>
      <c r="MKM198" s="234"/>
      <c r="MKN198" s="234"/>
      <c r="MKO198" s="234"/>
      <c r="MKP198" s="234"/>
      <c r="MKQ198" s="234"/>
      <c r="MKR198" s="234"/>
      <c r="MKS198" s="234"/>
      <c r="MKT198" s="234"/>
      <c r="MKU198" s="234"/>
      <c r="MKV198" s="234"/>
      <c r="MKW198" s="234"/>
      <c r="MKX198" s="234"/>
      <c r="MKY198" s="234"/>
      <c r="MKZ198" s="234"/>
      <c r="MLA198" s="234"/>
      <c r="MLB198" s="234"/>
      <c r="MLC198" s="234"/>
      <c r="MLD198" s="234"/>
      <c r="MLE198" s="234"/>
      <c r="MLF198" s="234"/>
      <c r="MLG198" s="234"/>
      <c r="MLH198" s="234"/>
      <c r="MLI198" s="234"/>
      <c r="MLJ198" s="234"/>
      <c r="MLK198" s="234"/>
      <c r="MLL198" s="234"/>
      <c r="MLM198" s="234"/>
      <c r="MLN198" s="234"/>
      <c r="MLO198" s="234"/>
      <c r="MLP198" s="234"/>
      <c r="MLQ198" s="234"/>
      <c r="MLR198" s="234"/>
      <c r="MLS198" s="234"/>
      <c r="MLT198" s="234"/>
      <c r="MLU198" s="234"/>
      <c r="MLV198" s="234"/>
      <c r="MLW198" s="234"/>
      <c r="MLX198" s="234"/>
      <c r="MLY198" s="234"/>
      <c r="MLZ198" s="234"/>
      <c r="MMA198" s="234"/>
      <c r="MMB198" s="234"/>
      <c r="MMC198" s="234"/>
      <c r="MMD198" s="234"/>
      <c r="MME198" s="234"/>
      <c r="MMF198" s="234"/>
      <c r="MMG198" s="234"/>
      <c r="MMH198" s="234"/>
      <c r="MMI198" s="234"/>
      <c r="MMJ198" s="234"/>
      <c r="MMK198" s="234"/>
      <c r="MML198" s="234"/>
      <c r="MMM198" s="234"/>
      <c r="MMN198" s="234"/>
      <c r="MMO198" s="234"/>
      <c r="MMP198" s="234"/>
      <c r="MMQ198" s="234"/>
      <c r="MMR198" s="234"/>
      <c r="MMS198" s="234"/>
      <c r="MMT198" s="234"/>
      <c r="MMU198" s="234"/>
      <c r="MMV198" s="234"/>
      <c r="MMW198" s="234"/>
      <c r="MMX198" s="234"/>
      <c r="MMY198" s="234"/>
      <c r="MMZ198" s="234"/>
      <c r="MNA198" s="234"/>
      <c r="MNB198" s="234"/>
      <c r="MNC198" s="234"/>
      <c r="MND198" s="234"/>
      <c r="MNE198" s="234"/>
      <c r="MNF198" s="234"/>
      <c r="MNG198" s="234"/>
      <c r="MNH198" s="234"/>
      <c r="MNI198" s="234"/>
      <c r="MNJ198" s="234"/>
      <c r="MNK198" s="234"/>
      <c r="MNL198" s="234"/>
      <c r="MNM198" s="234"/>
      <c r="MNN198" s="234"/>
      <c r="MNO198" s="234"/>
      <c r="MNP198" s="234"/>
      <c r="MNQ198" s="234"/>
      <c r="MNR198" s="234"/>
      <c r="MNS198" s="234"/>
      <c r="MNT198" s="234"/>
      <c r="MNU198" s="234"/>
      <c r="MNV198" s="234"/>
      <c r="MNW198" s="234"/>
      <c r="MNX198" s="234"/>
      <c r="MNY198" s="234"/>
      <c r="MNZ198" s="234"/>
      <c r="MOA198" s="234"/>
      <c r="MOB198" s="234"/>
      <c r="MOC198" s="234"/>
      <c r="MOD198" s="234"/>
      <c r="MOE198" s="234"/>
      <c r="MOF198" s="234"/>
      <c r="MOG198" s="234"/>
      <c r="MOH198" s="234"/>
      <c r="MOI198" s="234"/>
      <c r="MOJ198" s="234"/>
      <c r="MOK198" s="234"/>
      <c r="MOL198" s="234"/>
      <c r="MOM198" s="234"/>
      <c r="MON198" s="234"/>
      <c r="MOO198" s="234"/>
      <c r="MOP198" s="234"/>
      <c r="MOQ198" s="234"/>
      <c r="MOR198" s="234"/>
      <c r="MOS198" s="234"/>
      <c r="MOT198" s="234"/>
      <c r="MOU198" s="234"/>
      <c r="MOV198" s="234"/>
      <c r="MOW198" s="234"/>
      <c r="MOX198" s="234"/>
      <c r="MOY198" s="234"/>
      <c r="MOZ198" s="234"/>
      <c r="MPA198" s="234"/>
      <c r="MPB198" s="234"/>
      <c r="MPC198" s="234"/>
      <c r="MPD198" s="234"/>
      <c r="MPE198" s="234"/>
      <c r="MPF198" s="234"/>
      <c r="MPG198" s="234"/>
      <c r="MPH198" s="234"/>
      <c r="MPI198" s="234"/>
      <c r="MPJ198" s="234"/>
      <c r="MPK198" s="234"/>
      <c r="MPL198" s="234"/>
      <c r="MPM198" s="234"/>
      <c r="MPN198" s="234"/>
      <c r="MPO198" s="234"/>
      <c r="MPP198" s="234"/>
      <c r="MPQ198" s="234"/>
      <c r="MPR198" s="234"/>
      <c r="MPS198" s="234"/>
      <c r="MPT198" s="234"/>
      <c r="MPU198" s="234"/>
      <c r="MPV198" s="234"/>
      <c r="MPW198" s="234"/>
      <c r="MPX198" s="234"/>
      <c r="MPY198" s="234"/>
      <c r="MPZ198" s="234"/>
      <c r="MQA198" s="234"/>
      <c r="MQB198" s="234"/>
      <c r="MQC198" s="234"/>
      <c r="MQD198" s="234"/>
      <c r="MQE198" s="234"/>
      <c r="MQF198" s="234"/>
      <c r="MQG198" s="234"/>
      <c r="MQH198" s="234"/>
      <c r="MQI198" s="234"/>
      <c r="MQJ198" s="234"/>
      <c r="MQK198" s="234"/>
      <c r="MQL198" s="234"/>
      <c r="MQM198" s="234"/>
      <c r="MQN198" s="234"/>
      <c r="MQO198" s="234"/>
      <c r="MQP198" s="234"/>
      <c r="MQQ198" s="234"/>
      <c r="MQR198" s="234"/>
      <c r="MQS198" s="234"/>
      <c r="MQT198" s="234"/>
      <c r="MQU198" s="234"/>
      <c r="MQV198" s="234"/>
      <c r="MQW198" s="234"/>
      <c r="MQX198" s="234"/>
      <c r="MQY198" s="234"/>
      <c r="MQZ198" s="234"/>
      <c r="MRA198" s="234"/>
      <c r="MRB198" s="234"/>
      <c r="MRC198" s="234"/>
      <c r="MRD198" s="234"/>
      <c r="MRE198" s="234"/>
      <c r="MRF198" s="234"/>
      <c r="MRG198" s="234"/>
      <c r="MRH198" s="234"/>
      <c r="MRI198" s="234"/>
      <c r="MRJ198" s="234"/>
      <c r="MRK198" s="234"/>
      <c r="MRL198" s="234"/>
      <c r="MRM198" s="234"/>
      <c r="MRN198" s="234"/>
      <c r="MRO198" s="234"/>
      <c r="MRP198" s="234"/>
      <c r="MRQ198" s="234"/>
      <c r="MRR198" s="234"/>
      <c r="MRS198" s="234"/>
      <c r="MRT198" s="234"/>
      <c r="MRU198" s="234"/>
      <c r="MRV198" s="234"/>
      <c r="MRW198" s="234"/>
      <c r="MRX198" s="234"/>
      <c r="MRY198" s="234"/>
      <c r="MRZ198" s="234"/>
      <c r="MSA198" s="234"/>
      <c r="MSB198" s="234"/>
      <c r="MSC198" s="234"/>
      <c r="MSD198" s="234"/>
      <c r="MSE198" s="234"/>
      <c r="MSF198" s="234"/>
      <c r="MSG198" s="234"/>
      <c r="MSH198" s="234"/>
      <c r="MSI198" s="234"/>
      <c r="MSJ198" s="234"/>
      <c r="MSK198" s="234"/>
      <c r="MSL198" s="234"/>
      <c r="MSM198" s="234"/>
      <c r="MSN198" s="234"/>
      <c r="MSO198" s="234"/>
      <c r="MSP198" s="234"/>
      <c r="MSQ198" s="234"/>
      <c r="MSR198" s="234"/>
      <c r="MSS198" s="234"/>
      <c r="MST198" s="234"/>
      <c r="MSU198" s="234"/>
      <c r="MSV198" s="234"/>
      <c r="MSW198" s="234"/>
      <c r="MSX198" s="234"/>
      <c r="MSY198" s="234"/>
      <c r="MSZ198" s="234"/>
      <c r="MTA198" s="234"/>
      <c r="MTB198" s="234"/>
      <c r="MTC198" s="234"/>
      <c r="MTD198" s="234"/>
      <c r="MTE198" s="234"/>
      <c r="MTF198" s="234"/>
      <c r="MTG198" s="234"/>
      <c r="MTH198" s="234"/>
      <c r="MTI198" s="234"/>
      <c r="MTJ198" s="234"/>
      <c r="MTK198" s="234"/>
      <c r="MTL198" s="234"/>
      <c r="MTM198" s="234"/>
      <c r="MTN198" s="234"/>
      <c r="MTO198" s="234"/>
      <c r="MTP198" s="234"/>
      <c r="MTQ198" s="234"/>
      <c r="MTR198" s="234"/>
      <c r="MTS198" s="234"/>
      <c r="MTT198" s="234"/>
      <c r="MTU198" s="234"/>
      <c r="MTV198" s="234"/>
      <c r="MTW198" s="234"/>
      <c r="MTX198" s="234"/>
      <c r="MTY198" s="234"/>
      <c r="MTZ198" s="234"/>
      <c r="MUA198" s="234"/>
      <c r="MUB198" s="234"/>
      <c r="MUC198" s="234"/>
      <c r="MUD198" s="234"/>
      <c r="MUE198" s="234"/>
      <c r="MUF198" s="234"/>
      <c r="MUG198" s="234"/>
      <c r="MUH198" s="234"/>
      <c r="MUI198" s="234"/>
      <c r="MUJ198" s="234"/>
      <c r="MUK198" s="234"/>
      <c r="MUL198" s="234"/>
      <c r="MUM198" s="234"/>
      <c r="MUN198" s="234"/>
      <c r="MUO198" s="234"/>
      <c r="MUP198" s="234"/>
      <c r="MUQ198" s="234"/>
      <c r="MUR198" s="234"/>
      <c r="MUS198" s="234"/>
      <c r="MUT198" s="234"/>
      <c r="MUU198" s="234"/>
      <c r="MUV198" s="234"/>
      <c r="MUW198" s="234"/>
      <c r="MUX198" s="234"/>
      <c r="MUY198" s="234"/>
      <c r="MUZ198" s="234"/>
      <c r="MVA198" s="234"/>
      <c r="MVB198" s="234"/>
      <c r="MVC198" s="234"/>
      <c r="MVD198" s="234"/>
      <c r="MVE198" s="234"/>
      <c r="MVF198" s="234"/>
      <c r="MVG198" s="234"/>
      <c r="MVH198" s="234"/>
      <c r="MVI198" s="234"/>
      <c r="MVJ198" s="234"/>
      <c r="MVK198" s="234"/>
      <c r="MVL198" s="234"/>
      <c r="MVM198" s="234"/>
      <c r="MVN198" s="234"/>
      <c r="MVO198" s="234"/>
      <c r="MVP198" s="234"/>
      <c r="MVQ198" s="234"/>
      <c r="MVR198" s="234"/>
      <c r="MVS198" s="234"/>
      <c r="MVT198" s="234"/>
      <c r="MVU198" s="234"/>
      <c r="MVV198" s="234"/>
      <c r="MVW198" s="234"/>
      <c r="MVX198" s="234"/>
      <c r="MVY198" s="234"/>
      <c r="MVZ198" s="234"/>
      <c r="MWA198" s="234"/>
      <c r="MWB198" s="234"/>
      <c r="MWC198" s="234"/>
      <c r="MWD198" s="234"/>
      <c r="MWE198" s="234"/>
      <c r="MWF198" s="234"/>
      <c r="MWG198" s="234"/>
      <c r="MWH198" s="234"/>
      <c r="MWI198" s="234"/>
      <c r="MWJ198" s="234"/>
      <c r="MWK198" s="234"/>
      <c r="MWL198" s="234"/>
      <c r="MWM198" s="234"/>
      <c r="MWN198" s="234"/>
      <c r="MWO198" s="234"/>
      <c r="MWP198" s="234"/>
      <c r="MWQ198" s="234"/>
      <c r="MWR198" s="234"/>
      <c r="MWS198" s="234"/>
      <c r="MWT198" s="234"/>
      <c r="MWU198" s="234"/>
      <c r="MWV198" s="234"/>
      <c r="MWW198" s="234"/>
      <c r="MWX198" s="234"/>
      <c r="MWY198" s="234"/>
      <c r="MWZ198" s="234"/>
      <c r="MXA198" s="234"/>
      <c r="MXB198" s="234"/>
      <c r="MXC198" s="234"/>
      <c r="MXD198" s="234"/>
      <c r="MXE198" s="234"/>
      <c r="MXF198" s="234"/>
      <c r="MXG198" s="234"/>
      <c r="MXH198" s="234"/>
      <c r="MXI198" s="234"/>
      <c r="MXJ198" s="234"/>
      <c r="MXK198" s="234"/>
      <c r="MXL198" s="234"/>
      <c r="MXM198" s="234"/>
      <c r="MXN198" s="234"/>
      <c r="MXO198" s="234"/>
      <c r="MXP198" s="234"/>
      <c r="MXQ198" s="234"/>
      <c r="MXR198" s="234"/>
      <c r="MXS198" s="234"/>
      <c r="MXT198" s="234"/>
      <c r="MXU198" s="234"/>
      <c r="MXV198" s="234"/>
      <c r="MXW198" s="234"/>
      <c r="MXX198" s="234"/>
      <c r="MXY198" s="234"/>
      <c r="MXZ198" s="234"/>
      <c r="MYA198" s="234"/>
      <c r="MYB198" s="234"/>
      <c r="MYC198" s="234"/>
      <c r="MYD198" s="234"/>
      <c r="MYE198" s="234"/>
      <c r="MYF198" s="234"/>
      <c r="MYG198" s="234"/>
      <c r="MYH198" s="234"/>
      <c r="MYI198" s="234"/>
      <c r="MYJ198" s="234"/>
      <c r="MYK198" s="234"/>
      <c r="MYL198" s="234"/>
      <c r="MYM198" s="234"/>
      <c r="MYN198" s="234"/>
      <c r="MYO198" s="234"/>
      <c r="MYP198" s="234"/>
      <c r="MYQ198" s="234"/>
      <c r="MYR198" s="234"/>
      <c r="MYS198" s="234"/>
      <c r="MYT198" s="234"/>
      <c r="MYU198" s="234"/>
      <c r="MYV198" s="234"/>
      <c r="MYW198" s="234"/>
      <c r="MYX198" s="234"/>
      <c r="MYY198" s="234"/>
      <c r="MYZ198" s="234"/>
      <c r="MZA198" s="234"/>
      <c r="MZB198" s="234"/>
      <c r="MZC198" s="234"/>
      <c r="MZD198" s="234"/>
      <c r="MZE198" s="234"/>
      <c r="MZF198" s="234"/>
      <c r="MZG198" s="234"/>
      <c r="MZH198" s="234"/>
      <c r="MZI198" s="234"/>
      <c r="MZJ198" s="234"/>
      <c r="MZK198" s="234"/>
      <c r="MZL198" s="234"/>
      <c r="MZM198" s="234"/>
      <c r="MZN198" s="234"/>
      <c r="MZO198" s="234"/>
      <c r="MZP198" s="234"/>
      <c r="MZQ198" s="234"/>
      <c r="MZR198" s="234"/>
      <c r="MZS198" s="234"/>
      <c r="MZT198" s="234"/>
      <c r="MZU198" s="234"/>
      <c r="MZV198" s="234"/>
      <c r="MZW198" s="234"/>
      <c r="MZX198" s="234"/>
      <c r="MZY198" s="234"/>
      <c r="MZZ198" s="234"/>
      <c r="NAA198" s="234"/>
      <c r="NAB198" s="234"/>
      <c r="NAC198" s="234"/>
      <c r="NAD198" s="234"/>
      <c r="NAE198" s="234"/>
      <c r="NAF198" s="234"/>
      <c r="NAG198" s="234"/>
      <c r="NAH198" s="234"/>
      <c r="NAI198" s="234"/>
      <c r="NAJ198" s="234"/>
      <c r="NAK198" s="234"/>
      <c r="NAL198" s="234"/>
      <c r="NAM198" s="234"/>
      <c r="NAN198" s="234"/>
      <c r="NAO198" s="234"/>
      <c r="NAP198" s="234"/>
      <c r="NAQ198" s="234"/>
      <c r="NAR198" s="234"/>
      <c r="NAS198" s="234"/>
      <c r="NAT198" s="234"/>
      <c r="NAU198" s="234"/>
      <c r="NAV198" s="234"/>
      <c r="NAW198" s="234"/>
      <c r="NAX198" s="234"/>
      <c r="NAY198" s="234"/>
      <c r="NAZ198" s="234"/>
      <c r="NBA198" s="234"/>
      <c r="NBB198" s="234"/>
      <c r="NBC198" s="234"/>
      <c r="NBD198" s="234"/>
      <c r="NBE198" s="234"/>
      <c r="NBF198" s="234"/>
      <c r="NBG198" s="234"/>
      <c r="NBH198" s="234"/>
      <c r="NBI198" s="234"/>
      <c r="NBJ198" s="234"/>
      <c r="NBK198" s="234"/>
      <c r="NBL198" s="234"/>
      <c r="NBM198" s="234"/>
      <c r="NBN198" s="234"/>
      <c r="NBO198" s="234"/>
      <c r="NBP198" s="234"/>
      <c r="NBQ198" s="234"/>
      <c r="NBR198" s="234"/>
      <c r="NBS198" s="234"/>
      <c r="NBT198" s="234"/>
      <c r="NBU198" s="234"/>
      <c r="NBV198" s="234"/>
      <c r="NBW198" s="234"/>
      <c r="NBX198" s="234"/>
      <c r="NBY198" s="234"/>
      <c r="NBZ198" s="234"/>
      <c r="NCA198" s="234"/>
      <c r="NCB198" s="234"/>
      <c r="NCC198" s="234"/>
      <c r="NCD198" s="234"/>
      <c r="NCE198" s="234"/>
      <c r="NCF198" s="234"/>
      <c r="NCG198" s="234"/>
      <c r="NCH198" s="234"/>
      <c r="NCI198" s="234"/>
      <c r="NCJ198" s="234"/>
      <c r="NCK198" s="234"/>
      <c r="NCL198" s="234"/>
      <c r="NCM198" s="234"/>
      <c r="NCN198" s="234"/>
      <c r="NCO198" s="234"/>
      <c r="NCP198" s="234"/>
      <c r="NCQ198" s="234"/>
      <c r="NCR198" s="234"/>
      <c r="NCS198" s="234"/>
      <c r="NCT198" s="234"/>
      <c r="NCU198" s="234"/>
      <c r="NCV198" s="234"/>
      <c r="NCW198" s="234"/>
      <c r="NCX198" s="234"/>
      <c r="NCY198" s="234"/>
      <c r="NCZ198" s="234"/>
      <c r="NDA198" s="234"/>
      <c r="NDB198" s="234"/>
      <c r="NDC198" s="234"/>
      <c r="NDD198" s="234"/>
      <c r="NDE198" s="234"/>
      <c r="NDF198" s="234"/>
      <c r="NDG198" s="234"/>
      <c r="NDH198" s="234"/>
      <c r="NDI198" s="234"/>
      <c r="NDJ198" s="234"/>
      <c r="NDK198" s="234"/>
      <c r="NDL198" s="234"/>
      <c r="NDM198" s="234"/>
      <c r="NDN198" s="234"/>
      <c r="NDO198" s="234"/>
      <c r="NDP198" s="234"/>
      <c r="NDQ198" s="234"/>
      <c r="NDR198" s="234"/>
      <c r="NDS198" s="234"/>
      <c r="NDT198" s="234"/>
      <c r="NDU198" s="234"/>
      <c r="NDV198" s="234"/>
      <c r="NDW198" s="234"/>
      <c r="NDX198" s="234"/>
      <c r="NDY198" s="234"/>
      <c r="NDZ198" s="234"/>
      <c r="NEA198" s="234"/>
      <c r="NEB198" s="234"/>
      <c r="NEC198" s="234"/>
      <c r="NED198" s="234"/>
      <c r="NEE198" s="234"/>
      <c r="NEF198" s="234"/>
      <c r="NEG198" s="234"/>
      <c r="NEH198" s="234"/>
      <c r="NEI198" s="234"/>
      <c r="NEJ198" s="234"/>
      <c r="NEK198" s="234"/>
      <c r="NEL198" s="234"/>
      <c r="NEM198" s="234"/>
      <c r="NEN198" s="234"/>
      <c r="NEO198" s="234"/>
      <c r="NEP198" s="234"/>
      <c r="NEQ198" s="234"/>
      <c r="NER198" s="234"/>
      <c r="NES198" s="234"/>
      <c r="NET198" s="234"/>
      <c r="NEU198" s="234"/>
      <c r="NEV198" s="234"/>
      <c r="NEW198" s="234"/>
      <c r="NEX198" s="234"/>
      <c r="NEY198" s="234"/>
      <c r="NEZ198" s="234"/>
      <c r="NFA198" s="234"/>
      <c r="NFB198" s="234"/>
      <c r="NFC198" s="234"/>
      <c r="NFD198" s="234"/>
      <c r="NFE198" s="234"/>
      <c r="NFF198" s="234"/>
      <c r="NFG198" s="234"/>
      <c r="NFH198" s="234"/>
      <c r="NFI198" s="234"/>
      <c r="NFJ198" s="234"/>
      <c r="NFK198" s="234"/>
      <c r="NFL198" s="234"/>
      <c r="NFM198" s="234"/>
      <c r="NFN198" s="234"/>
      <c r="NFO198" s="234"/>
      <c r="NFP198" s="234"/>
      <c r="NFQ198" s="234"/>
      <c r="NFR198" s="234"/>
      <c r="NFS198" s="234"/>
      <c r="NFT198" s="234"/>
      <c r="NFU198" s="234"/>
      <c r="NFV198" s="234"/>
      <c r="NFW198" s="234"/>
      <c r="NFX198" s="234"/>
      <c r="NFY198" s="234"/>
      <c r="NFZ198" s="234"/>
      <c r="NGA198" s="234"/>
      <c r="NGB198" s="234"/>
      <c r="NGC198" s="234"/>
      <c r="NGD198" s="234"/>
      <c r="NGE198" s="234"/>
      <c r="NGF198" s="234"/>
      <c r="NGG198" s="234"/>
      <c r="NGH198" s="234"/>
      <c r="NGI198" s="234"/>
      <c r="NGJ198" s="234"/>
      <c r="NGK198" s="234"/>
      <c r="NGL198" s="234"/>
      <c r="NGM198" s="234"/>
      <c r="NGN198" s="234"/>
      <c r="NGO198" s="234"/>
      <c r="NGP198" s="234"/>
      <c r="NGQ198" s="234"/>
      <c r="NGR198" s="234"/>
      <c r="NGS198" s="234"/>
      <c r="NGT198" s="234"/>
      <c r="NGU198" s="234"/>
      <c r="NGV198" s="234"/>
      <c r="NGW198" s="234"/>
      <c r="NGX198" s="234"/>
      <c r="NGY198" s="234"/>
      <c r="NGZ198" s="234"/>
      <c r="NHA198" s="234"/>
      <c r="NHB198" s="234"/>
      <c r="NHC198" s="234"/>
      <c r="NHD198" s="234"/>
      <c r="NHE198" s="234"/>
      <c r="NHF198" s="234"/>
      <c r="NHG198" s="234"/>
      <c r="NHH198" s="234"/>
      <c r="NHI198" s="234"/>
      <c r="NHJ198" s="234"/>
      <c r="NHK198" s="234"/>
      <c r="NHL198" s="234"/>
      <c r="NHM198" s="234"/>
      <c r="NHN198" s="234"/>
      <c r="NHO198" s="234"/>
      <c r="NHP198" s="234"/>
      <c r="NHQ198" s="234"/>
      <c r="NHR198" s="234"/>
      <c r="NHS198" s="234"/>
      <c r="NHT198" s="234"/>
      <c r="NHU198" s="234"/>
      <c r="NHV198" s="234"/>
      <c r="NHW198" s="234"/>
      <c r="NHX198" s="234"/>
      <c r="NHY198" s="234"/>
      <c r="NHZ198" s="234"/>
      <c r="NIA198" s="234"/>
      <c r="NIB198" s="234"/>
      <c r="NIC198" s="234"/>
      <c r="NID198" s="234"/>
      <c r="NIE198" s="234"/>
      <c r="NIF198" s="234"/>
      <c r="NIG198" s="234"/>
      <c r="NIH198" s="234"/>
      <c r="NII198" s="234"/>
      <c r="NIJ198" s="234"/>
      <c r="NIK198" s="234"/>
      <c r="NIL198" s="234"/>
      <c r="NIM198" s="234"/>
      <c r="NIN198" s="234"/>
      <c r="NIO198" s="234"/>
      <c r="NIP198" s="234"/>
      <c r="NIQ198" s="234"/>
      <c r="NIR198" s="234"/>
      <c r="NIS198" s="234"/>
      <c r="NIT198" s="234"/>
      <c r="NIU198" s="234"/>
      <c r="NIV198" s="234"/>
      <c r="NIW198" s="234"/>
      <c r="NIX198" s="234"/>
      <c r="NIY198" s="234"/>
      <c r="NIZ198" s="234"/>
      <c r="NJA198" s="234"/>
      <c r="NJB198" s="234"/>
      <c r="NJC198" s="234"/>
      <c r="NJD198" s="234"/>
      <c r="NJE198" s="234"/>
      <c r="NJF198" s="234"/>
      <c r="NJG198" s="234"/>
      <c r="NJH198" s="234"/>
      <c r="NJI198" s="234"/>
      <c r="NJJ198" s="234"/>
      <c r="NJK198" s="234"/>
      <c r="NJL198" s="234"/>
      <c r="NJM198" s="234"/>
      <c r="NJN198" s="234"/>
      <c r="NJO198" s="234"/>
      <c r="NJP198" s="234"/>
      <c r="NJQ198" s="234"/>
      <c r="NJR198" s="234"/>
      <c r="NJS198" s="234"/>
      <c r="NJT198" s="234"/>
      <c r="NJU198" s="234"/>
      <c r="NJV198" s="234"/>
      <c r="NJW198" s="234"/>
      <c r="NJX198" s="234"/>
      <c r="NJY198" s="234"/>
      <c r="NJZ198" s="234"/>
      <c r="NKA198" s="234"/>
      <c r="NKB198" s="234"/>
      <c r="NKC198" s="234"/>
      <c r="NKD198" s="234"/>
      <c r="NKE198" s="234"/>
      <c r="NKF198" s="234"/>
      <c r="NKG198" s="234"/>
      <c r="NKH198" s="234"/>
      <c r="NKI198" s="234"/>
      <c r="NKJ198" s="234"/>
      <c r="NKK198" s="234"/>
      <c r="NKL198" s="234"/>
      <c r="NKM198" s="234"/>
      <c r="NKN198" s="234"/>
      <c r="NKO198" s="234"/>
      <c r="NKP198" s="234"/>
      <c r="NKQ198" s="234"/>
      <c r="NKR198" s="234"/>
      <c r="NKS198" s="234"/>
      <c r="NKT198" s="234"/>
      <c r="NKU198" s="234"/>
      <c r="NKV198" s="234"/>
      <c r="NKW198" s="234"/>
      <c r="NKX198" s="234"/>
      <c r="NKY198" s="234"/>
      <c r="NKZ198" s="234"/>
      <c r="NLA198" s="234"/>
      <c r="NLB198" s="234"/>
      <c r="NLC198" s="234"/>
      <c r="NLD198" s="234"/>
      <c r="NLE198" s="234"/>
      <c r="NLF198" s="234"/>
      <c r="NLG198" s="234"/>
      <c r="NLH198" s="234"/>
      <c r="NLI198" s="234"/>
      <c r="NLJ198" s="234"/>
      <c r="NLK198" s="234"/>
      <c r="NLL198" s="234"/>
      <c r="NLM198" s="234"/>
      <c r="NLN198" s="234"/>
      <c r="NLO198" s="234"/>
      <c r="NLP198" s="234"/>
      <c r="NLQ198" s="234"/>
      <c r="NLR198" s="234"/>
      <c r="NLS198" s="234"/>
      <c r="NLT198" s="234"/>
      <c r="NLU198" s="234"/>
      <c r="NLV198" s="234"/>
      <c r="NLW198" s="234"/>
      <c r="NLX198" s="234"/>
      <c r="NLY198" s="234"/>
      <c r="NLZ198" s="234"/>
      <c r="NMA198" s="234"/>
      <c r="NMB198" s="234"/>
      <c r="NMC198" s="234"/>
      <c r="NMD198" s="234"/>
      <c r="NME198" s="234"/>
      <c r="NMF198" s="234"/>
      <c r="NMG198" s="234"/>
      <c r="NMH198" s="234"/>
      <c r="NMI198" s="234"/>
      <c r="NMJ198" s="234"/>
      <c r="NMK198" s="234"/>
      <c r="NML198" s="234"/>
      <c r="NMM198" s="234"/>
      <c r="NMN198" s="234"/>
      <c r="NMO198" s="234"/>
      <c r="NMP198" s="234"/>
      <c r="NMQ198" s="234"/>
      <c r="NMR198" s="234"/>
      <c r="NMS198" s="234"/>
      <c r="NMT198" s="234"/>
      <c r="NMU198" s="234"/>
      <c r="NMV198" s="234"/>
      <c r="NMW198" s="234"/>
      <c r="NMX198" s="234"/>
      <c r="NMY198" s="234"/>
      <c r="NMZ198" s="234"/>
      <c r="NNA198" s="234"/>
      <c r="NNB198" s="234"/>
      <c r="NNC198" s="234"/>
      <c r="NND198" s="234"/>
      <c r="NNE198" s="234"/>
      <c r="NNF198" s="234"/>
      <c r="NNG198" s="234"/>
      <c r="NNH198" s="234"/>
      <c r="NNI198" s="234"/>
      <c r="NNJ198" s="234"/>
      <c r="NNK198" s="234"/>
      <c r="NNL198" s="234"/>
      <c r="NNM198" s="234"/>
      <c r="NNN198" s="234"/>
      <c r="NNO198" s="234"/>
      <c r="NNP198" s="234"/>
      <c r="NNQ198" s="234"/>
      <c r="NNR198" s="234"/>
      <c r="NNS198" s="234"/>
      <c r="NNT198" s="234"/>
      <c r="NNU198" s="234"/>
      <c r="NNV198" s="234"/>
      <c r="NNW198" s="234"/>
      <c r="NNX198" s="234"/>
      <c r="NNY198" s="234"/>
      <c r="NNZ198" s="234"/>
      <c r="NOA198" s="234"/>
      <c r="NOB198" s="234"/>
      <c r="NOC198" s="234"/>
      <c r="NOD198" s="234"/>
      <c r="NOE198" s="234"/>
      <c r="NOF198" s="234"/>
      <c r="NOG198" s="234"/>
      <c r="NOH198" s="234"/>
      <c r="NOI198" s="234"/>
      <c r="NOJ198" s="234"/>
      <c r="NOK198" s="234"/>
      <c r="NOL198" s="234"/>
      <c r="NOM198" s="234"/>
      <c r="NON198" s="234"/>
      <c r="NOO198" s="234"/>
      <c r="NOP198" s="234"/>
      <c r="NOQ198" s="234"/>
      <c r="NOR198" s="234"/>
      <c r="NOS198" s="234"/>
      <c r="NOT198" s="234"/>
      <c r="NOU198" s="234"/>
      <c r="NOV198" s="234"/>
      <c r="NOW198" s="234"/>
      <c r="NOX198" s="234"/>
      <c r="NOY198" s="234"/>
      <c r="NOZ198" s="234"/>
      <c r="NPA198" s="234"/>
      <c r="NPB198" s="234"/>
      <c r="NPC198" s="234"/>
      <c r="NPD198" s="234"/>
      <c r="NPE198" s="234"/>
      <c r="NPF198" s="234"/>
      <c r="NPG198" s="234"/>
      <c r="NPH198" s="234"/>
      <c r="NPI198" s="234"/>
      <c r="NPJ198" s="234"/>
      <c r="NPK198" s="234"/>
      <c r="NPL198" s="234"/>
      <c r="NPM198" s="234"/>
      <c r="NPN198" s="234"/>
      <c r="NPO198" s="234"/>
      <c r="NPP198" s="234"/>
      <c r="NPQ198" s="234"/>
      <c r="NPR198" s="234"/>
      <c r="NPS198" s="234"/>
      <c r="NPT198" s="234"/>
      <c r="NPU198" s="234"/>
      <c r="NPV198" s="234"/>
      <c r="NPW198" s="234"/>
      <c r="NPX198" s="234"/>
      <c r="NPY198" s="234"/>
      <c r="NPZ198" s="234"/>
      <c r="NQA198" s="234"/>
      <c r="NQB198" s="234"/>
      <c r="NQC198" s="234"/>
      <c r="NQD198" s="234"/>
      <c r="NQE198" s="234"/>
      <c r="NQF198" s="234"/>
      <c r="NQG198" s="234"/>
      <c r="NQH198" s="234"/>
      <c r="NQI198" s="234"/>
      <c r="NQJ198" s="234"/>
      <c r="NQK198" s="234"/>
      <c r="NQL198" s="234"/>
      <c r="NQM198" s="234"/>
      <c r="NQN198" s="234"/>
      <c r="NQO198" s="234"/>
      <c r="NQP198" s="234"/>
      <c r="NQQ198" s="234"/>
      <c r="NQR198" s="234"/>
      <c r="NQS198" s="234"/>
      <c r="NQT198" s="234"/>
      <c r="NQU198" s="234"/>
      <c r="NQV198" s="234"/>
      <c r="NQW198" s="234"/>
      <c r="NQX198" s="234"/>
      <c r="NQY198" s="234"/>
      <c r="NQZ198" s="234"/>
      <c r="NRA198" s="234"/>
      <c r="NRB198" s="234"/>
      <c r="NRC198" s="234"/>
      <c r="NRD198" s="234"/>
      <c r="NRE198" s="234"/>
      <c r="NRF198" s="234"/>
      <c r="NRG198" s="234"/>
      <c r="NRH198" s="234"/>
      <c r="NRI198" s="234"/>
      <c r="NRJ198" s="234"/>
      <c r="NRK198" s="234"/>
      <c r="NRL198" s="234"/>
      <c r="NRM198" s="234"/>
      <c r="NRN198" s="234"/>
      <c r="NRO198" s="234"/>
      <c r="NRP198" s="234"/>
      <c r="NRQ198" s="234"/>
      <c r="NRR198" s="234"/>
      <c r="NRS198" s="234"/>
      <c r="NRT198" s="234"/>
      <c r="NRU198" s="234"/>
      <c r="NRV198" s="234"/>
      <c r="NRW198" s="234"/>
      <c r="NRX198" s="234"/>
      <c r="NRY198" s="234"/>
      <c r="NRZ198" s="234"/>
      <c r="NSA198" s="234"/>
      <c r="NSB198" s="234"/>
      <c r="NSC198" s="234"/>
      <c r="NSD198" s="234"/>
      <c r="NSE198" s="234"/>
      <c r="NSF198" s="234"/>
      <c r="NSG198" s="234"/>
      <c r="NSH198" s="234"/>
      <c r="NSI198" s="234"/>
      <c r="NSJ198" s="234"/>
      <c r="NSK198" s="234"/>
      <c r="NSL198" s="234"/>
      <c r="NSM198" s="234"/>
      <c r="NSN198" s="234"/>
      <c r="NSO198" s="234"/>
      <c r="NSP198" s="234"/>
      <c r="NSQ198" s="234"/>
      <c r="NSR198" s="234"/>
      <c r="NSS198" s="234"/>
      <c r="NST198" s="234"/>
      <c r="NSU198" s="234"/>
      <c r="NSV198" s="234"/>
      <c r="NSW198" s="234"/>
      <c r="NSX198" s="234"/>
      <c r="NSY198" s="234"/>
      <c r="NSZ198" s="234"/>
      <c r="NTA198" s="234"/>
      <c r="NTB198" s="234"/>
      <c r="NTC198" s="234"/>
      <c r="NTD198" s="234"/>
      <c r="NTE198" s="234"/>
      <c r="NTF198" s="234"/>
      <c r="NTG198" s="234"/>
      <c r="NTH198" s="234"/>
      <c r="NTI198" s="234"/>
      <c r="NTJ198" s="234"/>
      <c r="NTK198" s="234"/>
      <c r="NTL198" s="234"/>
      <c r="NTM198" s="234"/>
      <c r="NTN198" s="234"/>
      <c r="NTO198" s="234"/>
      <c r="NTP198" s="234"/>
      <c r="NTQ198" s="234"/>
      <c r="NTR198" s="234"/>
      <c r="NTS198" s="234"/>
      <c r="NTT198" s="234"/>
      <c r="NTU198" s="234"/>
      <c r="NTV198" s="234"/>
      <c r="NTW198" s="234"/>
      <c r="NTX198" s="234"/>
      <c r="NTY198" s="234"/>
      <c r="NTZ198" s="234"/>
      <c r="NUA198" s="234"/>
      <c r="NUB198" s="234"/>
      <c r="NUC198" s="234"/>
      <c r="NUD198" s="234"/>
      <c r="NUE198" s="234"/>
      <c r="NUF198" s="234"/>
      <c r="NUG198" s="234"/>
      <c r="NUH198" s="234"/>
      <c r="NUI198" s="234"/>
      <c r="NUJ198" s="234"/>
      <c r="NUK198" s="234"/>
      <c r="NUL198" s="234"/>
      <c r="NUM198" s="234"/>
      <c r="NUN198" s="234"/>
      <c r="NUO198" s="234"/>
      <c r="NUP198" s="234"/>
      <c r="NUQ198" s="234"/>
      <c r="NUR198" s="234"/>
      <c r="NUS198" s="234"/>
      <c r="NUT198" s="234"/>
      <c r="NUU198" s="234"/>
      <c r="NUV198" s="234"/>
      <c r="NUW198" s="234"/>
      <c r="NUX198" s="234"/>
      <c r="NUY198" s="234"/>
      <c r="NUZ198" s="234"/>
      <c r="NVA198" s="234"/>
      <c r="NVB198" s="234"/>
      <c r="NVC198" s="234"/>
      <c r="NVD198" s="234"/>
      <c r="NVE198" s="234"/>
      <c r="NVF198" s="234"/>
      <c r="NVG198" s="234"/>
      <c r="NVH198" s="234"/>
      <c r="NVI198" s="234"/>
      <c r="NVJ198" s="234"/>
      <c r="NVK198" s="234"/>
      <c r="NVL198" s="234"/>
      <c r="NVM198" s="234"/>
      <c r="NVN198" s="234"/>
      <c r="NVO198" s="234"/>
      <c r="NVP198" s="234"/>
      <c r="NVQ198" s="234"/>
      <c r="NVR198" s="234"/>
      <c r="NVS198" s="234"/>
      <c r="NVT198" s="234"/>
      <c r="NVU198" s="234"/>
      <c r="NVV198" s="234"/>
      <c r="NVW198" s="234"/>
      <c r="NVX198" s="234"/>
      <c r="NVY198" s="234"/>
      <c r="NVZ198" s="234"/>
      <c r="NWA198" s="234"/>
      <c r="NWB198" s="234"/>
      <c r="NWC198" s="234"/>
      <c r="NWD198" s="234"/>
      <c r="NWE198" s="234"/>
      <c r="NWF198" s="234"/>
      <c r="NWG198" s="234"/>
      <c r="NWH198" s="234"/>
      <c r="NWI198" s="234"/>
      <c r="NWJ198" s="234"/>
      <c r="NWK198" s="234"/>
      <c r="NWL198" s="234"/>
      <c r="NWM198" s="234"/>
      <c r="NWN198" s="234"/>
      <c r="NWO198" s="234"/>
      <c r="NWP198" s="234"/>
      <c r="NWQ198" s="234"/>
      <c r="NWR198" s="234"/>
      <c r="NWS198" s="234"/>
      <c r="NWT198" s="234"/>
      <c r="NWU198" s="234"/>
      <c r="NWV198" s="234"/>
      <c r="NWW198" s="234"/>
      <c r="NWX198" s="234"/>
      <c r="NWY198" s="234"/>
      <c r="NWZ198" s="234"/>
      <c r="NXA198" s="234"/>
      <c r="NXB198" s="234"/>
      <c r="NXC198" s="234"/>
      <c r="NXD198" s="234"/>
      <c r="NXE198" s="234"/>
      <c r="NXF198" s="234"/>
      <c r="NXG198" s="234"/>
      <c r="NXH198" s="234"/>
      <c r="NXI198" s="234"/>
      <c r="NXJ198" s="234"/>
      <c r="NXK198" s="234"/>
      <c r="NXL198" s="234"/>
      <c r="NXM198" s="234"/>
      <c r="NXN198" s="234"/>
      <c r="NXO198" s="234"/>
      <c r="NXP198" s="234"/>
      <c r="NXQ198" s="234"/>
      <c r="NXR198" s="234"/>
      <c r="NXS198" s="234"/>
      <c r="NXT198" s="234"/>
      <c r="NXU198" s="234"/>
      <c r="NXV198" s="234"/>
      <c r="NXW198" s="234"/>
      <c r="NXX198" s="234"/>
      <c r="NXY198" s="234"/>
      <c r="NXZ198" s="234"/>
      <c r="NYA198" s="234"/>
      <c r="NYB198" s="234"/>
      <c r="NYC198" s="234"/>
      <c r="NYD198" s="234"/>
      <c r="NYE198" s="234"/>
      <c r="NYF198" s="234"/>
      <c r="NYG198" s="234"/>
      <c r="NYH198" s="234"/>
      <c r="NYI198" s="234"/>
      <c r="NYJ198" s="234"/>
      <c r="NYK198" s="234"/>
      <c r="NYL198" s="234"/>
      <c r="NYM198" s="234"/>
      <c r="NYN198" s="234"/>
      <c r="NYO198" s="234"/>
      <c r="NYP198" s="234"/>
      <c r="NYQ198" s="234"/>
      <c r="NYR198" s="234"/>
      <c r="NYS198" s="234"/>
      <c r="NYT198" s="234"/>
      <c r="NYU198" s="234"/>
      <c r="NYV198" s="234"/>
      <c r="NYW198" s="234"/>
      <c r="NYX198" s="234"/>
      <c r="NYY198" s="234"/>
      <c r="NYZ198" s="234"/>
      <c r="NZA198" s="234"/>
      <c r="NZB198" s="234"/>
      <c r="NZC198" s="234"/>
      <c r="NZD198" s="234"/>
      <c r="NZE198" s="234"/>
      <c r="NZF198" s="234"/>
      <c r="NZG198" s="234"/>
      <c r="NZH198" s="234"/>
      <c r="NZI198" s="234"/>
      <c r="NZJ198" s="234"/>
      <c r="NZK198" s="234"/>
      <c r="NZL198" s="234"/>
      <c r="NZM198" s="234"/>
      <c r="NZN198" s="234"/>
      <c r="NZO198" s="234"/>
      <c r="NZP198" s="234"/>
      <c r="NZQ198" s="234"/>
      <c r="NZR198" s="234"/>
      <c r="NZS198" s="234"/>
      <c r="NZT198" s="234"/>
      <c r="NZU198" s="234"/>
      <c r="NZV198" s="234"/>
      <c r="NZW198" s="234"/>
      <c r="NZX198" s="234"/>
      <c r="NZY198" s="234"/>
      <c r="NZZ198" s="234"/>
      <c r="OAA198" s="234"/>
      <c r="OAB198" s="234"/>
      <c r="OAC198" s="234"/>
      <c r="OAD198" s="234"/>
      <c r="OAE198" s="234"/>
      <c r="OAF198" s="234"/>
      <c r="OAG198" s="234"/>
      <c r="OAH198" s="234"/>
      <c r="OAI198" s="234"/>
      <c r="OAJ198" s="234"/>
      <c r="OAK198" s="234"/>
      <c r="OAL198" s="234"/>
      <c r="OAM198" s="234"/>
      <c r="OAN198" s="234"/>
      <c r="OAO198" s="234"/>
      <c r="OAP198" s="234"/>
      <c r="OAQ198" s="234"/>
      <c r="OAR198" s="234"/>
      <c r="OAS198" s="234"/>
      <c r="OAT198" s="234"/>
      <c r="OAU198" s="234"/>
      <c r="OAV198" s="234"/>
      <c r="OAW198" s="234"/>
      <c r="OAX198" s="234"/>
      <c r="OAY198" s="234"/>
      <c r="OAZ198" s="234"/>
      <c r="OBA198" s="234"/>
      <c r="OBB198" s="234"/>
      <c r="OBC198" s="234"/>
      <c r="OBD198" s="234"/>
      <c r="OBE198" s="234"/>
      <c r="OBF198" s="234"/>
      <c r="OBG198" s="234"/>
      <c r="OBH198" s="234"/>
      <c r="OBI198" s="234"/>
      <c r="OBJ198" s="234"/>
      <c r="OBK198" s="234"/>
      <c r="OBL198" s="234"/>
      <c r="OBM198" s="234"/>
      <c r="OBN198" s="234"/>
      <c r="OBO198" s="234"/>
      <c r="OBP198" s="234"/>
      <c r="OBQ198" s="234"/>
      <c r="OBR198" s="234"/>
      <c r="OBS198" s="234"/>
      <c r="OBT198" s="234"/>
      <c r="OBU198" s="234"/>
      <c r="OBV198" s="234"/>
      <c r="OBW198" s="234"/>
      <c r="OBX198" s="234"/>
      <c r="OBY198" s="234"/>
      <c r="OBZ198" s="234"/>
      <c r="OCA198" s="234"/>
      <c r="OCB198" s="234"/>
      <c r="OCC198" s="234"/>
      <c r="OCD198" s="234"/>
      <c r="OCE198" s="234"/>
      <c r="OCF198" s="234"/>
      <c r="OCG198" s="234"/>
      <c r="OCH198" s="234"/>
      <c r="OCI198" s="234"/>
      <c r="OCJ198" s="234"/>
      <c r="OCK198" s="234"/>
      <c r="OCL198" s="234"/>
      <c r="OCM198" s="234"/>
      <c r="OCN198" s="234"/>
      <c r="OCO198" s="234"/>
      <c r="OCP198" s="234"/>
      <c r="OCQ198" s="234"/>
      <c r="OCR198" s="234"/>
      <c r="OCS198" s="234"/>
      <c r="OCT198" s="234"/>
      <c r="OCU198" s="234"/>
      <c r="OCV198" s="234"/>
      <c r="OCW198" s="234"/>
      <c r="OCX198" s="234"/>
      <c r="OCY198" s="234"/>
      <c r="OCZ198" s="234"/>
      <c r="ODA198" s="234"/>
      <c r="ODB198" s="234"/>
      <c r="ODC198" s="234"/>
      <c r="ODD198" s="234"/>
      <c r="ODE198" s="234"/>
      <c r="ODF198" s="234"/>
      <c r="ODG198" s="234"/>
      <c r="ODH198" s="234"/>
      <c r="ODI198" s="234"/>
      <c r="ODJ198" s="234"/>
      <c r="ODK198" s="234"/>
      <c r="ODL198" s="234"/>
      <c r="ODM198" s="234"/>
      <c r="ODN198" s="234"/>
      <c r="ODO198" s="234"/>
      <c r="ODP198" s="234"/>
      <c r="ODQ198" s="234"/>
      <c r="ODR198" s="234"/>
      <c r="ODS198" s="234"/>
      <c r="ODT198" s="234"/>
      <c r="ODU198" s="234"/>
      <c r="ODV198" s="234"/>
      <c r="ODW198" s="234"/>
      <c r="ODX198" s="234"/>
      <c r="ODY198" s="234"/>
      <c r="ODZ198" s="234"/>
      <c r="OEA198" s="234"/>
      <c r="OEB198" s="234"/>
      <c r="OEC198" s="234"/>
      <c r="OED198" s="234"/>
      <c r="OEE198" s="234"/>
      <c r="OEF198" s="234"/>
      <c r="OEG198" s="234"/>
      <c r="OEH198" s="234"/>
      <c r="OEI198" s="234"/>
      <c r="OEJ198" s="234"/>
      <c r="OEK198" s="234"/>
      <c r="OEL198" s="234"/>
      <c r="OEM198" s="234"/>
      <c r="OEN198" s="234"/>
      <c r="OEO198" s="234"/>
      <c r="OEP198" s="234"/>
      <c r="OEQ198" s="234"/>
      <c r="OER198" s="234"/>
      <c r="OES198" s="234"/>
      <c r="OET198" s="234"/>
      <c r="OEU198" s="234"/>
      <c r="OEV198" s="234"/>
      <c r="OEW198" s="234"/>
      <c r="OEX198" s="234"/>
      <c r="OEY198" s="234"/>
      <c r="OEZ198" s="234"/>
      <c r="OFA198" s="234"/>
      <c r="OFB198" s="234"/>
      <c r="OFC198" s="234"/>
      <c r="OFD198" s="234"/>
      <c r="OFE198" s="234"/>
      <c r="OFF198" s="234"/>
      <c r="OFG198" s="234"/>
      <c r="OFH198" s="234"/>
      <c r="OFI198" s="234"/>
      <c r="OFJ198" s="234"/>
      <c r="OFK198" s="234"/>
      <c r="OFL198" s="234"/>
      <c r="OFM198" s="234"/>
      <c r="OFN198" s="234"/>
      <c r="OFO198" s="234"/>
      <c r="OFP198" s="234"/>
      <c r="OFQ198" s="234"/>
      <c r="OFR198" s="234"/>
      <c r="OFS198" s="234"/>
      <c r="OFT198" s="234"/>
      <c r="OFU198" s="234"/>
      <c r="OFV198" s="234"/>
      <c r="OFW198" s="234"/>
      <c r="OFX198" s="234"/>
      <c r="OFY198" s="234"/>
      <c r="OFZ198" s="234"/>
      <c r="OGA198" s="234"/>
      <c r="OGB198" s="234"/>
      <c r="OGC198" s="234"/>
      <c r="OGD198" s="234"/>
      <c r="OGE198" s="234"/>
      <c r="OGF198" s="234"/>
      <c r="OGG198" s="234"/>
      <c r="OGH198" s="234"/>
      <c r="OGI198" s="234"/>
      <c r="OGJ198" s="234"/>
      <c r="OGK198" s="234"/>
      <c r="OGL198" s="234"/>
      <c r="OGM198" s="234"/>
      <c r="OGN198" s="234"/>
      <c r="OGO198" s="234"/>
      <c r="OGP198" s="234"/>
      <c r="OGQ198" s="234"/>
      <c r="OGR198" s="234"/>
      <c r="OGS198" s="234"/>
      <c r="OGT198" s="234"/>
      <c r="OGU198" s="234"/>
      <c r="OGV198" s="234"/>
      <c r="OGW198" s="234"/>
      <c r="OGX198" s="234"/>
      <c r="OGY198" s="234"/>
      <c r="OGZ198" s="234"/>
      <c r="OHA198" s="234"/>
      <c r="OHB198" s="234"/>
      <c r="OHC198" s="234"/>
      <c r="OHD198" s="234"/>
      <c r="OHE198" s="234"/>
      <c r="OHF198" s="234"/>
      <c r="OHG198" s="234"/>
      <c r="OHH198" s="234"/>
      <c r="OHI198" s="234"/>
      <c r="OHJ198" s="234"/>
      <c r="OHK198" s="234"/>
      <c r="OHL198" s="234"/>
      <c r="OHM198" s="234"/>
      <c r="OHN198" s="234"/>
      <c r="OHO198" s="234"/>
      <c r="OHP198" s="234"/>
      <c r="OHQ198" s="234"/>
      <c r="OHR198" s="234"/>
      <c r="OHS198" s="234"/>
      <c r="OHT198" s="234"/>
      <c r="OHU198" s="234"/>
      <c r="OHV198" s="234"/>
      <c r="OHW198" s="234"/>
      <c r="OHX198" s="234"/>
      <c r="OHY198" s="234"/>
      <c r="OHZ198" s="234"/>
      <c r="OIA198" s="234"/>
      <c r="OIB198" s="234"/>
      <c r="OIC198" s="234"/>
      <c r="OID198" s="234"/>
      <c r="OIE198" s="234"/>
      <c r="OIF198" s="234"/>
      <c r="OIG198" s="234"/>
      <c r="OIH198" s="234"/>
      <c r="OII198" s="234"/>
      <c r="OIJ198" s="234"/>
      <c r="OIK198" s="234"/>
      <c r="OIL198" s="234"/>
      <c r="OIM198" s="234"/>
      <c r="OIN198" s="234"/>
      <c r="OIO198" s="234"/>
      <c r="OIP198" s="234"/>
      <c r="OIQ198" s="234"/>
      <c r="OIR198" s="234"/>
      <c r="OIS198" s="234"/>
      <c r="OIT198" s="234"/>
      <c r="OIU198" s="234"/>
      <c r="OIV198" s="234"/>
      <c r="OIW198" s="234"/>
      <c r="OIX198" s="234"/>
      <c r="OIY198" s="234"/>
      <c r="OIZ198" s="234"/>
      <c r="OJA198" s="234"/>
      <c r="OJB198" s="234"/>
      <c r="OJC198" s="234"/>
      <c r="OJD198" s="234"/>
      <c r="OJE198" s="234"/>
      <c r="OJF198" s="234"/>
      <c r="OJG198" s="234"/>
      <c r="OJH198" s="234"/>
      <c r="OJI198" s="234"/>
      <c r="OJJ198" s="234"/>
      <c r="OJK198" s="234"/>
      <c r="OJL198" s="234"/>
      <c r="OJM198" s="234"/>
      <c r="OJN198" s="234"/>
      <c r="OJO198" s="234"/>
      <c r="OJP198" s="234"/>
      <c r="OJQ198" s="234"/>
      <c r="OJR198" s="234"/>
      <c r="OJS198" s="234"/>
      <c r="OJT198" s="234"/>
      <c r="OJU198" s="234"/>
      <c r="OJV198" s="234"/>
      <c r="OJW198" s="234"/>
      <c r="OJX198" s="234"/>
      <c r="OJY198" s="234"/>
      <c r="OJZ198" s="234"/>
      <c r="OKA198" s="234"/>
      <c r="OKB198" s="234"/>
      <c r="OKC198" s="234"/>
      <c r="OKD198" s="234"/>
      <c r="OKE198" s="234"/>
      <c r="OKF198" s="234"/>
      <c r="OKG198" s="234"/>
      <c r="OKH198" s="234"/>
      <c r="OKI198" s="234"/>
      <c r="OKJ198" s="234"/>
      <c r="OKK198" s="234"/>
      <c r="OKL198" s="234"/>
      <c r="OKM198" s="234"/>
      <c r="OKN198" s="234"/>
      <c r="OKO198" s="234"/>
      <c r="OKP198" s="234"/>
      <c r="OKQ198" s="234"/>
      <c r="OKR198" s="234"/>
      <c r="OKS198" s="234"/>
      <c r="OKT198" s="234"/>
      <c r="OKU198" s="234"/>
      <c r="OKV198" s="234"/>
      <c r="OKW198" s="234"/>
      <c r="OKX198" s="234"/>
      <c r="OKY198" s="234"/>
      <c r="OKZ198" s="234"/>
      <c r="OLA198" s="234"/>
      <c r="OLB198" s="234"/>
      <c r="OLC198" s="234"/>
      <c r="OLD198" s="234"/>
      <c r="OLE198" s="234"/>
      <c r="OLF198" s="234"/>
      <c r="OLG198" s="234"/>
      <c r="OLH198" s="234"/>
      <c r="OLI198" s="234"/>
      <c r="OLJ198" s="234"/>
      <c r="OLK198" s="234"/>
      <c r="OLL198" s="234"/>
      <c r="OLM198" s="234"/>
      <c r="OLN198" s="234"/>
      <c r="OLO198" s="234"/>
      <c r="OLP198" s="234"/>
      <c r="OLQ198" s="234"/>
      <c r="OLR198" s="234"/>
      <c r="OLS198" s="234"/>
      <c r="OLT198" s="234"/>
      <c r="OLU198" s="234"/>
      <c r="OLV198" s="234"/>
      <c r="OLW198" s="234"/>
      <c r="OLX198" s="234"/>
      <c r="OLY198" s="234"/>
      <c r="OLZ198" s="234"/>
      <c r="OMA198" s="234"/>
      <c r="OMB198" s="234"/>
      <c r="OMC198" s="234"/>
      <c r="OMD198" s="234"/>
      <c r="OME198" s="234"/>
      <c r="OMF198" s="234"/>
      <c r="OMG198" s="234"/>
      <c r="OMH198" s="234"/>
      <c r="OMI198" s="234"/>
      <c r="OMJ198" s="234"/>
      <c r="OMK198" s="234"/>
      <c r="OML198" s="234"/>
      <c r="OMM198" s="234"/>
      <c r="OMN198" s="234"/>
      <c r="OMO198" s="234"/>
      <c r="OMP198" s="234"/>
      <c r="OMQ198" s="234"/>
      <c r="OMR198" s="234"/>
      <c r="OMS198" s="234"/>
      <c r="OMT198" s="234"/>
      <c r="OMU198" s="234"/>
      <c r="OMV198" s="234"/>
      <c r="OMW198" s="234"/>
      <c r="OMX198" s="234"/>
      <c r="OMY198" s="234"/>
      <c r="OMZ198" s="234"/>
      <c r="ONA198" s="234"/>
      <c r="ONB198" s="234"/>
      <c r="ONC198" s="234"/>
      <c r="OND198" s="234"/>
      <c r="ONE198" s="234"/>
      <c r="ONF198" s="234"/>
      <c r="ONG198" s="234"/>
      <c r="ONH198" s="234"/>
      <c r="ONI198" s="234"/>
      <c r="ONJ198" s="234"/>
      <c r="ONK198" s="234"/>
      <c r="ONL198" s="234"/>
      <c r="ONM198" s="234"/>
      <c r="ONN198" s="234"/>
      <c r="ONO198" s="234"/>
      <c r="ONP198" s="234"/>
      <c r="ONQ198" s="234"/>
      <c r="ONR198" s="234"/>
      <c r="ONS198" s="234"/>
      <c r="ONT198" s="234"/>
      <c r="ONU198" s="234"/>
      <c r="ONV198" s="234"/>
      <c r="ONW198" s="234"/>
      <c r="ONX198" s="234"/>
      <c r="ONY198" s="234"/>
      <c r="ONZ198" s="234"/>
      <c r="OOA198" s="234"/>
      <c r="OOB198" s="234"/>
      <c r="OOC198" s="234"/>
      <c r="OOD198" s="234"/>
      <c r="OOE198" s="234"/>
      <c r="OOF198" s="234"/>
      <c r="OOG198" s="234"/>
      <c r="OOH198" s="234"/>
      <c r="OOI198" s="234"/>
      <c r="OOJ198" s="234"/>
      <c r="OOK198" s="234"/>
      <c r="OOL198" s="234"/>
      <c r="OOM198" s="234"/>
      <c r="OON198" s="234"/>
      <c r="OOO198" s="234"/>
      <c r="OOP198" s="234"/>
      <c r="OOQ198" s="234"/>
      <c r="OOR198" s="234"/>
      <c r="OOS198" s="234"/>
      <c r="OOT198" s="234"/>
      <c r="OOU198" s="234"/>
      <c r="OOV198" s="234"/>
      <c r="OOW198" s="234"/>
      <c r="OOX198" s="234"/>
      <c r="OOY198" s="234"/>
      <c r="OOZ198" s="234"/>
      <c r="OPA198" s="234"/>
      <c r="OPB198" s="234"/>
      <c r="OPC198" s="234"/>
      <c r="OPD198" s="234"/>
      <c r="OPE198" s="234"/>
      <c r="OPF198" s="234"/>
      <c r="OPG198" s="234"/>
      <c r="OPH198" s="234"/>
      <c r="OPI198" s="234"/>
      <c r="OPJ198" s="234"/>
      <c r="OPK198" s="234"/>
      <c r="OPL198" s="234"/>
      <c r="OPM198" s="234"/>
      <c r="OPN198" s="234"/>
      <c r="OPO198" s="234"/>
      <c r="OPP198" s="234"/>
      <c r="OPQ198" s="234"/>
      <c r="OPR198" s="234"/>
      <c r="OPS198" s="234"/>
      <c r="OPT198" s="234"/>
      <c r="OPU198" s="234"/>
      <c r="OPV198" s="234"/>
      <c r="OPW198" s="234"/>
      <c r="OPX198" s="234"/>
      <c r="OPY198" s="234"/>
      <c r="OPZ198" s="234"/>
      <c r="OQA198" s="234"/>
      <c r="OQB198" s="234"/>
      <c r="OQC198" s="234"/>
      <c r="OQD198" s="234"/>
      <c r="OQE198" s="234"/>
      <c r="OQF198" s="234"/>
      <c r="OQG198" s="234"/>
      <c r="OQH198" s="234"/>
      <c r="OQI198" s="234"/>
      <c r="OQJ198" s="234"/>
      <c r="OQK198" s="234"/>
      <c r="OQL198" s="234"/>
      <c r="OQM198" s="234"/>
      <c r="OQN198" s="234"/>
      <c r="OQO198" s="234"/>
      <c r="OQP198" s="234"/>
      <c r="OQQ198" s="234"/>
      <c r="OQR198" s="234"/>
      <c r="OQS198" s="234"/>
      <c r="OQT198" s="234"/>
      <c r="OQU198" s="234"/>
      <c r="OQV198" s="234"/>
      <c r="OQW198" s="234"/>
      <c r="OQX198" s="234"/>
      <c r="OQY198" s="234"/>
      <c r="OQZ198" s="234"/>
      <c r="ORA198" s="234"/>
      <c r="ORB198" s="234"/>
      <c r="ORC198" s="234"/>
      <c r="ORD198" s="234"/>
      <c r="ORE198" s="234"/>
      <c r="ORF198" s="234"/>
      <c r="ORG198" s="234"/>
      <c r="ORH198" s="234"/>
      <c r="ORI198" s="234"/>
      <c r="ORJ198" s="234"/>
      <c r="ORK198" s="234"/>
      <c r="ORL198" s="234"/>
      <c r="ORM198" s="234"/>
      <c r="ORN198" s="234"/>
      <c r="ORO198" s="234"/>
      <c r="ORP198" s="234"/>
      <c r="ORQ198" s="234"/>
      <c r="ORR198" s="234"/>
      <c r="ORS198" s="234"/>
      <c r="ORT198" s="234"/>
      <c r="ORU198" s="234"/>
      <c r="ORV198" s="234"/>
      <c r="ORW198" s="234"/>
      <c r="ORX198" s="234"/>
      <c r="ORY198" s="234"/>
      <c r="ORZ198" s="234"/>
      <c r="OSA198" s="234"/>
      <c r="OSB198" s="234"/>
      <c r="OSC198" s="234"/>
      <c r="OSD198" s="234"/>
      <c r="OSE198" s="234"/>
      <c r="OSF198" s="234"/>
      <c r="OSG198" s="234"/>
      <c r="OSH198" s="234"/>
      <c r="OSI198" s="234"/>
      <c r="OSJ198" s="234"/>
      <c r="OSK198" s="234"/>
      <c r="OSL198" s="234"/>
      <c r="OSM198" s="234"/>
      <c r="OSN198" s="234"/>
      <c r="OSO198" s="234"/>
      <c r="OSP198" s="234"/>
      <c r="OSQ198" s="234"/>
      <c r="OSR198" s="234"/>
      <c r="OSS198" s="234"/>
      <c r="OST198" s="234"/>
      <c r="OSU198" s="234"/>
      <c r="OSV198" s="234"/>
      <c r="OSW198" s="234"/>
      <c r="OSX198" s="234"/>
      <c r="OSY198" s="234"/>
      <c r="OSZ198" s="234"/>
      <c r="OTA198" s="234"/>
      <c r="OTB198" s="234"/>
      <c r="OTC198" s="234"/>
      <c r="OTD198" s="234"/>
      <c r="OTE198" s="234"/>
      <c r="OTF198" s="234"/>
      <c r="OTG198" s="234"/>
      <c r="OTH198" s="234"/>
      <c r="OTI198" s="234"/>
      <c r="OTJ198" s="234"/>
      <c r="OTK198" s="234"/>
      <c r="OTL198" s="234"/>
      <c r="OTM198" s="234"/>
      <c r="OTN198" s="234"/>
      <c r="OTO198" s="234"/>
      <c r="OTP198" s="234"/>
      <c r="OTQ198" s="234"/>
      <c r="OTR198" s="234"/>
      <c r="OTS198" s="234"/>
      <c r="OTT198" s="234"/>
      <c r="OTU198" s="234"/>
      <c r="OTV198" s="234"/>
      <c r="OTW198" s="234"/>
      <c r="OTX198" s="234"/>
      <c r="OTY198" s="234"/>
      <c r="OTZ198" s="234"/>
      <c r="OUA198" s="234"/>
      <c r="OUB198" s="234"/>
      <c r="OUC198" s="234"/>
      <c r="OUD198" s="234"/>
      <c r="OUE198" s="234"/>
      <c r="OUF198" s="234"/>
      <c r="OUG198" s="234"/>
      <c r="OUH198" s="234"/>
      <c r="OUI198" s="234"/>
      <c r="OUJ198" s="234"/>
      <c r="OUK198" s="234"/>
      <c r="OUL198" s="234"/>
      <c r="OUM198" s="234"/>
      <c r="OUN198" s="234"/>
      <c r="OUO198" s="234"/>
      <c r="OUP198" s="234"/>
      <c r="OUQ198" s="234"/>
      <c r="OUR198" s="234"/>
      <c r="OUS198" s="234"/>
      <c r="OUT198" s="234"/>
      <c r="OUU198" s="234"/>
      <c r="OUV198" s="234"/>
      <c r="OUW198" s="234"/>
      <c r="OUX198" s="234"/>
      <c r="OUY198" s="234"/>
      <c r="OUZ198" s="234"/>
      <c r="OVA198" s="234"/>
      <c r="OVB198" s="234"/>
      <c r="OVC198" s="234"/>
      <c r="OVD198" s="234"/>
      <c r="OVE198" s="234"/>
      <c r="OVF198" s="234"/>
      <c r="OVG198" s="234"/>
      <c r="OVH198" s="234"/>
      <c r="OVI198" s="234"/>
      <c r="OVJ198" s="234"/>
      <c r="OVK198" s="234"/>
      <c r="OVL198" s="234"/>
      <c r="OVM198" s="234"/>
      <c r="OVN198" s="234"/>
      <c r="OVO198" s="234"/>
      <c r="OVP198" s="234"/>
      <c r="OVQ198" s="234"/>
      <c r="OVR198" s="234"/>
      <c r="OVS198" s="234"/>
      <c r="OVT198" s="234"/>
      <c r="OVU198" s="234"/>
      <c r="OVV198" s="234"/>
      <c r="OVW198" s="234"/>
      <c r="OVX198" s="234"/>
      <c r="OVY198" s="234"/>
      <c r="OVZ198" s="234"/>
      <c r="OWA198" s="234"/>
      <c r="OWB198" s="234"/>
      <c r="OWC198" s="234"/>
      <c r="OWD198" s="234"/>
      <c r="OWE198" s="234"/>
      <c r="OWF198" s="234"/>
      <c r="OWG198" s="234"/>
      <c r="OWH198" s="234"/>
      <c r="OWI198" s="234"/>
      <c r="OWJ198" s="234"/>
      <c r="OWK198" s="234"/>
      <c r="OWL198" s="234"/>
      <c r="OWM198" s="234"/>
      <c r="OWN198" s="234"/>
      <c r="OWO198" s="234"/>
      <c r="OWP198" s="234"/>
      <c r="OWQ198" s="234"/>
      <c r="OWR198" s="234"/>
      <c r="OWS198" s="234"/>
      <c r="OWT198" s="234"/>
      <c r="OWU198" s="234"/>
      <c r="OWV198" s="234"/>
      <c r="OWW198" s="234"/>
      <c r="OWX198" s="234"/>
      <c r="OWY198" s="234"/>
      <c r="OWZ198" s="234"/>
      <c r="OXA198" s="234"/>
      <c r="OXB198" s="234"/>
      <c r="OXC198" s="234"/>
      <c r="OXD198" s="234"/>
      <c r="OXE198" s="234"/>
      <c r="OXF198" s="234"/>
      <c r="OXG198" s="234"/>
      <c r="OXH198" s="234"/>
      <c r="OXI198" s="234"/>
      <c r="OXJ198" s="234"/>
      <c r="OXK198" s="234"/>
      <c r="OXL198" s="234"/>
      <c r="OXM198" s="234"/>
      <c r="OXN198" s="234"/>
      <c r="OXO198" s="234"/>
      <c r="OXP198" s="234"/>
      <c r="OXQ198" s="234"/>
      <c r="OXR198" s="234"/>
      <c r="OXS198" s="234"/>
      <c r="OXT198" s="234"/>
      <c r="OXU198" s="234"/>
      <c r="OXV198" s="234"/>
      <c r="OXW198" s="234"/>
      <c r="OXX198" s="234"/>
      <c r="OXY198" s="234"/>
      <c r="OXZ198" s="234"/>
      <c r="OYA198" s="234"/>
      <c r="OYB198" s="234"/>
      <c r="OYC198" s="234"/>
      <c r="OYD198" s="234"/>
      <c r="OYE198" s="234"/>
      <c r="OYF198" s="234"/>
      <c r="OYG198" s="234"/>
      <c r="OYH198" s="234"/>
      <c r="OYI198" s="234"/>
      <c r="OYJ198" s="234"/>
      <c r="OYK198" s="234"/>
      <c r="OYL198" s="234"/>
      <c r="OYM198" s="234"/>
      <c r="OYN198" s="234"/>
      <c r="OYO198" s="234"/>
      <c r="OYP198" s="234"/>
      <c r="OYQ198" s="234"/>
      <c r="OYR198" s="234"/>
      <c r="OYS198" s="234"/>
      <c r="OYT198" s="234"/>
      <c r="OYU198" s="234"/>
      <c r="OYV198" s="234"/>
      <c r="OYW198" s="234"/>
      <c r="OYX198" s="234"/>
      <c r="OYY198" s="234"/>
      <c r="OYZ198" s="234"/>
      <c r="OZA198" s="234"/>
      <c r="OZB198" s="234"/>
      <c r="OZC198" s="234"/>
      <c r="OZD198" s="234"/>
      <c r="OZE198" s="234"/>
      <c r="OZF198" s="234"/>
      <c r="OZG198" s="234"/>
      <c r="OZH198" s="234"/>
      <c r="OZI198" s="234"/>
      <c r="OZJ198" s="234"/>
      <c r="OZK198" s="234"/>
      <c r="OZL198" s="234"/>
      <c r="OZM198" s="234"/>
      <c r="OZN198" s="234"/>
      <c r="OZO198" s="234"/>
      <c r="OZP198" s="234"/>
      <c r="OZQ198" s="234"/>
      <c r="OZR198" s="234"/>
      <c r="OZS198" s="234"/>
      <c r="OZT198" s="234"/>
      <c r="OZU198" s="234"/>
      <c r="OZV198" s="234"/>
      <c r="OZW198" s="234"/>
      <c r="OZX198" s="234"/>
      <c r="OZY198" s="234"/>
      <c r="OZZ198" s="234"/>
      <c r="PAA198" s="234"/>
      <c r="PAB198" s="234"/>
      <c r="PAC198" s="234"/>
      <c r="PAD198" s="234"/>
      <c r="PAE198" s="234"/>
      <c r="PAF198" s="234"/>
      <c r="PAG198" s="234"/>
      <c r="PAH198" s="234"/>
      <c r="PAI198" s="234"/>
      <c r="PAJ198" s="234"/>
      <c r="PAK198" s="234"/>
      <c r="PAL198" s="234"/>
      <c r="PAM198" s="234"/>
      <c r="PAN198" s="234"/>
      <c r="PAO198" s="234"/>
      <c r="PAP198" s="234"/>
      <c r="PAQ198" s="234"/>
      <c r="PAR198" s="234"/>
      <c r="PAS198" s="234"/>
      <c r="PAT198" s="234"/>
      <c r="PAU198" s="234"/>
      <c r="PAV198" s="234"/>
      <c r="PAW198" s="234"/>
      <c r="PAX198" s="234"/>
      <c r="PAY198" s="234"/>
      <c r="PAZ198" s="234"/>
      <c r="PBA198" s="234"/>
      <c r="PBB198" s="234"/>
      <c r="PBC198" s="234"/>
      <c r="PBD198" s="234"/>
      <c r="PBE198" s="234"/>
      <c r="PBF198" s="234"/>
      <c r="PBG198" s="234"/>
      <c r="PBH198" s="234"/>
      <c r="PBI198" s="234"/>
      <c r="PBJ198" s="234"/>
      <c r="PBK198" s="234"/>
      <c r="PBL198" s="234"/>
      <c r="PBM198" s="234"/>
      <c r="PBN198" s="234"/>
      <c r="PBO198" s="234"/>
      <c r="PBP198" s="234"/>
      <c r="PBQ198" s="234"/>
      <c r="PBR198" s="234"/>
      <c r="PBS198" s="234"/>
      <c r="PBT198" s="234"/>
      <c r="PBU198" s="234"/>
      <c r="PBV198" s="234"/>
      <c r="PBW198" s="234"/>
      <c r="PBX198" s="234"/>
      <c r="PBY198" s="234"/>
      <c r="PBZ198" s="234"/>
      <c r="PCA198" s="234"/>
      <c r="PCB198" s="234"/>
      <c r="PCC198" s="234"/>
      <c r="PCD198" s="234"/>
      <c r="PCE198" s="234"/>
      <c r="PCF198" s="234"/>
      <c r="PCG198" s="234"/>
      <c r="PCH198" s="234"/>
      <c r="PCI198" s="234"/>
      <c r="PCJ198" s="234"/>
      <c r="PCK198" s="234"/>
      <c r="PCL198" s="234"/>
      <c r="PCM198" s="234"/>
      <c r="PCN198" s="234"/>
      <c r="PCO198" s="234"/>
      <c r="PCP198" s="234"/>
      <c r="PCQ198" s="234"/>
      <c r="PCR198" s="234"/>
      <c r="PCS198" s="234"/>
      <c r="PCT198" s="234"/>
      <c r="PCU198" s="234"/>
      <c r="PCV198" s="234"/>
      <c r="PCW198" s="234"/>
      <c r="PCX198" s="234"/>
      <c r="PCY198" s="234"/>
      <c r="PCZ198" s="234"/>
      <c r="PDA198" s="234"/>
      <c r="PDB198" s="234"/>
      <c r="PDC198" s="234"/>
      <c r="PDD198" s="234"/>
      <c r="PDE198" s="234"/>
      <c r="PDF198" s="234"/>
      <c r="PDG198" s="234"/>
      <c r="PDH198" s="234"/>
      <c r="PDI198" s="234"/>
      <c r="PDJ198" s="234"/>
      <c r="PDK198" s="234"/>
      <c r="PDL198" s="234"/>
      <c r="PDM198" s="234"/>
      <c r="PDN198" s="234"/>
      <c r="PDO198" s="234"/>
      <c r="PDP198" s="234"/>
      <c r="PDQ198" s="234"/>
      <c r="PDR198" s="234"/>
      <c r="PDS198" s="234"/>
      <c r="PDT198" s="234"/>
      <c r="PDU198" s="234"/>
      <c r="PDV198" s="234"/>
      <c r="PDW198" s="234"/>
      <c r="PDX198" s="234"/>
      <c r="PDY198" s="234"/>
      <c r="PDZ198" s="234"/>
      <c r="PEA198" s="234"/>
      <c r="PEB198" s="234"/>
      <c r="PEC198" s="234"/>
      <c r="PED198" s="234"/>
      <c r="PEE198" s="234"/>
      <c r="PEF198" s="234"/>
      <c r="PEG198" s="234"/>
      <c r="PEH198" s="234"/>
      <c r="PEI198" s="234"/>
      <c r="PEJ198" s="234"/>
      <c r="PEK198" s="234"/>
      <c r="PEL198" s="234"/>
      <c r="PEM198" s="234"/>
      <c r="PEN198" s="234"/>
      <c r="PEO198" s="234"/>
      <c r="PEP198" s="234"/>
      <c r="PEQ198" s="234"/>
      <c r="PER198" s="234"/>
      <c r="PES198" s="234"/>
      <c r="PET198" s="234"/>
      <c r="PEU198" s="234"/>
      <c r="PEV198" s="234"/>
      <c r="PEW198" s="234"/>
      <c r="PEX198" s="234"/>
      <c r="PEY198" s="234"/>
      <c r="PEZ198" s="234"/>
      <c r="PFA198" s="234"/>
      <c r="PFB198" s="234"/>
      <c r="PFC198" s="234"/>
      <c r="PFD198" s="234"/>
      <c r="PFE198" s="234"/>
      <c r="PFF198" s="234"/>
      <c r="PFG198" s="234"/>
      <c r="PFH198" s="234"/>
      <c r="PFI198" s="234"/>
      <c r="PFJ198" s="234"/>
      <c r="PFK198" s="234"/>
      <c r="PFL198" s="234"/>
      <c r="PFM198" s="234"/>
      <c r="PFN198" s="234"/>
      <c r="PFO198" s="234"/>
      <c r="PFP198" s="234"/>
      <c r="PFQ198" s="234"/>
      <c r="PFR198" s="234"/>
      <c r="PFS198" s="234"/>
      <c r="PFT198" s="234"/>
      <c r="PFU198" s="234"/>
      <c r="PFV198" s="234"/>
      <c r="PFW198" s="234"/>
      <c r="PFX198" s="234"/>
      <c r="PFY198" s="234"/>
      <c r="PFZ198" s="234"/>
      <c r="PGA198" s="234"/>
      <c r="PGB198" s="234"/>
      <c r="PGC198" s="234"/>
      <c r="PGD198" s="234"/>
      <c r="PGE198" s="234"/>
      <c r="PGF198" s="234"/>
      <c r="PGG198" s="234"/>
      <c r="PGH198" s="234"/>
      <c r="PGI198" s="234"/>
      <c r="PGJ198" s="234"/>
      <c r="PGK198" s="234"/>
      <c r="PGL198" s="234"/>
      <c r="PGM198" s="234"/>
      <c r="PGN198" s="234"/>
      <c r="PGO198" s="234"/>
      <c r="PGP198" s="234"/>
      <c r="PGQ198" s="234"/>
      <c r="PGR198" s="234"/>
      <c r="PGS198" s="234"/>
      <c r="PGT198" s="234"/>
      <c r="PGU198" s="234"/>
      <c r="PGV198" s="234"/>
      <c r="PGW198" s="234"/>
      <c r="PGX198" s="234"/>
      <c r="PGY198" s="234"/>
      <c r="PGZ198" s="234"/>
      <c r="PHA198" s="234"/>
      <c r="PHB198" s="234"/>
      <c r="PHC198" s="234"/>
      <c r="PHD198" s="234"/>
      <c r="PHE198" s="234"/>
      <c r="PHF198" s="234"/>
      <c r="PHG198" s="234"/>
      <c r="PHH198" s="234"/>
      <c r="PHI198" s="234"/>
      <c r="PHJ198" s="234"/>
      <c r="PHK198" s="234"/>
      <c r="PHL198" s="234"/>
      <c r="PHM198" s="234"/>
      <c r="PHN198" s="234"/>
      <c r="PHO198" s="234"/>
      <c r="PHP198" s="234"/>
      <c r="PHQ198" s="234"/>
      <c r="PHR198" s="234"/>
      <c r="PHS198" s="234"/>
      <c r="PHT198" s="234"/>
      <c r="PHU198" s="234"/>
      <c r="PHV198" s="234"/>
      <c r="PHW198" s="234"/>
      <c r="PHX198" s="234"/>
      <c r="PHY198" s="234"/>
      <c r="PHZ198" s="234"/>
      <c r="PIA198" s="234"/>
      <c r="PIB198" s="234"/>
      <c r="PIC198" s="234"/>
      <c r="PID198" s="234"/>
      <c r="PIE198" s="234"/>
      <c r="PIF198" s="234"/>
      <c r="PIG198" s="234"/>
      <c r="PIH198" s="234"/>
      <c r="PII198" s="234"/>
      <c r="PIJ198" s="234"/>
      <c r="PIK198" s="234"/>
      <c r="PIL198" s="234"/>
      <c r="PIM198" s="234"/>
      <c r="PIN198" s="234"/>
      <c r="PIO198" s="234"/>
      <c r="PIP198" s="234"/>
      <c r="PIQ198" s="234"/>
      <c r="PIR198" s="234"/>
      <c r="PIS198" s="234"/>
      <c r="PIT198" s="234"/>
      <c r="PIU198" s="234"/>
      <c r="PIV198" s="234"/>
      <c r="PIW198" s="234"/>
      <c r="PIX198" s="234"/>
      <c r="PIY198" s="234"/>
      <c r="PIZ198" s="234"/>
      <c r="PJA198" s="234"/>
      <c r="PJB198" s="234"/>
      <c r="PJC198" s="234"/>
      <c r="PJD198" s="234"/>
      <c r="PJE198" s="234"/>
      <c r="PJF198" s="234"/>
      <c r="PJG198" s="234"/>
      <c r="PJH198" s="234"/>
      <c r="PJI198" s="234"/>
      <c r="PJJ198" s="234"/>
      <c r="PJK198" s="234"/>
      <c r="PJL198" s="234"/>
      <c r="PJM198" s="234"/>
      <c r="PJN198" s="234"/>
      <c r="PJO198" s="234"/>
      <c r="PJP198" s="234"/>
      <c r="PJQ198" s="234"/>
      <c r="PJR198" s="234"/>
      <c r="PJS198" s="234"/>
      <c r="PJT198" s="234"/>
      <c r="PJU198" s="234"/>
      <c r="PJV198" s="234"/>
      <c r="PJW198" s="234"/>
      <c r="PJX198" s="234"/>
      <c r="PJY198" s="234"/>
      <c r="PJZ198" s="234"/>
      <c r="PKA198" s="234"/>
      <c r="PKB198" s="234"/>
      <c r="PKC198" s="234"/>
      <c r="PKD198" s="234"/>
      <c r="PKE198" s="234"/>
      <c r="PKF198" s="234"/>
      <c r="PKG198" s="234"/>
      <c r="PKH198" s="234"/>
      <c r="PKI198" s="234"/>
      <c r="PKJ198" s="234"/>
      <c r="PKK198" s="234"/>
      <c r="PKL198" s="234"/>
      <c r="PKM198" s="234"/>
      <c r="PKN198" s="234"/>
      <c r="PKO198" s="234"/>
      <c r="PKP198" s="234"/>
      <c r="PKQ198" s="234"/>
      <c r="PKR198" s="234"/>
      <c r="PKS198" s="234"/>
      <c r="PKT198" s="234"/>
      <c r="PKU198" s="234"/>
      <c r="PKV198" s="234"/>
      <c r="PKW198" s="234"/>
      <c r="PKX198" s="234"/>
      <c r="PKY198" s="234"/>
      <c r="PKZ198" s="234"/>
      <c r="PLA198" s="234"/>
      <c r="PLB198" s="234"/>
      <c r="PLC198" s="234"/>
      <c r="PLD198" s="234"/>
      <c r="PLE198" s="234"/>
      <c r="PLF198" s="234"/>
      <c r="PLG198" s="234"/>
      <c r="PLH198" s="234"/>
      <c r="PLI198" s="234"/>
      <c r="PLJ198" s="234"/>
      <c r="PLK198" s="234"/>
      <c r="PLL198" s="234"/>
      <c r="PLM198" s="234"/>
      <c r="PLN198" s="234"/>
      <c r="PLO198" s="234"/>
      <c r="PLP198" s="234"/>
      <c r="PLQ198" s="234"/>
      <c r="PLR198" s="234"/>
      <c r="PLS198" s="234"/>
      <c r="PLT198" s="234"/>
      <c r="PLU198" s="234"/>
      <c r="PLV198" s="234"/>
      <c r="PLW198" s="234"/>
      <c r="PLX198" s="234"/>
      <c r="PLY198" s="234"/>
      <c r="PLZ198" s="234"/>
      <c r="PMA198" s="234"/>
      <c r="PMB198" s="234"/>
      <c r="PMC198" s="234"/>
      <c r="PMD198" s="234"/>
      <c r="PME198" s="234"/>
      <c r="PMF198" s="234"/>
      <c r="PMG198" s="234"/>
      <c r="PMH198" s="234"/>
      <c r="PMI198" s="234"/>
      <c r="PMJ198" s="234"/>
      <c r="PMK198" s="234"/>
      <c r="PML198" s="234"/>
      <c r="PMM198" s="234"/>
      <c r="PMN198" s="234"/>
      <c r="PMO198" s="234"/>
      <c r="PMP198" s="234"/>
      <c r="PMQ198" s="234"/>
      <c r="PMR198" s="234"/>
      <c r="PMS198" s="234"/>
      <c r="PMT198" s="234"/>
      <c r="PMU198" s="234"/>
      <c r="PMV198" s="234"/>
      <c r="PMW198" s="234"/>
      <c r="PMX198" s="234"/>
      <c r="PMY198" s="234"/>
      <c r="PMZ198" s="234"/>
      <c r="PNA198" s="234"/>
      <c r="PNB198" s="234"/>
      <c r="PNC198" s="234"/>
      <c r="PND198" s="234"/>
      <c r="PNE198" s="234"/>
      <c r="PNF198" s="234"/>
      <c r="PNG198" s="234"/>
      <c r="PNH198" s="234"/>
      <c r="PNI198" s="234"/>
      <c r="PNJ198" s="234"/>
      <c r="PNK198" s="234"/>
      <c r="PNL198" s="234"/>
      <c r="PNM198" s="234"/>
      <c r="PNN198" s="234"/>
      <c r="PNO198" s="234"/>
      <c r="PNP198" s="234"/>
      <c r="PNQ198" s="234"/>
      <c r="PNR198" s="234"/>
      <c r="PNS198" s="234"/>
      <c r="PNT198" s="234"/>
      <c r="PNU198" s="234"/>
      <c r="PNV198" s="234"/>
      <c r="PNW198" s="234"/>
      <c r="PNX198" s="234"/>
      <c r="PNY198" s="234"/>
      <c r="PNZ198" s="234"/>
      <c r="POA198" s="234"/>
      <c r="POB198" s="234"/>
      <c r="POC198" s="234"/>
      <c r="POD198" s="234"/>
      <c r="POE198" s="234"/>
      <c r="POF198" s="234"/>
      <c r="POG198" s="234"/>
      <c r="POH198" s="234"/>
      <c r="POI198" s="234"/>
      <c r="POJ198" s="234"/>
      <c r="POK198" s="234"/>
      <c r="POL198" s="234"/>
      <c r="POM198" s="234"/>
      <c r="PON198" s="234"/>
      <c r="POO198" s="234"/>
      <c r="POP198" s="234"/>
      <c r="POQ198" s="234"/>
      <c r="POR198" s="234"/>
      <c r="POS198" s="234"/>
      <c r="POT198" s="234"/>
      <c r="POU198" s="234"/>
      <c r="POV198" s="234"/>
      <c r="POW198" s="234"/>
      <c r="POX198" s="234"/>
      <c r="POY198" s="234"/>
      <c r="POZ198" s="234"/>
      <c r="PPA198" s="234"/>
      <c r="PPB198" s="234"/>
      <c r="PPC198" s="234"/>
      <c r="PPD198" s="234"/>
      <c r="PPE198" s="234"/>
      <c r="PPF198" s="234"/>
      <c r="PPG198" s="234"/>
      <c r="PPH198" s="234"/>
      <c r="PPI198" s="234"/>
      <c r="PPJ198" s="234"/>
      <c r="PPK198" s="234"/>
      <c r="PPL198" s="234"/>
      <c r="PPM198" s="234"/>
      <c r="PPN198" s="234"/>
      <c r="PPO198" s="234"/>
      <c r="PPP198" s="234"/>
      <c r="PPQ198" s="234"/>
      <c r="PPR198" s="234"/>
      <c r="PPS198" s="234"/>
      <c r="PPT198" s="234"/>
      <c r="PPU198" s="234"/>
      <c r="PPV198" s="234"/>
      <c r="PPW198" s="234"/>
      <c r="PPX198" s="234"/>
      <c r="PPY198" s="234"/>
      <c r="PPZ198" s="234"/>
      <c r="PQA198" s="234"/>
      <c r="PQB198" s="234"/>
      <c r="PQC198" s="234"/>
      <c r="PQD198" s="234"/>
      <c r="PQE198" s="234"/>
      <c r="PQF198" s="234"/>
      <c r="PQG198" s="234"/>
      <c r="PQH198" s="234"/>
      <c r="PQI198" s="234"/>
      <c r="PQJ198" s="234"/>
      <c r="PQK198" s="234"/>
      <c r="PQL198" s="234"/>
      <c r="PQM198" s="234"/>
      <c r="PQN198" s="234"/>
      <c r="PQO198" s="234"/>
      <c r="PQP198" s="234"/>
      <c r="PQQ198" s="234"/>
      <c r="PQR198" s="234"/>
      <c r="PQS198" s="234"/>
      <c r="PQT198" s="234"/>
      <c r="PQU198" s="234"/>
      <c r="PQV198" s="234"/>
      <c r="PQW198" s="234"/>
      <c r="PQX198" s="234"/>
      <c r="PQY198" s="234"/>
      <c r="PQZ198" s="234"/>
      <c r="PRA198" s="234"/>
      <c r="PRB198" s="234"/>
      <c r="PRC198" s="234"/>
      <c r="PRD198" s="234"/>
      <c r="PRE198" s="234"/>
      <c r="PRF198" s="234"/>
      <c r="PRG198" s="234"/>
      <c r="PRH198" s="234"/>
      <c r="PRI198" s="234"/>
      <c r="PRJ198" s="234"/>
      <c r="PRK198" s="234"/>
      <c r="PRL198" s="234"/>
      <c r="PRM198" s="234"/>
      <c r="PRN198" s="234"/>
      <c r="PRO198" s="234"/>
      <c r="PRP198" s="234"/>
      <c r="PRQ198" s="234"/>
      <c r="PRR198" s="234"/>
      <c r="PRS198" s="234"/>
      <c r="PRT198" s="234"/>
      <c r="PRU198" s="234"/>
      <c r="PRV198" s="234"/>
      <c r="PRW198" s="234"/>
      <c r="PRX198" s="234"/>
      <c r="PRY198" s="234"/>
      <c r="PRZ198" s="234"/>
      <c r="PSA198" s="234"/>
      <c r="PSB198" s="234"/>
      <c r="PSC198" s="234"/>
      <c r="PSD198" s="234"/>
      <c r="PSE198" s="234"/>
      <c r="PSF198" s="234"/>
      <c r="PSG198" s="234"/>
      <c r="PSH198" s="234"/>
      <c r="PSI198" s="234"/>
      <c r="PSJ198" s="234"/>
      <c r="PSK198" s="234"/>
      <c r="PSL198" s="234"/>
      <c r="PSM198" s="234"/>
      <c r="PSN198" s="234"/>
      <c r="PSO198" s="234"/>
      <c r="PSP198" s="234"/>
      <c r="PSQ198" s="234"/>
      <c r="PSR198" s="234"/>
      <c r="PSS198" s="234"/>
      <c r="PST198" s="234"/>
      <c r="PSU198" s="234"/>
      <c r="PSV198" s="234"/>
      <c r="PSW198" s="234"/>
      <c r="PSX198" s="234"/>
      <c r="PSY198" s="234"/>
      <c r="PSZ198" s="234"/>
      <c r="PTA198" s="234"/>
      <c r="PTB198" s="234"/>
      <c r="PTC198" s="234"/>
      <c r="PTD198" s="234"/>
      <c r="PTE198" s="234"/>
      <c r="PTF198" s="234"/>
      <c r="PTG198" s="234"/>
      <c r="PTH198" s="234"/>
      <c r="PTI198" s="234"/>
      <c r="PTJ198" s="234"/>
      <c r="PTK198" s="234"/>
      <c r="PTL198" s="234"/>
      <c r="PTM198" s="234"/>
      <c r="PTN198" s="234"/>
      <c r="PTO198" s="234"/>
      <c r="PTP198" s="234"/>
      <c r="PTQ198" s="234"/>
      <c r="PTR198" s="234"/>
      <c r="PTS198" s="234"/>
      <c r="PTT198" s="234"/>
      <c r="PTU198" s="234"/>
      <c r="PTV198" s="234"/>
      <c r="PTW198" s="234"/>
      <c r="PTX198" s="234"/>
      <c r="PTY198" s="234"/>
      <c r="PTZ198" s="234"/>
      <c r="PUA198" s="234"/>
      <c r="PUB198" s="234"/>
      <c r="PUC198" s="234"/>
      <c r="PUD198" s="234"/>
      <c r="PUE198" s="234"/>
      <c r="PUF198" s="234"/>
      <c r="PUG198" s="234"/>
      <c r="PUH198" s="234"/>
      <c r="PUI198" s="234"/>
      <c r="PUJ198" s="234"/>
      <c r="PUK198" s="234"/>
      <c r="PUL198" s="234"/>
      <c r="PUM198" s="234"/>
      <c r="PUN198" s="234"/>
      <c r="PUO198" s="234"/>
      <c r="PUP198" s="234"/>
      <c r="PUQ198" s="234"/>
      <c r="PUR198" s="234"/>
      <c r="PUS198" s="234"/>
      <c r="PUT198" s="234"/>
      <c r="PUU198" s="234"/>
      <c r="PUV198" s="234"/>
      <c r="PUW198" s="234"/>
      <c r="PUX198" s="234"/>
      <c r="PUY198" s="234"/>
      <c r="PUZ198" s="234"/>
      <c r="PVA198" s="234"/>
      <c r="PVB198" s="234"/>
      <c r="PVC198" s="234"/>
      <c r="PVD198" s="234"/>
      <c r="PVE198" s="234"/>
      <c r="PVF198" s="234"/>
      <c r="PVG198" s="234"/>
      <c r="PVH198" s="234"/>
      <c r="PVI198" s="234"/>
      <c r="PVJ198" s="234"/>
      <c r="PVK198" s="234"/>
      <c r="PVL198" s="234"/>
      <c r="PVM198" s="234"/>
      <c r="PVN198" s="234"/>
      <c r="PVO198" s="234"/>
      <c r="PVP198" s="234"/>
      <c r="PVQ198" s="234"/>
      <c r="PVR198" s="234"/>
      <c r="PVS198" s="234"/>
      <c r="PVT198" s="234"/>
      <c r="PVU198" s="234"/>
      <c r="PVV198" s="234"/>
      <c r="PVW198" s="234"/>
      <c r="PVX198" s="234"/>
      <c r="PVY198" s="234"/>
      <c r="PVZ198" s="234"/>
      <c r="PWA198" s="234"/>
      <c r="PWB198" s="234"/>
      <c r="PWC198" s="234"/>
      <c r="PWD198" s="234"/>
      <c r="PWE198" s="234"/>
      <c r="PWF198" s="234"/>
      <c r="PWG198" s="234"/>
      <c r="PWH198" s="234"/>
      <c r="PWI198" s="234"/>
      <c r="PWJ198" s="234"/>
      <c r="PWK198" s="234"/>
      <c r="PWL198" s="234"/>
      <c r="PWM198" s="234"/>
      <c r="PWN198" s="234"/>
      <c r="PWO198" s="234"/>
      <c r="PWP198" s="234"/>
      <c r="PWQ198" s="234"/>
      <c r="PWR198" s="234"/>
      <c r="PWS198" s="234"/>
      <c r="PWT198" s="234"/>
      <c r="PWU198" s="234"/>
      <c r="PWV198" s="234"/>
      <c r="PWW198" s="234"/>
      <c r="PWX198" s="234"/>
      <c r="PWY198" s="234"/>
      <c r="PWZ198" s="234"/>
      <c r="PXA198" s="234"/>
      <c r="PXB198" s="234"/>
      <c r="PXC198" s="234"/>
      <c r="PXD198" s="234"/>
      <c r="PXE198" s="234"/>
      <c r="PXF198" s="234"/>
      <c r="PXG198" s="234"/>
      <c r="PXH198" s="234"/>
      <c r="PXI198" s="234"/>
      <c r="PXJ198" s="234"/>
      <c r="PXK198" s="234"/>
      <c r="PXL198" s="234"/>
      <c r="PXM198" s="234"/>
      <c r="PXN198" s="234"/>
      <c r="PXO198" s="234"/>
      <c r="PXP198" s="234"/>
      <c r="PXQ198" s="234"/>
      <c r="PXR198" s="234"/>
      <c r="PXS198" s="234"/>
      <c r="PXT198" s="234"/>
      <c r="PXU198" s="234"/>
      <c r="PXV198" s="234"/>
      <c r="PXW198" s="234"/>
      <c r="PXX198" s="234"/>
      <c r="PXY198" s="234"/>
      <c r="PXZ198" s="234"/>
      <c r="PYA198" s="234"/>
      <c r="PYB198" s="234"/>
      <c r="PYC198" s="234"/>
      <c r="PYD198" s="234"/>
      <c r="PYE198" s="234"/>
      <c r="PYF198" s="234"/>
      <c r="PYG198" s="234"/>
      <c r="PYH198" s="234"/>
      <c r="PYI198" s="234"/>
      <c r="PYJ198" s="234"/>
      <c r="PYK198" s="234"/>
      <c r="PYL198" s="234"/>
      <c r="PYM198" s="234"/>
      <c r="PYN198" s="234"/>
      <c r="PYO198" s="234"/>
      <c r="PYP198" s="234"/>
      <c r="PYQ198" s="234"/>
      <c r="PYR198" s="234"/>
      <c r="PYS198" s="234"/>
      <c r="PYT198" s="234"/>
      <c r="PYU198" s="234"/>
      <c r="PYV198" s="234"/>
      <c r="PYW198" s="234"/>
      <c r="PYX198" s="234"/>
      <c r="PYY198" s="234"/>
      <c r="PYZ198" s="234"/>
      <c r="PZA198" s="234"/>
      <c r="PZB198" s="234"/>
      <c r="PZC198" s="234"/>
      <c r="PZD198" s="234"/>
      <c r="PZE198" s="234"/>
      <c r="PZF198" s="234"/>
      <c r="PZG198" s="234"/>
      <c r="PZH198" s="234"/>
      <c r="PZI198" s="234"/>
      <c r="PZJ198" s="234"/>
      <c r="PZK198" s="234"/>
      <c r="PZL198" s="234"/>
      <c r="PZM198" s="234"/>
      <c r="PZN198" s="234"/>
      <c r="PZO198" s="234"/>
      <c r="PZP198" s="234"/>
      <c r="PZQ198" s="234"/>
      <c r="PZR198" s="234"/>
      <c r="PZS198" s="234"/>
      <c r="PZT198" s="234"/>
      <c r="PZU198" s="234"/>
      <c r="PZV198" s="234"/>
      <c r="PZW198" s="234"/>
      <c r="PZX198" s="234"/>
      <c r="PZY198" s="234"/>
      <c r="PZZ198" s="234"/>
      <c r="QAA198" s="234"/>
      <c r="QAB198" s="234"/>
      <c r="QAC198" s="234"/>
      <c r="QAD198" s="234"/>
      <c r="QAE198" s="234"/>
      <c r="QAF198" s="234"/>
      <c r="QAG198" s="234"/>
      <c r="QAH198" s="234"/>
      <c r="QAI198" s="234"/>
      <c r="QAJ198" s="234"/>
      <c r="QAK198" s="234"/>
      <c r="QAL198" s="234"/>
      <c r="QAM198" s="234"/>
      <c r="QAN198" s="234"/>
      <c r="QAO198" s="234"/>
      <c r="QAP198" s="234"/>
      <c r="QAQ198" s="234"/>
      <c r="QAR198" s="234"/>
      <c r="QAS198" s="234"/>
      <c r="QAT198" s="234"/>
      <c r="QAU198" s="234"/>
      <c r="QAV198" s="234"/>
      <c r="QAW198" s="234"/>
      <c r="QAX198" s="234"/>
      <c r="QAY198" s="234"/>
      <c r="QAZ198" s="234"/>
      <c r="QBA198" s="234"/>
      <c r="QBB198" s="234"/>
      <c r="QBC198" s="234"/>
      <c r="QBD198" s="234"/>
      <c r="QBE198" s="234"/>
      <c r="QBF198" s="234"/>
      <c r="QBG198" s="234"/>
      <c r="QBH198" s="234"/>
      <c r="QBI198" s="234"/>
      <c r="QBJ198" s="234"/>
      <c r="QBK198" s="234"/>
      <c r="QBL198" s="234"/>
      <c r="QBM198" s="234"/>
      <c r="QBN198" s="234"/>
      <c r="QBO198" s="234"/>
      <c r="QBP198" s="234"/>
      <c r="QBQ198" s="234"/>
      <c r="QBR198" s="234"/>
      <c r="QBS198" s="234"/>
      <c r="QBT198" s="234"/>
      <c r="QBU198" s="234"/>
      <c r="QBV198" s="234"/>
      <c r="QBW198" s="234"/>
      <c r="QBX198" s="234"/>
      <c r="QBY198" s="234"/>
      <c r="QBZ198" s="234"/>
      <c r="QCA198" s="234"/>
      <c r="QCB198" s="234"/>
      <c r="QCC198" s="234"/>
      <c r="QCD198" s="234"/>
      <c r="QCE198" s="234"/>
      <c r="QCF198" s="234"/>
      <c r="QCG198" s="234"/>
      <c r="QCH198" s="234"/>
      <c r="QCI198" s="234"/>
      <c r="QCJ198" s="234"/>
      <c r="QCK198" s="234"/>
      <c r="QCL198" s="234"/>
      <c r="QCM198" s="234"/>
      <c r="QCN198" s="234"/>
      <c r="QCO198" s="234"/>
      <c r="QCP198" s="234"/>
      <c r="QCQ198" s="234"/>
      <c r="QCR198" s="234"/>
      <c r="QCS198" s="234"/>
      <c r="QCT198" s="234"/>
      <c r="QCU198" s="234"/>
      <c r="QCV198" s="234"/>
      <c r="QCW198" s="234"/>
      <c r="QCX198" s="234"/>
      <c r="QCY198" s="234"/>
      <c r="QCZ198" s="234"/>
      <c r="QDA198" s="234"/>
      <c r="QDB198" s="234"/>
      <c r="QDC198" s="234"/>
      <c r="QDD198" s="234"/>
      <c r="QDE198" s="234"/>
      <c r="QDF198" s="234"/>
      <c r="QDG198" s="234"/>
      <c r="QDH198" s="234"/>
      <c r="QDI198" s="234"/>
      <c r="QDJ198" s="234"/>
      <c r="QDK198" s="234"/>
      <c r="QDL198" s="234"/>
      <c r="QDM198" s="234"/>
      <c r="QDN198" s="234"/>
      <c r="QDO198" s="234"/>
      <c r="QDP198" s="234"/>
      <c r="QDQ198" s="234"/>
      <c r="QDR198" s="234"/>
      <c r="QDS198" s="234"/>
      <c r="QDT198" s="234"/>
      <c r="QDU198" s="234"/>
      <c r="QDV198" s="234"/>
      <c r="QDW198" s="234"/>
      <c r="QDX198" s="234"/>
      <c r="QDY198" s="234"/>
      <c r="QDZ198" s="234"/>
      <c r="QEA198" s="234"/>
      <c r="QEB198" s="234"/>
      <c r="QEC198" s="234"/>
      <c r="QED198" s="234"/>
      <c r="QEE198" s="234"/>
      <c r="QEF198" s="234"/>
      <c r="QEG198" s="234"/>
      <c r="QEH198" s="234"/>
      <c r="QEI198" s="234"/>
      <c r="QEJ198" s="234"/>
      <c r="QEK198" s="234"/>
      <c r="QEL198" s="234"/>
      <c r="QEM198" s="234"/>
      <c r="QEN198" s="234"/>
      <c r="QEO198" s="234"/>
      <c r="QEP198" s="234"/>
      <c r="QEQ198" s="234"/>
      <c r="QER198" s="234"/>
      <c r="QES198" s="234"/>
      <c r="QET198" s="234"/>
      <c r="QEU198" s="234"/>
      <c r="QEV198" s="234"/>
      <c r="QEW198" s="234"/>
      <c r="QEX198" s="234"/>
      <c r="QEY198" s="234"/>
      <c r="QEZ198" s="234"/>
      <c r="QFA198" s="234"/>
      <c r="QFB198" s="234"/>
      <c r="QFC198" s="234"/>
      <c r="QFD198" s="234"/>
      <c r="QFE198" s="234"/>
      <c r="QFF198" s="234"/>
      <c r="QFG198" s="234"/>
      <c r="QFH198" s="234"/>
      <c r="QFI198" s="234"/>
      <c r="QFJ198" s="234"/>
      <c r="QFK198" s="234"/>
      <c r="QFL198" s="234"/>
      <c r="QFM198" s="234"/>
      <c r="QFN198" s="234"/>
      <c r="QFO198" s="234"/>
      <c r="QFP198" s="234"/>
      <c r="QFQ198" s="234"/>
      <c r="QFR198" s="234"/>
      <c r="QFS198" s="234"/>
      <c r="QFT198" s="234"/>
      <c r="QFU198" s="234"/>
      <c r="QFV198" s="234"/>
      <c r="QFW198" s="234"/>
      <c r="QFX198" s="234"/>
      <c r="QFY198" s="234"/>
      <c r="QFZ198" s="234"/>
      <c r="QGA198" s="234"/>
      <c r="QGB198" s="234"/>
      <c r="QGC198" s="234"/>
      <c r="QGD198" s="234"/>
      <c r="QGE198" s="234"/>
      <c r="QGF198" s="234"/>
      <c r="QGG198" s="234"/>
      <c r="QGH198" s="234"/>
      <c r="QGI198" s="234"/>
      <c r="QGJ198" s="234"/>
      <c r="QGK198" s="234"/>
      <c r="QGL198" s="234"/>
      <c r="QGM198" s="234"/>
      <c r="QGN198" s="234"/>
      <c r="QGO198" s="234"/>
      <c r="QGP198" s="234"/>
      <c r="QGQ198" s="234"/>
      <c r="QGR198" s="234"/>
      <c r="QGS198" s="234"/>
      <c r="QGT198" s="234"/>
      <c r="QGU198" s="234"/>
      <c r="QGV198" s="234"/>
      <c r="QGW198" s="234"/>
      <c r="QGX198" s="234"/>
      <c r="QGY198" s="234"/>
      <c r="QGZ198" s="234"/>
      <c r="QHA198" s="234"/>
      <c r="QHB198" s="234"/>
      <c r="QHC198" s="234"/>
      <c r="QHD198" s="234"/>
      <c r="QHE198" s="234"/>
      <c r="QHF198" s="234"/>
      <c r="QHG198" s="234"/>
      <c r="QHH198" s="234"/>
      <c r="QHI198" s="234"/>
      <c r="QHJ198" s="234"/>
      <c r="QHK198" s="234"/>
      <c r="QHL198" s="234"/>
      <c r="QHM198" s="234"/>
      <c r="QHN198" s="234"/>
      <c r="QHO198" s="234"/>
      <c r="QHP198" s="234"/>
      <c r="QHQ198" s="234"/>
      <c r="QHR198" s="234"/>
      <c r="QHS198" s="234"/>
      <c r="QHT198" s="234"/>
      <c r="QHU198" s="234"/>
      <c r="QHV198" s="234"/>
      <c r="QHW198" s="234"/>
      <c r="QHX198" s="234"/>
      <c r="QHY198" s="234"/>
      <c r="QHZ198" s="234"/>
      <c r="QIA198" s="234"/>
      <c r="QIB198" s="234"/>
      <c r="QIC198" s="234"/>
      <c r="QID198" s="234"/>
      <c r="QIE198" s="234"/>
      <c r="QIF198" s="234"/>
      <c r="QIG198" s="234"/>
      <c r="QIH198" s="234"/>
      <c r="QII198" s="234"/>
      <c r="QIJ198" s="234"/>
      <c r="QIK198" s="234"/>
      <c r="QIL198" s="234"/>
      <c r="QIM198" s="234"/>
      <c r="QIN198" s="234"/>
      <c r="QIO198" s="234"/>
      <c r="QIP198" s="234"/>
      <c r="QIQ198" s="234"/>
      <c r="QIR198" s="234"/>
      <c r="QIS198" s="234"/>
      <c r="QIT198" s="234"/>
      <c r="QIU198" s="234"/>
      <c r="QIV198" s="234"/>
      <c r="QIW198" s="234"/>
      <c r="QIX198" s="234"/>
      <c r="QIY198" s="234"/>
      <c r="QIZ198" s="234"/>
      <c r="QJA198" s="234"/>
      <c r="QJB198" s="234"/>
      <c r="QJC198" s="234"/>
      <c r="QJD198" s="234"/>
      <c r="QJE198" s="234"/>
      <c r="QJF198" s="234"/>
      <c r="QJG198" s="234"/>
      <c r="QJH198" s="234"/>
      <c r="QJI198" s="234"/>
      <c r="QJJ198" s="234"/>
      <c r="QJK198" s="234"/>
      <c r="QJL198" s="234"/>
      <c r="QJM198" s="234"/>
      <c r="QJN198" s="234"/>
      <c r="QJO198" s="234"/>
      <c r="QJP198" s="234"/>
      <c r="QJQ198" s="234"/>
      <c r="QJR198" s="234"/>
      <c r="QJS198" s="234"/>
      <c r="QJT198" s="234"/>
      <c r="QJU198" s="234"/>
      <c r="QJV198" s="234"/>
      <c r="QJW198" s="234"/>
      <c r="QJX198" s="234"/>
      <c r="QJY198" s="234"/>
      <c r="QJZ198" s="234"/>
      <c r="QKA198" s="234"/>
      <c r="QKB198" s="234"/>
      <c r="QKC198" s="234"/>
      <c r="QKD198" s="234"/>
      <c r="QKE198" s="234"/>
      <c r="QKF198" s="234"/>
      <c r="QKG198" s="234"/>
      <c r="QKH198" s="234"/>
      <c r="QKI198" s="234"/>
      <c r="QKJ198" s="234"/>
      <c r="QKK198" s="234"/>
      <c r="QKL198" s="234"/>
      <c r="QKM198" s="234"/>
      <c r="QKN198" s="234"/>
      <c r="QKO198" s="234"/>
      <c r="QKP198" s="234"/>
      <c r="QKQ198" s="234"/>
      <c r="QKR198" s="234"/>
      <c r="QKS198" s="234"/>
      <c r="QKT198" s="234"/>
      <c r="QKU198" s="234"/>
      <c r="QKV198" s="234"/>
      <c r="QKW198" s="234"/>
      <c r="QKX198" s="234"/>
      <c r="QKY198" s="234"/>
      <c r="QKZ198" s="234"/>
      <c r="QLA198" s="234"/>
      <c r="QLB198" s="234"/>
      <c r="QLC198" s="234"/>
      <c r="QLD198" s="234"/>
      <c r="QLE198" s="234"/>
      <c r="QLF198" s="234"/>
      <c r="QLG198" s="234"/>
      <c r="QLH198" s="234"/>
      <c r="QLI198" s="234"/>
      <c r="QLJ198" s="234"/>
      <c r="QLK198" s="234"/>
      <c r="QLL198" s="234"/>
      <c r="QLM198" s="234"/>
      <c r="QLN198" s="234"/>
      <c r="QLO198" s="234"/>
      <c r="QLP198" s="234"/>
      <c r="QLQ198" s="234"/>
      <c r="QLR198" s="234"/>
      <c r="QLS198" s="234"/>
      <c r="QLT198" s="234"/>
      <c r="QLU198" s="234"/>
      <c r="QLV198" s="234"/>
      <c r="QLW198" s="234"/>
      <c r="QLX198" s="234"/>
      <c r="QLY198" s="234"/>
      <c r="QLZ198" s="234"/>
      <c r="QMA198" s="234"/>
      <c r="QMB198" s="234"/>
      <c r="QMC198" s="234"/>
      <c r="QMD198" s="234"/>
      <c r="QME198" s="234"/>
      <c r="QMF198" s="234"/>
      <c r="QMG198" s="234"/>
      <c r="QMH198" s="234"/>
      <c r="QMI198" s="234"/>
      <c r="QMJ198" s="234"/>
      <c r="QMK198" s="234"/>
      <c r="QML198" s="234"/>
      <c r="QMM198" s="234"/>
      <c r="QMN198" s="234"/>
      <c r="QMO198" s="234"/>
      <c r="QMP198" s="234"/>
      <c r="QMQ198" s="234"/>
      <c r="QMR198" s="234"/>
      <c r="QMS198" s="234"/>
      <c r="QMT198" s="234"/>
      <c r="QMU198" s="234"/>
      <c r="QMV198" s="234"/>
      <c r="QMW198" s="234"/>
      <c r="QMX198" s="234"/>
      <c r="QMY198" s="234"/>
      <c r="QMZ198" s="234"/>
      <c r="QNA198" s="234"/>
      <c r="QNB198" s="234"/>
      <c r="QNC198" s="234"/>
      <c r="QND198" s="234"/>
      <c r="QNE198" s="234"/>
      <c r="QNF198" s="234"/>
      <c r="QNG198" s="234"/>
      <c r="QNH198" s="234"/>
      <c r="QNI198" s="234"/>
      <c r="QNJ198" s="234"/>
      <c r="QNK198" s="234"/>
      <c r="QNL198" s="234"/>
      <c r="QNM198" s="234"/>
      <c r="QNN198" s="234"/>
      <c r="QNO198" s="234"/>
      <c r="QNP198" s="234"/>
      <c r="QNQ198" s="234"/>
      <c r="QNR198" s="234"/>
      <c r="QNS198" s="234"/>
      <c r="QNT198" s="234"/>
      <c r="QNU198" s="234"/>
      <c r="QNV198" s="234"/>
      <c r="QNW198" s="234"/>
      <c r="QNX198" s="234"/>
      <c r="QNY198" s="234"/>
      <c r="QNZ198" s="234"/>
      <c r="QOA198" s="234"/>
      <c r="QOB198" s="234"/>
      <c r="QOC198" s="234"/>
      <c r="QOD198" s="234"/>
      <c r="QOE198" s="234"/>
      <c r="QOF198" s="234"/>
      <c r="QOG198" s="234"/>
      <c r="QOH198" s="234"/>
      <c r="QOI198" s="234"/>
      <c r="QOJ198" s="234"/>
      <c r="QOK198" s="234"/>
      <c r="QOL198" s="234"/>
      <c r="QOM198" s="234"/>
      <c r="QON198" s="234"/>
      <c r="QOO198" s="234"/>
      <c r="QOP198" s="234"/>
      <c r="QOQ198" s="234"/>
      <c r="QOR198" s="234"/>
      <c r="QOS198" s="234"/>
      <c r="QOT198" s="234"/>
      <c r="QOU198" s="234"/>
      <c r="QOV198" s="234"/>
      <c r="QOW198" s="234"/>
      <c r="QOX198" s="234"/>
      <c r="QOY198" s="234"/>
      <c r="QOZ198" s="234"/>
      <c r="QPA198" s="234"/>
      <c r="QPB198" s="234"/>
      <c r="QPC198" s="234"/>
      <c r="QPD198" s="234"/>
      <c r="QPE198" s="234"/>
      <c r="QPF198" s="234"/>
      <c r="QPG198" s="234"/>
      <c r="QPH198" s="234"/>
      <c r="QPI198" s="234"/>
      <c r="QPJ198" s="234"/>
      <c r="QPK198" s="234"/>
      <c r="QPL198" s="234"/>
      <c r="QPM198" s="234"/>
      <c r="QPN198" s="234"/>
      <c r="QPO198" s="234"/>
      <c r="QPP198" s="234"/>
      <c r="QPQ198" s="234"/>
      <c r="QPR198" s="234"/>
      <c r="QPS198" s="234"/>
      <c r="QPT198" s="234"/>
      <c r="QPU198" s="234"/>
      <c r="QPV198" s="234"/>
      <c r="QPW198" s="234"/>
      <c r="QPX198" s="234"/>
      <c r="QPY198" s="234"/>
      <c r="QPZ198" s="234"/>
      <c r="QQA198" s="234"/>
      <c r="QQB198" s="234"/>
      <c r="QQC198" s="234"/>
      <c r="QQD198" s="234"/>
      <c r="QQE198" s="234"/>
      <c r="QQF198" s="234"/>
      <c r="QQG198" s="234"/>
      <c r="QQH198" s="234"/>
      <c r="QQI198" s="234"/>
      <c r="QQJ198" s="234"/>
      <c r="QQK198" s="234"/>
      <c r="QQL198" s="234"/>
      <c r="QQM198" s="234"/>
      <c r="QQN198" s="234"/>
      <c r="QQO198" s="234"/>
      <c r="QQP198" s="234"/>
      <c r="QQQ198" s="234"/>
      <c r="QQR198" s="234"/>
      <c r="QQS198" s="234"/>
      <c r="QQT198" s="234"/>
      <c r="QQU198" s="234"/>
      <c r="QQV198" s="234"/>
      <c r="QQW198" s="234"/>
      <c r="QQX198" s="234"/>
      <c r="QQY198" s="234"/>
      <c r="QQZ198" s="234"/>
      <c r="QRA198" s="234"/>
      <c r="QRB198" s="234"/>
      <c r="QRC198" s="234"/>
      <c r="QRD198" s="234"/>
      <c r="QRE198" s="234"/>
      <c r="QRF198" s="234"/>
      <c r="QRG198" s="234"/>
      <c r="QRH198" s="234"/>
      <c r="QRI198" s="234"/>
      <c r="QRJ198" s="234"/>
      <c r="QRK198" s="234"/>
      <c r="QRL198" s="234"/>
      <c r="QRM198" s="234"/>
      <c r="QRN198" s="234"/>
      <c r="QRO198" s="234"/>
      <c r="QRP198" s="234"/>
      <c r="QRQ198" s="234"/>
      <c r="QRR198" s="234"/>
      <c r="QRS198" s="234"/>
      <c r="QRT198" s="234"/>
      <c r="QRU198" s="234"/>
      <c r="QRV198" s="234"/>
      <c r="QRW198" s="234"/>
      <c r="QRX198" s="234"/>
      <c r="QRY198" s="234"/>
      <c r="QRZ198" s="234"/>
      <c r="QSA198" s="234"/>
      <c r="QSB198" s="234"/>
      <c r="QSC198" s="234"/>
      <c r="QSD198" s="234"/>
      <c r="QSE198" s="234"/>
      <c r="QSF198" s="234"/>
      <c r="QSG198" s="234"/>
      <c r="QSH198" s="234"/>
      <c r="QSI198" s="234"/>
      <c r="QSJ198" s="234"/>
      <c r="QSK198" s="234"/>
      <c r="QSL198" s="234"/>
      <c r="QSM198" s="234"/>
      <c r="QSN198" s="234"/>
      <c r="QSO198" s="234"/>
      <c r="QSP198" s="234"/>
      <c r="QSQ198" s="234"/>
      <c r="QSR198" s="234"/>
      <c r="QSS198" s="234"/>
      <c r="QST198" s="234"/>
      <c r="QSU198" s="234"/>
      <c r="QSV198" s="234"/>
      <c r="QSW198" s="234"/>
      <c r="QSX198" s="234"/>
      <c r="QSY198" s="234"/>
      <c r="QSZ198" s="234"/>
      <c r="QTA198" s="234"/>
      <c r="QTB198" s="234"/>
      <c r="QTC198" s="234"/>
      <c r="QTD198" s="234"/>
      <c r="QTE198" s="234"/>
      <c r="QTF198" s="234"/>
      <c r="QTG198" s="234"/>
      <c r="QTH198" s="234"/>
      <c r="QTI198" s="234"/>
      <c r="QTJ198" s="234"/>
      <c r="QTK198" s="234"/>
      <c r="QTL198" s="234"/>
      <c r="QTM198" s="234"/>
      <c r="QTN198" s="234"/>
      <c r="QTO198" s="234"/>
      <c r="QTP198" s="234"/>
      <c r="QTQ198" s="234"/>
      <c r="QTR198" s="234"/>
      <c r="QTS198" s="234"/>
      <c r="QTT198" s="234"/>
      <c r="QTU198" s="234"/>
      <c r="QTV198" s="234"/>
      <c r="QTW198" s="234"/>
      <c r="QTX198" s="234"/>
      <c r="QTY198" s="234"/>
      <c r="QTZ198" s="234"/>
      <c r="QUA198" s="234"/>
      <c r="QUB198" s="234"/>
      <c r="QUC198" s="234"/>
      <c r="QUD198" s="234"/>
      <c r="QUE198" s="234"/>
      <c r="QUF198" s="234"/>
      <c r="QUG198" s="234"/>
      <c r="QUH198" s="234"/>
      <c r="QUI198" s="234"/>
      <c r="QUJ198" s="234"/>
      <c r="QUK198" s="234"/>
      <c r="QUL198" s="234"/>
      <c r="QUM198" s="234"/>
      <c r="QUN198" s="234"/>
      <c r="QUO198" s="234"/>
      <c r="QUP198" s="234"/>
      <c r="QUQ198" s="234"/>
      <c r="QUR198" s="234"/>
      <c r="QUS198" s="234"/>
      <c r="QUT198" s="234"/>
      <c r="QUU198" s="234"/>
      <c r="QUV198" s="234"/>
      <c r="QUW198" s="234"/>
      <c r="QUX198" s="234"/>
      <c r="QUY198" s="234"/>
      <c r="QUZ198" s="234"/>
      <c r="QVA198" s="234"/>
      <c r="QVB198" s="234"/>
      <c r="QVC198" s="234"/>
      <c r="QVD198" s="234"/>
      <c r="QVE198" s="234"/>
      <c r="QVF198" s="234"/>
      <c r="QVG198" s="234"/>
      <c r="QVH198" s="234"/>
      <c r="QVI198" s="234"/>
      <c r="QVJ198" s="234"/>
      <c r="QVK198" s="234"/>
      <c r="QVL198" s="234"/>
      <c r="QVM198" s="234"/>
      <c r="QVN198" s="234"/>
      <c r="QVO198" s="234"/>
      <c r="QVP198" s="234"/>
      <c r="QVQ198" s="234"/>
      <c r="QVR198" s="234"/>
      <c r="QVS198" s="234"/>
      <c r="QVT198" s="234"/>
      <c r="QVU198" s="234"/>
      <c r="QVV198" s="234"/>
      <c r="QVW198" s="234"/>
      <c r="QVX198" s="234"/>
      <c r="QVY198" s="234"/>
      <c r="QVZ198" s="234"/>
      <c r="QWA198" s="234"/>
      <c r="QWB198" s="234"/>
      <c r="QWC198" s="234"/>
      <c r="QWD198" s="234"/>
      <c r="QWE198" s="234"/>
      <c r="QWF198" s="234"/>
      <c r="QWG198" s="234"/>
      <c r="QWH198" s="234"/>
      <c r="QWI198" s="234"/>
      <c r="QWJ198" s="234"/>
      <c r="QWK198" s="234"/>
      <c r="QWL198" s="234"/>
      <c r="QWM198" s="234"/>
      <c r="QWN198" s="234"/>
      <c r="QWO198" s="234"/>
      <c r="QWP198" s="234"/>
      <c r="QWQ198" s="234"/>
      <c r="QWR198" s="234"/>
      <c r="QWS198" s="234"/>
      <c r="QWT198" s="234"/>
      <c r="QWU198" s="234"/>
      <c r="QWV198" s="234"/>
      <c r="QWW198" s="234"/>
      <c r="QWX198" s="234"/>
      <c r="QWY198" s="234"/>
      <c r="QWZ198" s="234"/>
      <c r="QXA198" s="234"/>
      <c r="QXB198" s="234"/>
      <c r="QXC198" s="234"/>
      <c r="QXD198" s="234"/>
      <c r="QXE198" s="234"/>
      <c r="QXF198" s="234"/>
      <c r="QXG198" s="234"/>
      <c r="QXH198" s="234"/>
      <c r="QXI198" s="234"/>
      <c r="QXJ198" s="234"/>
      <c r="QXK198" s="234"/>
      <c r="QXL198" s="234"/>
      <c r="QXM198" s="234"/>
      <c r="QXN198" s="234"/>
      <c r="QXO198" s="234"/>
      <c r="QXP198" s="234"/>
      <c r="QXQ198" s="234"/>
      <c r="QXR198" s="234"/>
      <c r="QXS198" s="234"/>
      <c r="QXT198" s="234"/>
      <c r="QXU198" s="234"/>
      <c r="QXV198" s="234"/>
      <c r="QXW198" s="234"/>
      <c r="QXX198" s="234"/>
      <c r="QXY198" s="234"/>
      <c r="QXZ198" s="234"/>
      <c r="QYA198" s="234"/>
      <c r="QYB198" s="234"/>
      <c r="QYC198" s="234"/>
      <c r="QYD198" s="234"/>
      <c r="QYE198" s="234"/>
      <c r="QYF198" s="234"/>
      <c r="QYG198" s="234"/>
      <c r="QYH198" s="234"/>
      <c r="QYI198" s="234"/>
      <c r="QYJ198" s="234"/>
      <c r="QYK198" s="234"/>
      <c r="QYL198" s="234"/>
      <c r="QYM198" s="234"/>
      <c r="QYN198" s="234"/>
      <c r="QYO198" s="234"/>
      <c r="QYP198" s="234"/>
      <c r="QYQ198" s="234"/>
      <c r="QYR198" s="234"/>
      <c r="QYS198" s="234"/>
      <c r="QYT198" s="234"/>
      <c r="QYU198" s="234"/>
      <c r="QYV198" s="234"/>
      <c r="QYW198" s="234"/>
      <c r="QYX198" s="234"/>
      <c r="QYY198" s="234"/>
      <c r="QYZ198" s="234"/>
      <c r="QZA198" s="234"/>
      <c r="QZB198" s="234"/>
      <c r="QZC198" s="234"/>
      <c r="QZD198" s="234"/>
      <c r="QZE198" s="234"/>
      <c r="QZF198" s="234"/>
      <c r="QZG198" s="234"/>
      <c r="QZH198" s="234"/>
      <c r="QZI198" s="234"/>
      <c r="QZJ198" s="234"/>
      <c r="QZK198" s="234"/>
      <c r="QZL198" s="234"/>
      <c r="QZM198" s="234"/>
      <c r="QZN198" s="234"/>
      <c r="QZO198" s="234"/>
      <c r="QZP198" s="234"/>
      <c r="QZQ198" s="234"/>
      <c r="QZR198" s="234"/>
      <c r="QZS198" s="234"/>
      <c r="QZT198" s="234"/>
      <c r="QZU198" s="234"/>
      <c r="QZV198" s="234"/>
      <c r="QZW198" s="234"/>
      <c r="QZX198" s="234"/>
      <c r="QZY198" s="234"/>
      <c r="QZZ198" s="234"/>
      <c r="RAA198" s="234"/>
      <c r="RAB198" s="234"/>
      <c r="RAC198" s="234"/>
      <c r="RAD198" s="234"/>
      <c r="RAE198" s="234"/>
      <c r="RAF198" s="234"/>
      <c r="RAG198" s="234"/>
      <c r="RAH198" s="234"/>
      <c r="RAI198" s="234"/>
      <c r="RAJ198" s="234"/>
      <c r="RAK198" s="234"/>
      <c r="RAL198" s="234"/>
      <c r="RAM198" s="234"/>
      <c r="RAN198" s="234"/>
      <c r="RAO198" s="234"/>
      <c r="RAP198" s="234"/>
      <c r="RAQ198" s="234"/>
      <c r="RAR198" s="234"/>
      <c r="RAS198" s="234"/>
      <c r="RAT198" s="234"/>
      <c r="RAU198" s="234"/>
      <c r="RAV198" s="234"/>
      <c r="RAW198" s="234"/>
      <c r="RAX198" s="234"/>
      <c r="RAY198" s="234"/>
      <c r="RAZ198" s="234"/>
      <c r="RBA198" s="234"/>
      <c r="RBB198" s="234"/>
      <c r="RBC198" s="234"/>
      <c r="RBD198" s="234"/>
      <c r="RBE198" s="234"/>
      <c r="RBF198" s="234"/>
      <c r="RBG198" s="234"/>
      <c r="RBH198" s="234"/>
      <c r="RBI198" s="234"/>
      <c r="RBJ198" s="234"/>
      <c r="RBK198" s="234"/>
      <c r="RBL198" s="234"/>
      <c r="RBM198" s="234"/>
      <c r="RBN198" s="234"/>
      <c r="RBO198" s="234"/>
      <c r="RBP198" s="234"/>
      <c r="RBQ198" s="234"/>
      <c r="RBR198" s="234"/>
      <c r="RBS198" s="234"/>
      <c r="RBT198" s="234"/>
      <c r="RBU198" s="234"/>
      <c r="RBV198" s="234"/>
      <c r="RBW198" s="234"/>
      <c r="RBX198" s="234"/>
      <c r="RBY198" s="234"/>
      <c r="RBZ198" s="234"/>
      <c r="RCA198" s="234"/>
      <c r="RCB198" s="234"/>
      <c r="RCC198" s="234"/>
      <c r="RCD198" s="234"/>
      <c r="RCE198" s="234"/>
      <c r="RCF198" s="234"/>
      <c r="RCG198" s="234"/>
      <c r="RCH198" s="234"/>
      <c r="RCI198" s="234"/>
      <c r="RCJ198" s="234"/>
      <c r="RCK198" s="234"/>
      <c r="RCL198" s="234"/>
      <c r="RCM198" s="234"/>
      <c r="RCN198" s="234"/>
      <c r="RCO198" s="234"/>
      <c r="RCP198" s="234"/>
      <c r="RCQ198" s="234"/>
      <c r="RCR198" s="234"/>
      <c r="RCS198" s="234"/>
      <c r="RCT198" s="234"/>
      <c r="RCU198" s="234"/>
      <c r="RCV198" s="234"/>
      <c r="RCW198" s="234"/>
      <c r="RCX198" s="234"/>
      <c r="RCY198" s="234"/>
      <c r="RCZ198" s="234"/>
      <c r="RDA198" s="234"/>
      <c r="RDB198" s="234"/>
      <c r="RDC198" s="234"/>
      <c r="RDD198" s="234"/>
      <c r="RDE198" s="234"/>
      <c r="RDF198" s="234"/>
      <c r="RDG198" s="234"/>
      <c r="RDH198" s="234"/>
      <c r="RDI198" s="234"/>
      <c r="RDJ198" s="234"/>
      <c r="RDK198" s="234"/>
      <c r="RDL198" s="234"/>
      <c r="RDM198" s="234"/>
      <c r="RDN198" s="234"/>
      <c r="RDO198" s="234"/>
      <c r="RDP198" s="234"/>
      <c r="RDQ198" s="234"/>
      <c r="RDR198" s="234"/>
      <c r="RDS198" s="234"/>
      <c r="RDT198" s="234"/>
      <c r="RDU198" s="234"/>
      <c r="RDV198" s="234"/>
      <c r="RDW198" s="234"/>
      <c r="RDX198" s="234"/>
      <c r="RDY198" s="234"/>
      <c r="RDZ198" s="234"/>
      <c r="REA198" s="234"/>
      <c r="REB198" s="234"/>
      <c r="REC198" s="234"/>
      <c r="RED198" s="234"/>
      <c r="REE198" s="234"/>
      <c r="REF198" s="234"/>
      <c r="REG198" s="234"/>
      <c r="REH198" s="234"/>
      <c r="REI198" s="234"/>
      <c r="REJ198" s="234"/>
      <c r="REK198" s="234"/>
      <c r="REL198" s="234"/>
      <c r="REM198" s="234"/>
      <c r="REN198" s="234"/>
      <c r="REO198" s="234"/>
      <c r="REP198" s="234"/>
      <c r="REQ198" s="234"/>
      <c r="RER198" s="234"/>
      <c r="RES198" s="234"/>
      <c r="RET198" s="234"/>
      <c r="REU198" s="234"/>
      <c r="REV198" s="234"/>
      <c r="REW198" s="234"/>
      <c r="REX198" s="234"/>
      <c r="REY198" s="234"/>
      <c r="REZ198" s="234"/>
      <c r="RFA198" s="234"/>
      <c r="RFB198" s="234"/>
      <c r="RFC198" s="234"/>
      <c r="RFD198" s="234"/>
      <c r="RFE198" s="234"/>
      <c r="RFF198" s="234"/>
      <c r="RFG198" s="234"/>
      <c r="RFH198" s="234"/>
      <c r="RFI198" s="234"/>
      <c r="RFJ198" s="234"/>
      <c r="RFK198" s="234"/>
      <c r="RFL198" s="234"/>
      <c r="RFM198" s="234"/>
      <c r="RFN198" s="234"/>
      <c r="RFO198" s="234"/>
      <c r="RFP198" s="234"/>
      <c r="RFQ198" s="234"/>
      <c r="RFR198" s="234"/>
      <c r="RFS198" s="234"/>
      <c r="RFT198" s="234"/>
      <c r="RFU198" s="234"/>
      <c r="RFV198" s="234"/>
      <c r="RFW198" s="234"/>
      <c r="RFX198" s="234"/>
      <c r="RFY198" s="234"/>
      <c r="RFZ198" s="234"/>
      <c r="RGA198" s="234"/>
      <c r="RGB198" s="234"/>
      <c r="RGC198" s="234"/>
      <c r="RGD198" s="234"/>
      <c r="RGE198" s="234"/>
      <c r="RGF198" s="234"/>
      <c r="RGG198" s="234"/>
      <c r="RGH198" s="234"/>
      <c r="RGI198" s="234"/>
      <c r="RGJ198" s="234"/>
      <c r="RGK198" s="234"/>
      <c r="RGL198" s="234"/>
      <c r="RGM198" s="234"/>
      <c r="RGN198" s="234"/>
      <c r="RGO198" s="234"/>
      <c r="RGP198" s="234"/>
      <c r="RGQ198" s="234"/>
      <c r="RGR198" s="234"/>
      <c r="RGS198" s="234"/>
      <c r="RGT198" s="234"/>
      <c r="RGU198" s="234"/>
      <c r="RGV198" s="234"/>
      <c r="RGW198" s="234"/>
      <c r="RGX198" s="234"/>
      <c r="RGY198" s="234"/>
      <c r="RGZ198" s="234"/>
      <c r="RHA198" s="234"/>
      <c r="RHB198" s="234"/>
      <c r="RHC198" s="234"/>
      <c r="RHD198" s="234"/>
      <c r="RHE198" s="234"/>
      <c r="RHF198" s="234"/>
      <c r="RHG198" s="234"/>
      <c r="RHH198" s="234"/>
      <c r="RHI198" s="234"/>
      <c r="RHJ198" s="234"/>
      <c r="RHK198" s="234"/>
      <c r="RHL198" s="234"/>
      <c r="RHM198" s="234"/>
      <c r="RHN198" s="234"/>
      <c r="RHO198" s="234"/>
      <c r="RHP198" s="234"/>
      <c r="RHQ198" s="234"/>
      <c r="RHR198" s="234"/>
      <c r="RHS198" s="234"/>
      <c r="RHT198" s="234"/>
      <c r="RHU198" s="234"/>
      <c r="RHV198" s="234"/>
      <c r="RHW198" s="234"/>
      <c r="RHX198" s="234"/>
      <c r="RHY198" s="234"/>
      <c r="RHZ198" s="234"/>
      <c r="RIA198" s="234"/>
      <c r="RIB198" s="234"/>
      <c r="RIC198" s="234"/>
      <c r="RID198" s="234"/>
      <c r="RIE198" s="234"/>
      <c r="RIF198" s="234"/>
      <c r="RIG198" s="234"/>
      <c r="RIH198" s="234"/>
      <c r="RII198" s="234"/>
      <c r="RIJ198" s="234"/>
      <c r="RIK198" s="234"/>
      <c r="RIL198" s="234"/>
      <c r="RIM198" s="234"/>
      <c r="RIN198" s="234"/>
      <c r="RIO198" s="234"/>
      <c r="RIP198" s="234"/>
      <c r="RIQ198" s="234"/>
      <c r="RIR198" s="234"/>
      <c r="RIS198" s="234"/>
      <c r="RIT198" s="234"/>
      <c r="RIU198" s="234"/>
      <c r="RIV198" s="234"/>
      <c r="RIW198" s="234"/>
      <c r="RIX198" s="234"/>
      <c r="RIY198" s="234"/>
      <c r="RIZ198" s="234"/>
      <c r="RJA198" s="234"/>
      <c r="RJB198" s="234"/>
      <c r="RJC198" s="234"/>
      <c r="RJD198" s="234"/>
      <c r="RJE198" s="234"/>
      <c r="RJF198" s="234"/>
      <c r="RJG198" s="234"/>
      <c r="RJH198" s="234"/>
      <c r="RJI198" s="234"/>
      <c r="RJJ198" s="234"/>
      <c r="RJK198" s="234"/>
      <c r="RJL198" s="234"/>
      <c r="RJM198" s="234"/>
      <c r="RJN198" s="234"/>
      <c r="RJO198" s="234"/>
      <c r="RJP198" s="234"/>
      <c r="RJQ198" s="234"/>
      <c r="RJR198" s="234"/>
      <c r="RJS198" s="234"/>
      <c r="RJT198" s="234"/>
      <c r="RJU198" s="234"/>
      <c r="RJV198" s="234"/>
      <c r="RJW198" s="234"/>
      <c r="RJX198" s="234"/>
      <c r="RJY198" s="234"/>
      <c r="RJZ198" s="234"/>
      <c r="RKA198" s="234"/>
      <c r="RKB198" s="234"/>
      <c r="RKC198" s="234"/>
      <c r="RKD198" s="234"/>
      <c r="RKE198" s="234"/>
      <c r="RKF198" s="234"/>
      <c r="RKG198" s="234"/>
      <c r="RKH198" s="234"/>
      <c r="RKI198" s="234"/>
      <c r="RKJ198" s="234"/>
      <c r="RKK198" s="234"/>
      <c r="RKL198" s="234"/>
      <c r="RKM198" s="234"/>
      <c r="RKN198" s="234"/>
      <c r="RKO198" s="234"/>
      <c r="RKP198" s="234"/>
      <c r="RKQ198" s="234"/>
      <c r="RKR198" s="234"/>
      <c r="RKS198" s="234"/>
      <c r="RKT198" s="234"/>
      <c r="RKU198" s="234"/>
      <c r="RKV198" s="234"/>
      <c r="RKW198" s="234"/>
      <c r="RKX198" s="234"/>
      <c r="RKY198" s="234"/>
      <c r="RKZ198" s="234"/>
      <c r="RLA198" s="234"/>
      <c r="RLB198" s="234"/>
      <c r="RLC198" s="234"/>
      <c r="RLD198" s="234"/>
      <c r="RLE198" s="234"/>
      <c r="RLF198" s="234"/>
      <c r="RLG198" s="234"/>
      <c r="RLH198" s="234"/>
      <c r="RLI198" s="234"/>
      <c r="RLJ198" s="234"/>
      <c r="RLK198" s="234"/>
      <c r="RLL198" s="234"/>
      <c r="RLM198" s="234"/>
      <c r="RLN198" s="234"/>
      <c r="RLO198" s="234"/>
      <c r="RLP198" s="234"/>
      <c r="RLQ198" s="234"/>
      <c r="RLR198" s="234"/>
      <c r="RLS198" s="234"/>
      <c r="RLT198" s="234"/>
      <c r="RLU198" s="234"/>
      <c r="RLV198" s="234"/>
      <c r="RLW198" s="234"/>
      <c r="RLX198" s="234"/>
      <c r="RLY198" s="234"/>
      <c r="RLZ198" s="234"/>
      <c r="RMA198" s="234"/>
      <c r="RMB198" s="234"/>
      <c r="RMC198" s="234"/>
      <c r="RMD198" s="234"/>
      <c r="RME198" s="234"/>
      <c r="RMF198" s="234"/>
      <c r="RMG198" s="234"/>
      <c r="RMH198" s="234"/>
      <c r="RMI198" s="234"/>
      <c r="RMJ198" s="234"/>
      <c r="RMK198" s="234"/>
      <c r="RML198" s="234"/>
      <c r="RMM198" s="234"/>
      <c r="RMN198" s="234"/>
      <c r="RMO198" s="234"/>
      <c r="RMP198" s="234"/>
      <c r="RMQ198" s="234"/>
      <c r="RMR198" s="234"/>
      <c r="RMS198" s="234"/>
      <c r="RMT198" s="234"/>
      <c r="RMU198" s="234"/>
      <c r="RMV198" s="234"/>
      <c r="RMW198" s="234"/>
      <c r="RMX198" s="234"/>
      <c r="RMY198" s="234"/>
      <c r="RMZ198" s="234"/>
      <c r="RNA198" s="234"/>
      <c r="RNB198" s="234"/>
      <c r="RNC198" s="234"/>
      <c r="RND198" s="234"/>
      <c r="RNE198" s="234"/>
      <c r="RNF198" s="234"/>
      <c r="RNG198" s="234"/>
      <c r="RNH198" s="234"/>
      <c r="RNI198" s="234"/>
      <c r="RNJ198" s="234"/>
      <c r="RNK198" s="234"/>
      <c r="RNL198" s="234"/>
      <c r="RNM198" s="234"/>
      <c r="RNN198" s="234"/>
      <c r="RNO198" s="234"/>
      <c r="RNP198" s="234"/>
      <c r="RNQ198" s="234"/>
      <c r="RNR198" s="234"/>
      <c r="RNS198" s="234"/>
      <c r="RNT198" s="234"/>
      <c r="RNU198" s="234"/>
      <c r="RNV198" s="234"/>
      <c r="RNW198" s="234"/>
      <c r="RNX198" s="234"/>
      <c r="RNY198" s="234"/>
      <c r="RNZ198" s="234"/>
      <c r="ROA198" s="234"/>
      <c r="ROB198" s="234"/>
      <c r="ROC198" s="234"/>
      <c r="ROD198" s="234"/>
      <c r="ROE198" s="234"/>
      <c r="ROF198" s="234"/>
      <c r="ROG198" s="234"/>
      <c r="ROH198" s="234"/>
      <c r="ROI198" s="234"/>
      <c r="ROJ198" s="234"/>
      <c r="ROK198" s="234"/>
      <c r="ROL198" s="234"/>
      <c r="ROM198" s="234"/>
      <c r="RON198" s="234"/>
      <c r="ROO198" s="234"/>
      <c r="ROP198" s="234"/>
      <c r="ROQ198" s="234"/>
      <c r="ROR198" s="234"/>
      <c r="ROS198" s="234"/>
      <c r="ROT198" s="234"/>
      <c r="ROU198" s="234"/>
      <c r="ROV198" s="234"/>
      <c r="ROW198" s="234"/>
      <c r="ROX198" s="234"/>
      <c r="ROY198" s="234"/>
      <c r="ROZ198" s="234"/>
      <c r="RPA198" s="234"/>
      <c r="RPB198" s="234"/>
      <c r="RPC198" s="234"/>
      <c r="RPD198" s="234"/>
      <c r="RPE198" s="234"/>
      <c r="RPF198" s="234"/>
      <c r="RPG198" s="234"/>
      <c r="RPH198" s="234"/>
      <c r="RPI198" s="234"/>
      <c r="RPJ198" s="234"/>
      <c r="RPK198" s="234"/>
      <c r="RPL198" s="234"/>
      <c r="RPM198" s="234"/>
      <c r="RPN198" s="234"/>
      <c r="RPO198" s="234"/>
      <c r="RPP198" s="234"/>
      <c r="RPQ198" s="234"/>
      <c r="RPR198" s="234"/>
      <c r="RPS198" s="234"/>
      <c r="RPT198" s="234"/>
      <c r="RPU198" s="234"/>
      <c r="RPV198" s="234"/>
      <c r="RPW198" s="234"/>
      <c r="RPX198" s="234"/>
      <c r="RPY198" s="234"/>
      <c r="RPZ198" s="234"/>
      <c r="RQA198" s="234"/>
      <c r="RQB198" s="234"/>
      <c r="RQC198" s="234"/>
      <c r="RQD198" s="234"/>
      <c r="RQE198" s="234"/>
      <c r="RQF198" s="234"/>
      <c r="RQG198" s="234"/>
      <c r="RQH198" s="234"/>
      <c r="RQI198" s="234"/>
      <c r="RQJ198" s="234"/>
      <c r="RQK198" s="234"/>
      <c r="RQL198" s="234"/>
      <c r="RQM198" s="234"/>
      <c r="RQN198" s="234"/>
      <c r="RQO198" s="234"/>
      <c r="RQP198" s="234"/>
      <c r="RQQ198" s="234"/>
      <c r="RQR198" s="234"/>
      <c r="RQS198" s="234"/>
      <c r="RQT198" s="234"/>
      <c r="RQU198" s="234"/>
      <c r="RQV198" s="234"/>
      <c r="RQW198" s="234"/>
      <c r="RQX198" s="234"/>
      <c r="RQY198" s="234"/>
      <c r="RQZ198" s="234"/>
      <c r="RRA198" s="234"/>
      <c r="RRB198" s="234"/>
      <c r="RRC198" s="234"/>
      <c r="RRD198" s="234"/>
      <c r="RRE198" s="234"/>
      <c r="RRF198" s="234"/>
      <c r="RRG198" s="234"/>
      <c r="RRH198" s="234"/>
      <c r="RRI198" s="234"/>
      <c r="RRJ198" s="234"/>
      <c r="RRK198" s="234"/>
      <c r="RRL198" s="234"/>
      <c r="RRM198" s="234"/>
      <c r="RRN198" s="234"/>
      <c r="RRO198" s="234"/>
      <c r="RRP198" s="234"/>
      <c r="RRQ198" s="234"/>
      <c r="RRR198" s="234"/>
      <c r="RRS198" s="234"/>
      <c r="RRT198" s="234"/>
      <c r="RRU198" s="234"/>
      <c r="RRV198" s="234"/>
      <c r="RRW198" s="234"/>
      <c r="RRX198" s="234"/>
      <c r="RRY198" s="234"/>
      <c r="RRZ198" s="234"/>
      <c r="RSA198" s="234"/>
      <c r="RSB198" s="234"/>
      <c r="RSC198" s="234"/>
      <c r="RSD198" s="234"/>
      <c r="RSE198" s="234"/>
      <c r="RSF198" s="234"/>
      <c r="RSG198" s="234"/>
      <c r="RSH198" s="234"/>
      <c r="RSI198" s="234"/>
      <c r="RSJ198" s="234"/>
      <c r="RSK198" s="234"/>
      <c r="RSL198" s="234"/>
      <c r="RSM198" s="234"/>
      <c r="RSN198" s="234"/>
      <c r="RSO198" s="234"/>
      <c r="RSP198" s="234"/>
      <c r="RSQ198" s="234"/>
      <c r="RSR198" s="234"/>
      <c r="RSS198" s="234"/>
      <c r="RST198" s="234"/>
      <c r="RSU198" s="234"/>
      <c r="RSV198" s="234"/>
      <c r="RSW198" s="234"/>
      <c r="RSX198" s="234"/>
      <c r="RSY198" s="234"/>
      <c r="RSZ198" s="234"/>
      <c r="RTA198" s="234"/>
      <c r="RTB198" s="234"/>
      <c r="RTC198" s="234"/>
      <c r="RTD198" s="234"/>
      <c r="RTE198" s="234"/>
      <c r="RTF198" s="234"/>
      <c r="RTG198" s="234"/>
      <c r="RTH198" s="234"/>
      <c r="RTI198" s="234"/>
      <c r="RTJ198" s="234"/>
      <c r="RTK198" s="234"/>
      <c r="RTL198" s="234"/>
      <c r="RTM198" s="234"/>
      <c r="RTN198" s="234"/>
      <c r="RTO198" s="234"/>
      <c r="RTP198" s="234"/>
      <c r="RTQ198" s="234"/>
      <c r="RTR198" s="234"/>
      <c r="RTS198" s="234"/>
      <c r="RTT198" s="234"/>
      <c r="RTU198" s="234"/>
      <c r="RTV198" s="234"/>
      <c r="RTW198" s="234"/>
      <c r="RTX198" s="234"/>
      <c r="RTY198" s="234"/>
      <c r="RTZ198" s="234"/>
      <c r="RUA198" s="234"/>
      <c r="RUB198" s="234"/>
      <c r="RUC198" s="234"/>
      <c r="RUD198" s="234"/>
      <c r="RUE198" s="234"/>
      <c r="RUF198" s="234"/>
      <c r="RUG198" s="234"/>
      <c r="RUH198" s="234"/>
      <c r="RUI198" s="234"/>
      <c r="RUJ198" s="234"/>
      <c r="RUK198" s="234"/>
      <c r="RUL198" s="234"/>
      <c r="RUM198" s="234"/>
      <c r="RUN198" s="234"/>
      <c r="RUO198" s="234"/>
      <c r="RUP198" s="234"/>
      <c r="RUQ198" s="234"/>
      <c r="RUR198" s="234"/>
      <c r="RUS198" s="234"/>
      <c r="RUT198" s="234"/>
      <c r="RUU198" s="234"/>
      <c r="RUV198" s="234"/>
      <c r="RUW198" s="234"/>
      <c r="RUX198" s="234"/>
      <c r="RUY198" s="234"/>
      <c r="RUZ198" s="234"/>
      <c r="RVA198" s="234"/>
      <c r="RVB198" s="234"/>
      <c r="RVC198" s="234"/>
      <c r="RVD198" s="234"/>
      <c r="RVE198" s="234"/>
      <c r="RVF198" s="234"/>
      <c r="RVG198" s="234"/>
      <c r="RVH198" s="234"/>
      <c r="RVI198" s="234"/>
      <c r="RVJ198" s="234"/>
      <c r="RVK198" s="234"/>
      <c r="RVL198" s="234"/>
      <c r="RVM198" s="234"/>
      <c r="RVN198" s="234"/>
      <c r="RVO198" s="234"/>
      <c r="RVP198" s="234"/>
      <c r="RVQ198" s="234"/>
      <c r="RVR198" s="234"/>
      <c r="RVS198" s="234"/>
      <c r="RVT198" s="234"/>
      <c r="RVU198" s="234"/>
      <c r="RVV198" s="234"/>
      <c r="RVW198" s="234"/>
      <c r="RVX198" s="234"/>
      <c r="RVY198" s="234"/>
      <c r="RVZ198" s="234"/>
      <c r="RWA198" s="234"/>
      <c r="RWB198" s="234"/>
      <c r="RWC198" s="234"/>
      <c r="RWD198" s="234"/>
      <c r="RWE198" s="234"/>
      <c r="RWF198" s="234"/>
      <c r="RWG198" s="234"/>
      <c r="RWH198" s="234"/>
      <c r="RWI198" s="234"/>
      <c r="RWJ198" s="234"/>
      <c r="RWK198" s="234"/>
      <c r="RWL198" s="234"/>
      <c r="RWM198" s="234"/>
      <c r="RWN198" s="234"/>
      <c r="RWO198" s="234"/>
      <c r="RWP198" s="234"/>
      <c r="RWQ198" s="234"/>
      <c r="RWR198" s="234"/>
      <c r="RWS198" s="234"/>
      <c r="RWT198" s="234"/>
      <c r="RWU198" s="234"/>
      <c r="RWV198" s="234"/>
      <c r="RWW198" s="234"/>
      <c r="RWX198" s="234"/>
      <c r="RWY198" s="234"/>
      <c r="RWZ198" s="234"/>
      <c r="RXA198" s="234"/>
      <c r="RXB198" s="234"/>
      <c r="RXC198" s="234"/>
      <c r="RXD198" s="234"/>
      <c r="RXE198" s="234"/>
      <c r="RXF198" s="234"/>
      <c r="RXG198" s="234"/>
      <c r="RXH198" s="234"/>
      <c r="RXI198" s="234"/>
      <c r="RXJ198" s="234"/>
      <c r="RXK198" s="234"/>
      <c r="RXL198" s="234"/>
      <c r="RXM198" s="234"/>
      <c r="RXN198" s="234"/>
      <c r="RXO198" s="234"/>
      <c r="RXP198" s="234"/>
      <c r="RXQ198" s="234"/>
      <c r="RXR198" s="234"/>
      <c r="RXS198" s="234"/>
      <c r="RXT198" s="234"/>
      <c r="RXU198" s="234"/>
      <c r="RXV198" s="234"/>
      <c r="RXW198" s="234"/>
      <c r="RXX198" s="234"/>
      <c r="RXY198" s="234"/>
      <c r="RXZ198" s="234"/>
      <c r="RYA198" s="234"/>
      <c r="RYB198" s="234"/>
      <c r="RYC198" s="234"/>
      <c r="RYD198" s="234"/>
      <c r="RYE198" s="234"/>
      <c r="RYF198" s="234"/>
      <c r="RYG198" s="234"/>
      <c r="RYH198" s="234"/>
      <c r="RYI198" s="234"/>
      <c r="RYJ198" s="234"/>
      <c r="RYK198" s="234"/>
      <c r="RYL198" s="234"/>
      <c r="RYM198" s="234"/>
      <c r="RYN198" s="234"/>
      <c r="RYO198" s="234"/>
      <c r="RYP198" s="234"/>
      <c r="RYQ198" s="234"/>
      <c r="RYR198" s="234"/>
      <c r="RYS198" s="234"/>
      <c r="RYT198" s="234"/>
      <c r="RYU198" s="234"/>
      <c r="RYV198" s="234"/>
      <c r="RYW198" s="234"/>
      <c r="RYX198" s="234"/>
      <c r="RYY198" s="234"/>
      <c r="RYZ198" s="234"/>
      <c r="RZA198" s="234"/>
      <c r="RZB198" s="234"/>
      <c r="RZC198" s="234"/>
      <c r="RZD198" s="234"/>
      <c r="RZE198" s="234"/>
      <c r="RZF198" s="234"/>
      <c r="RZG198" s="234"/>
      <c r="RZH198" s="234"/>
      <c r="RZI198" s="234"/>
      <c r="RZJ198" s="234"/>
      <c r="RZK198" s="234"/>
      <c r="RZL198" s="234"/>
      <c r="RZM198" s="234"/>
      <c r="RZN198" s="234"/>
      <c r="RZO198" s="234"/>
      <c r="RZP198" s="234"/>
      <c r="RZQ198" s="234"/>
      <c r="RZR198" s="234"/>
      <c r="RZS198" s="234"/>
      <c r="RZT198" s="234"/>
      <c r="RZU198" s="234"/>
      <c r="RZV198" s="234"/>
      <c r="RZW198" s="234"/>
      <c r="RZX198" s="234"/>
      <c r="RZY198" s="234"/>
      <c r="RZZ198" s="234"/>
      <c r="SAA198" s="234"/>
      <c r="SAB198" s="234"/>
      <c r="SAC198" s="234"/>
      <c r="SAD198" s="234"/>
      <c r="SAE198" s="234"/>
      <c r="SAF198" s="234"/>
      <c r="SAG198" s="234"/>
      <c r="SAH198" s="234"/>
      <c r="SAI198" s="234"/>
      <c r="SAJ198" s="234"/>
      <c r="SAK198" s="234"/>
      <c r="SAL198" s="234"/>
      <c r="SAM198" s="234"/>
      <c r="SAN198" s="234"/>
      <c r="SAO198" s="234"/>
      <c r="SAP198" s="234"/>
      <c r="SAQ198" s="234"/>
      <c r="SAR198" s="234"/>
      <c r="SAS198" s="234"/>
      <c r="SAT198" s="234"/>
      <c r="SAU198" s="234"/>
      <c r="SAV198" s="234"/>
      <c r="SAW198" s="234"/>
      <c r="SAX198" s="234"/>
      <c r="SAY198" s="234"/>
      <c r="SAZ198" s="234"/>
      <c r="SBA198" s="234"/>
      <c r="SBB198" s="234"/>
      <c r="SBC198" s="234"/>
      <c r="SBD198" s="234"/>
      <c r="SBE198" s="234"/>
      <c r="SBF198" s="234"/>
      <c r="SBG198" s="234"/>
      <c r="SBH198" s="234"/>
      <c r="SBI198" s="234"/>
      <c r="SBJ198" s="234"/>
      <c r="SBK198" s="234"/>
      <c r="SBL198" s="234"/>
      <c r="SBM198" s="234"/>
      <c r="SBN198" s="234"/>
      <c r="SBO198" s="234"/>
      <c r="SBP198" s="234"/>
      <c r="SBQ198" s="234"/>
      <c r="SBR198" s="234"/>
      <c r="SBS198" s="234"/>
      <c r="SBT198" s="234"/>
      <c r="SBU198" s="234"/>
      <c r="SBV198" s="234"/>
      <c r="SBW198" s="234"/>
      <c r="SBX198" s="234"/>
      <c r="SBY198" s="234"/>
      <c r="SBZ198" s="234"/>
      <c r="SCA198" s="234"/>
      <c r="SCB198" s="234"/>
      <c r="SCC198" s="234"/>
      <c r="SCD198" s="234"/>
      <c r="SCE198" s="234"/>
      <c r="SCF198" s="234"/>
      <c r="SCG198" s="234"/>
      <c r="SCH198" s="234"/>
      <c r="SCI198" s="234"/>
      <c r="SCJ198" s="234"/>
      <c r="SCK198" s="234"/>
      <c r="SCL198" s="234"/>
      <c r="SCM198" s="234"/>
      <c r="SCN198" s="234"/>
      <c r="SCO198" s="234"/>
      <c r="SCP198" s="234"/>
      <c r="SCQ198" s="234"/>
      <c r="SCR198" s="234"/>
      <c r="SCS198" s="234"/>
      <c r="SCT198" s="234"/>
      <c r="SCU198" s="234"/>
      <c r="SCV198" s="234"/>
      <c r="SCW198" s="234"/>
      <c r="SCX198" s="234"/>
      <c r="SCY198" s="234"/>
      <c r="SCZ198" s="234"/>
      <c r="SDA198" s="234"/>
      <c r="SDB198" s="234"/>
      <c r="SDC198" s="234"/>
      <c r="SDD198" s="234"/>
      <c r="SDE198" s="234"/>
      <c r="SDF198" s="234"/>
      <c r="SDG198" s="234"/>
      <c r="SDH198" s="234"/>
      <c r="SDI198" s="234"/>
      <c r="SDJ198" s="234"/>
      <c r="SDK198" s="234"/>
      <c r="SDL198" s="234"/>
      <c r="SDM198" s="234"/>
      <c r="SDN198" s="234"/>
      <c r="SDO198" s="234"/>
      <c r="SDP198" s="234"/>
      <c r="SDQ198" s="234"/>
      <c r="SDR198" s="234"/>
      <c r="SDS198" s="234"/>
      <c r="SDT198" s="234"/>
      <c r="SDU198" s="234"/>
      <c r="SDV198" s="234"/>
      <c r="SDW198" s="234"/>
      <c r="SDX198" s="234"/>
      <c r="SDY198" s="234"/>
      <c r="SDZ198" s="234"/>
      <c r="SEA198" s="234"/>
      <c r="SEB198" s="234"/>
      <c r="SEC198" s="234"/>
      <c r="SED198" s="234"/>
      <c r="SEE198" s="234"/>
      <c r="SEF198" s="234"/>
      <c r="SEG198" s="234"/>
      <c r="SEH198" s="234"/>
      <c r="SEI198" s="234"/>
      <c r="SEJ198" s="234"/>
      <c r="SEK198" s="234"/>
      <c r="SEL198" s="234"/>
      <c r="SEM198" s="234"/>
      <c r="SEN198" s="234"/>
      <c r="SEO198" s="234"/>
      <c r="SEP198" s="234"/>
      <c r="SEQ198" s="234"/>
      <c r="SER198" s="234"/>
      <c r="SES198" s="234"/>
      <c r="SET198" s="234"/>
      <c r="SEU198" s="234"/>
      <c r="SEV198" s="234"/>
      <c r="SEW198" s="234"/>
      <c r="SEX198" s="234"/>
      <c r="SEY198" s="234"/>
      <c r="SEZ198" s="234"/>
      <c r="SFA198" s="234"/>
      <c r="SFB198" s="234"/>
      <c r="SFC198" s="234"/>
      <c r="SFD198" s="234"/>
      <c r="SFE198" s="234"/>
      <c r="SFF198" s="234"/>
      <c r="SFG198" s="234"/>
      <c r="SFH198" s="234"/>
      <c r="SFI198" s="234"/>
      <c r="SFJ198" s="234"/>
      <c r="SFK198" s="234"/>
      <c r="SFL198" s="234"/>
      <c r="SFM198" s="234"/>
      <c r="SFN198" s="234"/>
      <c r="SFO198" s="234"/>
      <c r="SFP198" s="234"/>
      <c r="SFQ198" s="234"/>
      <c r="SFR198" s="234"/>
      <c r="SFS198" s="234"/>
      <c r="SFT198" s="234"/>
      <c r="SFU198" s="234"/>
      <c r="SFV198" s="234"/>
      <c r="SFW198" s="234"/>
      <c r="SFX198" s="234"/>
      <c r="SFY198" s="234"/>
      <c r="SFZ198" s="234"/>
      <c r="SGA198" s="234"/>
      <c r="SGB198" s="234"/>
      <c r="SGC198" s="234"/>
      <c r="SGD198" s="234"/>
      <c r="SGE198" s="234"/>
      <c r="SGF198" s="234"/>
      <c r="SGG198" s="234"/>
      <c r="SGH198" s="234"/>
      <c r="SGI198" s="234"/>
      <c r="SGJ198" s="234"/>
      <c r="SGK198" s="234"/>
      <c r="SGL198" s="234"/>
      <c r="SGM198" s="234"/>
      <c r="SGN198" s="234"/>
      <c r="SGO198" s="234"/>
      <c r="SGP198" s="234"/>
      <c r="SGQ198" s="234"/>
      <c r="SGR198" s="234"/>
      <c r="SGS198" s="234"/>
      <c r="SGT198" s="234"/>
      <c r="SGU198" s="234"/>
      <c r="SGV198" s="234"/>
      <c r="SGW198" s="234"/>
      <c r="SGX198" s="234"/>
      <c r="SGY198" s="234"/>
      <c r="SGZ198" s="234"/>
      <c r="SHA198" s="234"/>
      <c r="SHB198" s="234"/>
      <c r="SHC198" s="234"/>
      <c r="SHD198" s="234"/>
      <c r="SHE198" s="234"/>
      <c r="SHF198" s="234"/>
      <c r="SHG198" s="234"/>
      <c r="SHH198" s="234"/>
      <c r="SHI198" s="234"/>
      <c r="SHJ198" s="234"/>
      <c r="SHK198" s="234"/>
      <c r="SHL198" s="234"/>
      <c r="SHM198" s="234"/>
      <c r="SHN198" s="234"/>
      <c r="SHO198" s="234"/>
      <c r="SHP198" s="234"/>
      <c r="SHQ198" s="234"/>
      <c r="SHR198" s="234"/>
      <c r="SHS198" s="234"/>
      <c r="SHT198" s="234"/>
      <c r="SHU198" s="234"/>
      <c r="SHV198" s="234"/>
      <c r="SHW198" s="234"/>
      <c r="SHX198" s="234"/>
      <c r="SHY198" s="234"/>
      <c r="SHZ198" s="234"/>
      <c r="SIA198" s="234"/>
      <c r="SIB198" s="234"/>
      <c r="SIC198" s="234"/>
      <c r="SID198" s="234"/>
      <c r="SIE198" s="234"/>
      <c r="SIF198" s="234"/>
      <c r="SIG198" s="234"/>
      <c r="SIH198" s="234"/>
      <c r="SII198" s="234"/>
      <c r="SIJ198" s="234"/>
      <c r="SIK198" s="234"/>
      <c r="SIL198" s="234"/>
      <c r="SIM198" s="234"/>
      <c r="SIN198" s="234"/>
      <c r="SIO198" s="234"/>
      <c r="SIP198" s="234"/>
      <c r="SIQ198" s="234"/>
      <c r="SIR198" s="234"/>
      <c r="SIS198" s="234"/>
      <c r="SIT198" s="234"/>
      <c r="SIU198" s="234"/>
      <c r="SIV198" s="234"/>
      <c r="SIW198" s="234"/>
      <c r="SIX198" s="234"/>
      <c r="SIY198" s="234"/>
      <c r="SIZ198" s="234"/>
      <c r="SJA198" s="234"/>
      <c r="SJB198" s="234"/>
      <c r="SJC198" s="234"/>
      <c r="SJD198" s="234"/>
      <c r="SJE198" s="234"/>
      <c r="SJF198" s="234"/>
      <c r="SJG198" s="234"/>
      <c r="SJH198" s="234"/>
      <c r="SJI198" s="234"/>
      <c r="SJJ198" s="234"/>
      <c r="SJK198" s="234"/>
      <c r="SJL198" s="234"/>
      <c r="SJM198" s="234"/>
      <c r="SJN198" s="234"/>
      <c r="SJO198" s="234"/>
      <c r="SJP198" s="234"/>
      <c r="SJQ198" s="234"/>
      <c r="SJR198" s="234"/>
      <c r="SJS198" s="234"/>
      <c r="SJT198" s="234"/>
      <c r="SJU198" s="234"/>
      <c r="SJV198" s="234"/>
      <c r="SJW198" s="234"/>
      <c r="SJX198" s="234"/>
      <c r="SJY198" s="234"/>
      <c r="SJZ198" s="234"/>
      <c r="SKA198" s="234"/>
      <c r="SKB198" s="234"/>
      <c r="SKC198" s="234"/>
      <c r="SKD198" s="234"/>
      <c r="SKE198" s="234"/>
      <c r="SKF198" s="234"/>
      <c r="SKG198" s="234"/>
      <c r="SKH198" s="234"/>
      <c r="SKI198" s="234"/>
      <c r="SKJ198" s="234"/>
      <c r="SKK198" s="234"/>
      <c r="SKL198" s="234"/>
      <c r="SKM198" s="234"/>
      <c r="SKN198" s="234"/>
      <c r="SKO198" s="234"/>
      <c r="SKP198" s="234"/>
      <c r="SKQ198" s="234"/>
      <c r="SKR198" s="234"/>
      <c r="SKS198" s="234"/>
      <c r="SKT198" s="234"/>
      <c r="SKU198" s="234"/>
      <c r="SKV198" s="234"/>
      <c r="SKW198" s="234"/>
      <c r="SKX198" s="234"/>
      <c r="SKY198" s="234"/>
      <c r="SKZ198" s="234"/>
      <c r="SLA198" s="234"/>
      <c r="SLB198" s="234"/>
      <c r="SLC198" s="234"/>
      <c r="SLD198" s="234"/>
      <c r="SLE198" s="234"/>
      <c r="SLF198" s="234"/>
      <c r="SLG198" s="234"/>
      <c r="SLH198" s="234"/>
      <c r="SLI198" s="234"/>
      <c r="SLJ198" s="234"/>
      <c r="SLK198" s="234"/>
      <c r="SLL198" s="234"/>
      <c r="SLM198" s="234"/>
      <c r="SLN198" s="234"/>
      <c r="SLO198" s="234"/>
      <c r="SLP198" s="234"/>
      <c r="SLQ198" s="234"/>
      <c r="SLR198" s="234"/>
      <c r="SLS198" s="234"/>
      <c r="SLT198" s="234"/>
      <c r="SLU198" s="234"/>
      <c r="SLV198" s="234"/>
      <c r="SLW198" s="234"/>
      <c r="SLX198" s="234"/>
      <c r="SLY198" s="234"/>
      <c r="SLZ198" s="234"/>
      <c r="SMA198" s="234"/>
      <c r="SMB198" s="234"/>
      <c r="SMC198" s="234"/>
      <c r="SMD198" s="234"/>
      <c r="SME198" s="234"/>
      <c r="SMF198" s="234"/>
      <c r="SMG198" s="234"/>
      <c r="SMH198" s="234"/>
      <c r="SMI198" s="234"/>
      <c r="SMJ198" s="234"/>
      <c r="SMK198" s="234"/>
      <c r="SML198" s="234"/>
      <c r="SMM198" s="234"/>
      <c r="SMN198" s="234"/>
      <c r="SMO198" s="234"/>
      <c r="SMP198" s="234"/>
      <c r="SMQ198" s="234"/>
      <c r="SMR198" s="234"/>
      <c r="SMS198" s="234"/>
      <c r="SMT198" s="234"/>
      <c r="SMU198" s="234"/>
      <c r="SMV198" s="234"/>
      <c r="SMW198" s="234"/>
      <c r="SMX198" s="234"/>
      <c r="SMY198" s="234"/>
      <c r="SMZ198" s="234"/>
      <c r="SNA198" s="234"/>
      <c r="SNB198" s="234"/>
      <c r="SNC198" s="234"/>
      <c r="SND198" s="234"/>
      <c r="SNE198" s="234"/>
      <c r="SNF198" s="234"/>
      <c r="SNG198" s="234"/>
      <c r="SNH198" s="234"/>
      <c r="SNI198" s="234"/>
      <c r="SNJ198" s="234"/>
      <c r="SNK198" s="234"/>
      <c r="SNL198" s="234"/>
      <c r="SNM198" s="234"/>
      <c r="SNN198" s="234"/>
      <c r="SNO198" s="234"/>
      <c r="SNP198" s="234"/>
      <c r="SNQ198" s="234"/>
      <c r="SNR198" s="234"/>
      <c r="SNS198" s="234"/>
      <c r="SNT198" s="234"/>
      <c r="SNU198" s="234"/>
      <c r="SNV198" s="234"/>
      <c r="SNW198" s="234"/>
      <c r="SNX198" s="234"/>
      <c r="SNY198" s="234"/>
      <c r="SNZ198" s="234"/>
      <c r="SOA198" s="234"/>
      <c r="SOB198" s="234"/>
      <c r="SOC198" s="234"/>
      <c r="SOD198" s="234"/>
      <c r="SOE198" s="234"/>
      <c r="SOF198" s="234"/>
      <c r="SOG198" s="234"/>
      <c r="SOH198" s="234"/>
      <c r="SOI198" s="234"/>
      <c r="SOJ198" s="234"/>
      <c r="SOK198" s="234"/>
      <c r="SOL198" s="234"/>
      <c r="SOM198" s="234"/>
      <c r="SON198" s="234"/>
      <c r="SOO198" s="234"/>
      <c r="SOP198" s="234"/>
      <c r="SOQ198" s="234"/>
      <c r="SOR198" s="234"/>
      <c r="SOS198" s="234"/>
      <c r="SOT198" s="234"/>
      <c r="SOU198" s="234"/>
      <c r="SOV198" s="234"/>
      <c r="SOW198" s="234"/>
      <c r="SOX198" s="234"/>
      <c r="SOY198" s="234"/>
      <c r="SOZ198" s="234"/>
      <c r="SPA198" s="234"/>
      <c r="SPB198" s="234"/>
      <c r="SPC198" s="234"/>
      <c r="SPD198" s="234"/>
      <c r="SPE198" s="234"/>
      <c r="SPF198" s="234"/>
      <c r="SPG198" s="234"/>
      <c r="SPH198" s="234"/>
      <c r="SPI198" s="234"/>
      <c r="SPJ198" s="234"/>
      <c r="SPK198" s="234"/>
      <c r="SPL198" s="234"/>
      <c r="SPM198" s="234"/>
      <c r="SPN198" s="234"/>
      <c r="SPO198" s="234"/>
      <c r="SPP198" s="234"/>
      <c r="SPQ198" s="234"/>
      <c r="SPR198" s="234"/>
      <c r="SPS198" s="234"/>
      <c r="SPT198" s="234"/>
      <c r="SPU198" s="234"/>
      <c r="SPV198" s="234"/>
      <c r="SPW198" s="234"/>
      <c r="SPX198" s="234"/>
      <c r="SPY198" s="234"/>
      <c r="SPZ198" s="234"/>
      <c r="SQA198" s="234"/>
      <c r="SQB198" s="234"/>
      <c r="SQC198" s="234"/>
      <c r="SQD198" s="234"/>
      <c r="SQE198" s="234"/>
      <c r="SQF198" s="234"/>
      <c r="SQG198" s="234"/>
      <c r="SQH198" s="234"/>
      <c r="SQI198" s="234"/>
      <c r="SQJ198" s="234"/>
      <c r="SQK198" s="234"/>
      <c r="SQL198" s="234"/>
      <c r="SQM198" s="234"/>
      <c r="SQN198" s="234"/>
      <c r="SQO198" s="234"/>
      <c r="SQP198" s="234"/>
      <c r="SQQ198" s="234"/>
      <c r="SQR198" s="234"/>
      <c r="SQS198" s="234"/>
      <c r="SQT198" s="234"/>
      <c r="SQU198" s="234"/>
      <c r="SQV198" s="234"/>
      <c r="SQW198" s="234"/>
      <c r="SQX198" s="234"/>
      <c r="SQY198" s="234"/>
      <c r="SQZ198" s="234"/>
      <c r="SRA198" s="234"/>
      <c r="SRB198" s="234"/>
      <c r="SRC198" s="234"/>
      <c r="SRD198" s="234"/>
      <c r="SRE198" s="234"/>
      <c r="SRF198" s="234"/>
      <c r="SRG198" s="234"/>
      <c r="SRH198" s="234"/>
      <c r="SRI198" s="234"/>
      <c r="SRJ198" s="234"/>
      <c r="SRK198" s="234"/>
      <c r="SRL198" s="234"/>
      <c r="SRM198" s="234"/>
      <c r="SRN198" s="234"/>
      <c r="SRO198" s="234"/>
      <c r="SRP198" s="234"/>
      <c r="SRQ198" s="234"/>
      <c r="SRR198" s="234"/>
      <c r="SRS198" s="234"/>
      <c r="SRT198" s="234"/>
      <c r="SRU198" s="234"/>
      <c r="SRV198" s="234"/>
      <c r="SRW198" s="234"/>
      <c r="SRX198" s="234"/>
      <c r="SRY198" s="234"/>
      <c r="SRZ198" s="234"/>
      <c r="SSA198" s="234"/>
      <c r="SSB198" s="234"/>
      <c r="SSC198" s="234"/>
      <c r="SSD198" s="234"/>
      <c r="SSE198" s="234"/>
      <c r="SSF198" s="234"/>
      <c r="SSG198" s="234"/>
      <c r="SSH198" s="234"/>
      <c r="SSI198" s="234"/>
      <c r="SSJ198" s="234"/>
      <c r="SSK198" s="234"/>
      <c r="SSL198" s="234"/>
      <c r="SSM198" s="234"/>
      <c r="SSN198" s="234"/>
      <c r="SSO198" s="234"/>
      <c r="SSP198" s="234"/>
      <c r="SSQ198" s="234"/>
      <c r="SSR198" s="234"/>
      <c r="SSS198" s="234"/>
      <c r="SST198" s="234"/>
      <c r="SSU198" s="234"/>
      <c r="SSV198" s="234"/>
      <c r="SSW198" s="234"/>
      <c r="SSX198" s="234"/>
      <c r="SSY198" s="234"/>
      <c r="SSZ198" s="234"/>
      <c r="STA198" s="234"/>
      <c r="STB198" s="234"/>
      <c r="STC198" s="234"/>
      <c r="STD198" s="234"/>
      <c r="STE198" s="234"/>
      <c r="STF198" s="234"/>
      <c r="STG198" s="234"/>
      <c r="STH198" s="234"/>
      <c r="STI198" s="234"/>
      <c r="STJ198" s="234"/>
      <c r="STK198" s="234"/>
      <c r="STL198" s="234"/>
      <c r="STM198" s="234"/>
      <c r="STN198" s="234"/>
      <c r="STO198" s="234"/>
      <c r="STP198" s="234"/>
      <c r="STQ198" s="234"/>
      <c r="STR198" s="234"/>
      <c r="STS198" s="234"/>
      <c r="STT198" s="234"/>
      <c r="STU198" s="234"/>
      <c r="STV198" s="234"/>
      <c r="STW198" s="234"/>
      <c r="STX198" s="234"/>
      <c r="STY198" s="234"/>
      <c r="STZ198" s="234"/>
      <c r="SUA198" s="234"/>
      <c r="SUB198" s="234"/>
      <c r="SUC198" s="234"/>
      <c r="SUD198" s="234"/>
      <c r="SUE198" s="234"/>
      <c r="SUF198" s="234"/>
      <c r="SUG198" s="234"/>
      <c r="SUH198" s="234"/>
      <c r="SUI198" s="234"/>
      <c r="SUJ198" s="234"/>
      <c r="SUK198" s="234"/>
      <c r="SUL198" s="234"/>
      <c r="SUM198" s="234"/>
      <c r="SUN198" s="234"/>
      <c r="SUO198" s="234"/>
      <c r="SUP198" s="234"/>
      <c r="SUQ198" s="234"/>
      <c r="SUR198" s="234"/>
      <c r="SUS198" s="234"/>
      <c r="SUT198" s="234"/>
      <c r="SUU198" s="234"/>
      <c r="SUV198" s="234"/>
      <c r="SUW198" s="234"/>
      <c r="SUX198" s="234"/>
      <c r="SUY198" s="234"/>
      <c r="SUZ198" s="234"/>
      <c r="SVA198" s="234"/>
      <c r="SVB198" s="234"/>
      <c r="SVC198" s="234"/>
      <c r="SVD198" s="234"/>
      <c r="SVE198" s="234"/>
      <c r="SVF198" s="234"/>
      <c r="SVG198" s="234"/>
      <c r="SVH198" s="234"/>
      <c r="SVI198" s="234"/>
      <c r="SVJ198" s="234"/>
      <c r="SVK198" s="234"/>
      <c r="SVL198" s="234"/>
      <c r="SVM198" s="234"/>
      <c r="SVN198" s="234"/>
      <c r="SVO198" s="234"/>
      <c r="SVP198" s="234"/>
      <c r="SVQ198" s="234"/>
      <c r="SVR198" s="234"/>
      <c r="SVS198" s="234"/>
      <c r="SVT198" s="234"/>
      <c r="SVU198" s="234"/>
      <c r="SVV198" s="234"/>
      <c r="SVW198" s="234"/>
      <c r="SVX198" s="234"/>
      <c r="SVY198" s="234"/>
      <c r="SVZ198" s="234"/>
      <c r="SWA198" s="234"/>
      <c r="SWB198" s="234"/>
      <c r="SWC198" s="234"/>
      <c r="SWD198" s="234"/>
      <c r="SWE198" s="234"/>
      <c r="SWF198" s="234"/>
      <c r="SWG198" s="234"/>
      <c r="SWH198" s="234"/>
      <c r="SWI198" s="234"/>
      <c r="SWJ198" s="234"/>
      <c r="SWK198" s="234"/>
      <c r="SWL198" s="234"/>
      <c r="SWM198" s="234"/>
      <c r="SWN198" s="234"/>
      <c r="SWO198" s="234"/>
      <c r="SWP198" s="234"/>
      <c r="SWQ198" s="234"/>
      <c r="SWR198" s="234"/>
      <c r="SWS198" s="234"/>
      <c r="SWT198" s="234"/>
      <c r="SWU198" s="234"/>
      <c r="SWV198" s="234"/>
      <c r="SWW198" s="234"/>
      <c r="SWX198" s="234"/>
      <c r="SWY198" s="234"/>
      <c r="SWZ198" s="234"/>
      <c r="SXA198" s="234"/>
      <c r="SXB198" s="234"/>
      <c r="SXC198" s="234"/>
      <c r="SXD198" s="234"/>
      <c r="SXE198" s="234"/>
      <c r="SXF198" s="234"/>
      <c r="SXG198" s="234"/>
      <c r="SXH198" s="234"/>
      <c r="SXI198" s="234"/>
      <c r="SXJ198" s="234"/>
      <c r="SXK198" s="234"/>
      <c r="SXL198" s="234"/>
      <c r="SXM198" s="234"/>
      <c r="SXN198" s="234"/>
      <c r="SXO198" s="234"/>
      <c r="SXP198" s="234"/>
      <c r="SXQ198" s="234"/>
      <c r="SXR198" s="234"/>
      <c r="SXS198" s="234"/>
      <c r="SXT198" s="234"/>
      <c r="SXU198" s="234"/>
      <c r="SXV198" s="234"/>
      <c r="SXW198" s="234"/>
      <c r="SXX198" s="234"/>
      <c r="SXY198" s="234"/>
      <c r="SXZ198" s="234"/>
      <c r="SYA198" s="234"/>
      <c r="SYB198" s="234"/>
      <c r="SYC198" s="234"/>
      <c r="SYD198" s="234"/>
      <c r="SYE198" s="234"/>
      <c r="SYF198" s="234"/>
      <c r="SYG198" s="234"/>
      <c r="SYH198" s="234"/>
      <c r="SYI198" s="234"/>
      <c r="SYJ198" s="234"/>
      <c r="SYK198" s="234"/>
      <c r="SYL198" s="234"/>
      <c r="SYM198" s="234"/>
      <c r="SYN198" s="234"/>
      <c r="SYO198" s="234"/>
      <c r="SYP198" s="234"/>
      <c r="SYQ198" s="234"/>
      <c r="SYR198" s="234"/>
      <c r="SYS198" s="234"/>
      <c r="SYT198" s="234"/>
      <c r="SYU198" s="234"/>
      <c r="SYV198" s="234"/>
      <c r="SYW198" s="234"/>
      <c r="SYX198" s="234"/>
      <c r="SYY198" s="234"/>
      <c r="SYZ198" s="234"/>
      <c r="SZA198" s="234"/>
      <c r="SZB198" s="234"/>
      <c r="SZC198" s="234"/>
      <c r="SZD198" s="234"/>
      <c r="SZE198" s="234"/>
      <c r="SZF198" s="234"/>
      <c r="SZG198" s="234"/>
      <c r="SZH198" s="234"/>
      <c r="SZI198" s="234"/>
      <c r="SZJ198" s="234"/>
      <c r="SZK198" s="234"/>
      <c r="SZL198" s="234"/>
      <c r="SZM198" s="234"/>
      <c r="SZN198" s="234"/>
      <c r="SZO198" s="234"/>
      <c r="SZP198" s="234"/>
      <c r="SZQ198" s="234"/>
      <c r="SZR198" s="234"/>
      <c r="SZS198" s="234"/>
      <c r="SZT198" s="234"/>
      <c r="SZU198" s="234"/>
      <c r="SZV198" s="234"/>
      <c r="SZW198" s="234"/>
      <c r="SZX198" s="234"/>
      <c r="SZY198" s="234"/>
      <c r="SZZ198" s="234"/>
      <c r="TAA198" s="234"/>
      <c r="TAB198" s="234"/>
      <c r="TAC198" s="234"/>
      <c r="TAD198" s="234"/>
      <c r="TAE198" s="234"/>
      <c r="TAF198" s="234"/>
      <c r="TAG198" s="234"/>
      <c r="TAH198" s="234"/>
      <c r="TAI198" s="234"/>
      <c r="TAJ198" s="234"/>
      <c r="TAK198" s="234"/>
      <c r="TAL198" s="234"/>
      <c r="TAM198" s="234"/>
      <c r="TAN198" s="234"/>
      <c r="TAO198" s="234"/>
      <c r="TAP198" s="234"/>
      <c r="TAQ198" s="234"/>
      <c r="TAR198" s="234"/>
      <c r="TAS198" s="234"/>
      <c r="TAT198" s="234"/>
      <c r="TAU198" s="234"/>
      <c r="TAV198" s="234"/>
      <c r="TAW198" s="234"/>
      <c r="TAX198" s="234"/>
      <c r="TAY198" s="234"/>
      <c r="TAZ198" s="234"/>
      <c r="TBA198" s="234"/>
      <c r="TBB198" s="234"/>
      <c r="TBC198" s="234"/>
      <c r="TBD198" s="234"/>
      <c r="TBE198" s="234"/>
      <c r="TBF198" s="234"/>
      <c r="TBG198" s="234"/>
      <c r="TBH198" s="234"/>
      <c r="TBI198" s="234"/>
      <c r="TBJ198" s="234"/>
      <c r="TBK198" s="234"/>
      <c r="TBL198" s="234"/>
      <c r="TBM198" s="234"/>
      <c r="TBN198" s="234"/>
      <c r="TBO198" s="234"/>
      <c r="TBP198" s="234"/>
      <c r="TBQ198" s="234"/>
      <c r="TBR198" s="234"/>
      <c r="TBS198" s="234"/>
      <c r="TBT198" s="234"/>
      <c r="TBU198" s="234"/>
      <c r="TBV198" s="234"/>
      <c r="TBW198" s="234"/>
      <c r="TBX198" s="234"/>
      <c r="TBY198" s="234"/>
      <c r="TBZ198" s="234"/>
      <c r="TCA198" s="234"/>
      <c r="TCB198" s="234"/>
      <c r="TCC198" s="234"/>
      <c r="TCD198" s="234"/>
      <c r="TCE198" s="234"/>
      <c r="TCF198" s="234"/>
      <c r="TCG198" s="234"/>
      <c r="TCH198" s="234"/>
      <c r="TCI198" s="234"/>
      <c r="TCJ198" s="234"/>
      <c r="TCK198" s="234"/>
      <c r="TCL198" s="234"/>
      <c r="TCM198" s="234"/>
      <c r="TCN198" s="234"/>
      <c r="TCO198" s="234"/>
      <c r="TCP198" s="234"/>
      <c r="TCQ198" s="234"/>
      <c r="TCR198" s="234"/>
      <c r="TCS198" s="234"/>
      <c r="TCT198" s="234"/>
      <c r="TCU198" s="234"/>
      <c r="TCV198" s="234"/>
      <c r="TCW198" s="234"/>
      <c r="TCX198" s="234"/>
      <c r="TCY198" s="234"/>
      <c r="TCZ198" s="234"/>
      <c r="TDA198" s="234"/>
      <c r="TDB198" s="234"/>
      <c r="TDC198" s="234"/>
      <c r="TDD198" s="234"/>
      <c r="TDE198" s="234"/>
      <c r="TDF198" s="234"/>
      <c r="TDG198" s="234"/>
      <c r="TDH198" s="234"/>
      <c r="TDI198" s="234"/>
      <c r="TDJ198" s="234"/>
      <c r="TDK198" s="234"/>
      <c r="TDL198" s="234"/>
      <c r="TDM198" s="234"/>
      <c r="TDN198" s="234"/>
      <c r="TDO198" s="234"/>
      <c r="TDP198" s="234"/>
      <c r="TDQ198" s="234"/>
      <c r="TDR198" s="234"/>
      <c r="TDS198" s="234"/>
      <c r="TDT198" s="234"/>
      <c r="TDU198" s="234"/>
      <c r="TDV198" s="234"/>
      <c r="TDW198" s="234"/>
      <c r="TDX198" s="234"/>
      <c r="TDY198" s="234"/>
      <c r="TDZ198" s="234"/>
      <c r="TEA198" s="234"/>
      <c r="TEB198" s="234"/>
      <c r="TEC198" s="234"/>
      <c r="TED198" s="234"/>
      <c r="TEE198" s="234"/>
      <c r="TEF198" s="234"/>
      <c r="TEG198" s="234"/>
      <c r="TEH198" s="234"/>
      <c r="TEI198" s="234"/>
      <c r="TEJ198" s="234"/>
      <c r="TEK198" s="234"/>
      <c r="TEL198" s="234"/>
      <c r="TEM198" s="234"/>
      <c r="TEN198" s="234"/>
      <c r="TEO198" s="234"/>
      <c r="TEP198" s="234"/>
      <c r="TEQ198" s="234"/>
      <c r="TER198" s="234"/>
      <c r="TES198" s="234"/>
      <c r="TET198" s="234"/>
      <c r="TEU198" s="234"/>
      <c r="TEV198" s="234"/>
      <c r="TEW198" s="234"/>
      <c r="TEX198" s="234"/>
      <c r="TEY198" s="234"/>
      <c r="TEZ198" s="234"/>
      <c r="TFA198" s="234"/>
      <c r="TFB198" s="234"/>
      <c r="TFC198" s="234"/>
      <c r="TFD198" s="234"/>
      <c r="TFE198" s="234"/>
      <c r="TFF198" s="234"/>
      <c r="TFG198" s="234"/>
      <c r="TFH198" s="234"/>
      <c r="TFI198" s="234"/>
      <c r="TFJ198" s="234"/>
      <c r="TFK198" s="234"/>
      <c r="TFL198" s="234"/>
      <c r="TFM198" s="234"/>
      <c r="TFN198" s="234"/>
      <c r="TFO198" s="234"/>
      <c r="TFP198" s="234"/>
      <c r="TFQ198" s="234"/>
      <c r="TFR198" s="234"/>
      <c r="TFS198" s="234"/>
      <c r="TFT198" s="234"/>
      <c r="TFU198" s="234"/>
      <c r="TFV198" s="234"/>
      <c r="TFW198" s="234"/>
      <c r="TFX198" s="234"/>
      <c r="TFY198" s="234"/>
      <c r="TFZ198" s="234"/>
      <c r="TGA198" s="234"/>
      <c r="TGB198" s="234"/>
      <c r="TGC198" s="234"/>
      <c r="TGD198" s="234"/>
      <c r="TGE198" s="234"/>
      <c r="TGF198" s="234"/>
      <c r="TGG198" s="234"/>
      <c r="TGH198" s="234"/>
      <c r="TGI198" s="234"/>
      <c r="TGJ198" s="234"/>
      <c r="TGK198" s="234"/>
      <c r="TGL198" s="234"/>
      <c r="TGM198" s="234"/>
      <c r="TGN198" s="234"/>
      <c r="TGO198" s="234"/>
      <c r="TGP198" s="234"/>
      <c r="TGQ198" s="234"/>
      <c r="TGR198" s="234"/>
      <c r="TGS198" s="234"/>
      <c r="TGT198" s="234"/>
      <c r="TGU198" s="234"/>
      <c r="TGV198" s="234"/>
      <c r="TGW198" s="234"/>
      <c r="TGX198" s="234"/>
      <c r="TGY198" s="234"/>
      <c r="TGZ198" s="234"/>
      <c r="THA198" s="234"/>
      <c r="THB198" s="234"/>
      <c r="THC198" s="234"/>
      <c r="THD198" s="234"/>
      <c r="THE198" s="234"/>
      <c r="THF198" s="234"/>
      <c r="THG198" s="234"/>
      <c r="THH198" s="234"/>
      <c r="THI198" s="234"/>
      <c r="THJ198" s="234"/>
      <c r="THK198" s="234"/>
      <c r="THL198" s="234"/>
      <c r="THM198" s="234"/>
      <c r="THN198" s="234"/>
      <c r="THO198" s="234"/>
      <c r="THP198" s="234"/>
      <c r="THQ198" s="234"/>
      <c r="THR198" s="234"/>
      <c r="THS198" s="234"/>
      <c r="THT198" s="234"/>
      <c r="THU198" s="234"/>
      <c r="THV198" s="234"/>
      <c r="THW198" s="234"/>
      <c r="THX198" s="234"/>
      <c r="THY198" s="234"/>
      <c r="THZ198" s="234"/>
      <c r="TIA198" s="234"/>
      <c r="TIB198" s="234"/>
      <c r="TIC198" s="234"/>
      <c r="TID198" s="234"/>
      <c r="TIE198" s="234"/>
      <c r="TIF198" s="234"/>
      <c r="TIG198" s="234"/>
      <c r="TIH198" s="234"/>
      <c r="TII198" s="234"/>
      <c r="TIJ198" s="234"/>
      <c r="TIK198" s="234"/>
      <c r="TIL198" s="234"/>
      <c r="TIM198" s="234"/>
      <c r="TIN198" s="234"/>
      <c r="TIO198" s="234"/>
      <c r="TIP198" s="234"/>
      <c r="TIQ198" s="234"/>
      <c r="TIR198" s="234"/>
      <c r="TIS198" s="234"/>
      <c r="TIT198" s="234"/>
      <c r="TIU198" s="234"/>
      <c r="TIV198" s="234"/>
      <c r="TIW198" s="234"/>
      <c r="TIX198" s="234"/>
      <c r="TIY198" s="234"/>
      <c r="TIZ198" s="234"/>
      <c r="TJA198" s="234"/>
      <c r="TJB198" s="234"/>
      <c r="TJC198" s="234"/>
      <c r="TJD198" s="234"/>
      <c r="TJE198" s="234"/>
      <c r="TJF198" s="234"/>
      <c r="TJG198" s="234"/>
      <c r="TJH198" s="234"/>
      <c r="TJI198" s="234"/>
      <c r="TJJ198" s="234"/>
      <c r="TJK198" s="234"/>
      <c r="TJL198" s="234"/>
      <c r="TJM198" s="234"/>
      <c r="TJN198" s="234"/>
      <c r="TJO198" s="234"/>
      <c r="TJP198" s="234"/>
      <c r="TJQ198" s="234"/>
      <c r="TJR198" s="234"/>
      <c r="TJS198" s="234"/>
      <c r="TJT198" s="234"/>
      <c r="TJU198" s="234"/>
      <c r="TJV198" s="234"/>
      <c r="TJW198" s="234"/>
      <c r="TJX198" s="234"/>
      <c r="TJY198" s="234"/>
      <c r="TJZ198" s="234"/>
      <c r="TKA198" s="234"/>
      <c r="TKB198" s="234"/>
      <c r="TKC198" s="234"/>
      <c r="TKD198" s="234"/>
      <c r="TKE198" s="234"/>
      <c r="TKF198" s="234"/>
      <c r="TKG198" s="234"/>
      <c r="TKH198" s="234"/>
      <c r="TKI198" s="234"/>
      <c r="TKJ198" s="234"/>
      <c r="TKK198" s="234"/>
      <c r="TKL198" s="234"/>
      <c r="TKM198" s="234"/>
      <c r="TKN198" s="234"/>
      <c r="TKO198" s="234"/>
      <c r="TKP198" s="234"/>
      <c r="TKQ198" s="234"/>
      <c r="TKR198" s="234"/>
      <c r="TKS198" s="234"/>
      <c r="TKT198" s="234"/>
      <c r="TKU198" s="234"/>
      <c r="TKV198" s="234"/>
      <c r="TKW198" s="234"/>
      <c r="TKX198" s="234"/>
      <c r="TKY198" s="234"/>
      <c r="TKZ198" s="234"/>
      <c r="TLA198" s="234"/>
      <c r="TLB198" s="234"/>
      <c r="TLC198" s="234"/>
      <c r="TLD198" s="234"/>
      <c r="TLE198" s="234"/>
      <c r="TLF198" s="234"/>
      <c r="TLG198" s="234"/>
      <c r="TLH198" s="234"/>
      <c r="TLI198" s="234"/>
      <c r="TLJ198" s="234"/>
      <c r="TLK198" s="234"/>
      <c r="TLL198" s="234"/>
      <c r="TLM198" s="234"/>
      <c r="TLN198" s="234"/>
      <c r="TLO198" s="234"/>
      <c r="TLP198" s="234"/>
      <c r="TLQ198" s="234"/>
      <c r="TLR198" s="234"/>
      <c r="TLS198" s="234"/>
      <c r="TLT198" s="234"/>
      <c r="TLU198" s="234"/>
      <c r="TLV198" s="234"/>
      <c r="TLW198" s="234"/>
      <c r="TLX198" s="234"/>
      <c r="TLY198" s="234"/>
      <c r="TLZ198" s="234"/>
      <c r="TMA198" s="234"/>
      <c r="TMB198" s="234"/>
      <c r="TMC198" s="234"/>
      <c r="TMD198" s="234"/>
      <c r="TME198" s="234"/>
      <c r="TMF198" s="234"/>
      <c r="TMG198" s="234"/>
      <c r="TMH198" s="234"/>
      <c r="TMI198" s="234"/>
      <c r="TMJ198" s="234"/>
      <c r="TMK198" s="234"/>
      <c r="TML198" s="234"/>
      <c r="TMM198" s="234"/>
      <c r="TMN198" s="234"/>
      <c r="TMO198" s="234"/>
      <c r="TMP198" s="234"/>
      <c r="TMQ198" s="234"/>
      <c r="TMR198" s="234"/>
      <c r="TMS198" s="234"/>
      <c r="TMT198" s="234"/>
      <c r="TMU198" s="234"/>
      <c r="TMV198" s="234"/>
      <c r="TMW198" s="234"/>
      <c r="TMX198" s="234"/>
      <c r="TMY198" s="234"/>
      <c r="TMZ198" s="234"/>
      <c r="TNA198" s="234"/>
      <c r="TNB198" s="234"/>
      <c r="TNC198" s="234"/>
      <c r="TND198" s="234"/>
      <c r="TNE198" s="234"/>
      <c r="TNF198" s="234"/>
      <c r="TNG198" s="234"/>
      <c r="TNH198" s="234"/>
      <c r="TNI198" s="234"/>
      <c r="TNJ198" s="234"/>
      <c r="TNK198" s="234"/>
      <c r="TNL198" s="234"/>
      <c r="TNM198" s="234"/>
      <c r="TNN198" s="234"/>
      <c r="TNO198" s="234"/>
      <c r="TNP198" s="234"/>
      <c r="TNQ198" s="234"/>
      <c r="TNR198" s="234"/>
      <c r="TNS198" s="234"/>
      <c r="TNT198" s="234"/>
      <c r="TNU198" s="234"/>
      <c r="TNV198" s="234"/>
      <c r="TNW198" s="234"/>
      <c r="TNX198" s="234"/>
      <c r="TNY198" s="234"/>
      <c r="TNZ198" s="234"/>
      <c r="TOA198" s="234"/>
      <c r="TOB198" s="234"/>
      <c r="TOC198" s="234"/>
      <c r="TOD198" s="234"/>
      <c r="TOE198" s="234"/>
      <c r="TOF198" s="234"/>
      <c r="TOG198" s="234"/>
      <c r="TOH198" s="234"/>
      <c r="TOI198" s="234"/>
      <c r="TOJ198" s="234"/>
      <c r="TOK198" s="234"/>
      <c r="TOL198" s="234"/>
      <c r="TOM198" s="234"/>
      <c r="TON198" s="234"/>
      <c r="TOO198" s="234"/>
      <c r="TOP198" s="234"/>
      <c r="TOQ198" s="234"/>
      <c r="TOR198" s="234"/>
      <c r="TOS198" s="234"/>
      <c r="TOT198" s="234"/>
      <c r="TOU198" s="234"/>
      <c r="TOV198" s="234"/>
      <c r="TOW198" s="234"/>
      <c r="TOX198" s="234"/>
      <c r="TOY198" s="234"/>
      <c r="TOZ198" s="234"/>
      <c r="TPA198" s="234"/>
      <c r="TPB198" s="234"/>
      <c r="TPC198" s="234"/>
      <c r="TPD198" s="234"/>
      <c r="TPE198" s="234"/>
      <c r="TPF198" s="234"/>
      <c r="TPG198" s="234"/>
      <c r="TPH198" s="234"/>
      <c r="TPI198" s="234"/>
      <c r="TPJ198" s="234"/>
      <c r="TPK198" s="234"/>
      <c r="TPL198" s="234"/>
      <c r="TPM198" s="234"/>
      <c r="TPN198" s="234"/>
      <c r="TPO198" s="234"/>
      <c r="TPP198" s="234"/>
      <c r="TPQ198" s="234"/>
      <c r="TPR198" s="234"/>
      <c r="TPS198" s="234"/>
      <c r="TPT198" s="234"/>
      <c r="TPU198" s="234"/>
      <c r="TPV198" s="234"/>
      <c r="TPW198" s="234"/>
      <c r="TPX198" s="234"/>
      <c r="TPY198" s="234"/>
      <c r="TPZ198" s="234"/>
      <c r="TQA198" s="234"/>
      <c r="TQB198" s="234"/>
      <c r="TQC198" s="234"/>
      <c r="TQD198" s="234"/>
      <c r="TQE198" s="234"/>
      <c r="TQF198" s="234"/>
      <c r="TQG198" s="234"/>
      <c r="TQH198" s="234"/>
      <c r="TQI198" s="234"/>
      <c r="TQJ198" s="234"/>
      <c r="TQK198" s="234"/>
      <c r="TQL198" s="234"/>
      <c r="TQM198" s="234"/>
      <c r="TQN198" s="234"/>
      <c r="TQO198" s="234"/>
      <c r="TQP198" s="234"/>
      <c r="TQQ198" s="234"/>
      <c r="TQR198" s="234"/>
      <c r="TQS198" s="234"/>
      <c r="TQT198" s="234"/>
      <c r="TQU198" s="234"/>
      <c r="TQV198" s="234"/>
      <c r="TQW198" s="234"/>
      <c r="TQX198" s="234"/>
      <c r="TQY198" s="234"/>
      <c r="TQZ198" s="234"/>
      <c r="TRA198" s="234"/>
      <c r="TRB198" s="234"/>
      <c r="TRC198" s="234"/>
      <c r="TRD198" s="234"/>
      <c r="TRE198" s="234"/>
      <c r="TRF198" s="234"/>
      <c r="TRG198" s="234"/>
      <c r="TRH198" s="234"/>
      <c r="TRI198" s="234"/>
      <c r="TRJ198" s="234"/>
      <c r="TRK198" s="234"/>
      <c r="TRL198" s="234"/>
      <c r="TRM198" s="234"/>
      <c r="TRN198" s="234"/>
      <c r="TRO198" s="234"/>
      <c r="TRP198" s="234"/>
      <c r="TRQ198" s="234"/>
      <c r="TRR198" s="234"/>
      <c r="TRS198" s="234"/>
      <c r="TRT198" s="234"/>
      <c r="TRU198" s="234"/>
      <c r="TRV198" s="234"/>
      <c r="TRW198" s="234"/>
      <c r="TRX198" s="234"/>
      <c r="TRY198" s="234"/>
      <c r="TRZ198" s="234"/>
      <c r="TSA198" s="234"/>
      <c r="TSB198" s="234"/>
      <c r="TSC198" s="234"/>
      <c r="TSD198" s="234"/>
      <c r="TSE198" s="234"/>
      <c r="TSF198" s="234"/>
      <c r="TSG198" s="234"/>
      <c r="TSH198" s="234"/>
      <c r="TSI198" s="234"/>
      <c r="TSJ198" s="234"/>
      <c r="TSK198" s="234"/>
      <c r="TSL198" s="234"/>
      <c r="TSM198" s="234"/>
      <c r="TSN198" s="234"/>
      <c r="TSO198" s="234"/>
      <c r="TSP198" s="234"/>
      <c r="TSQ198" s="234"/>
      <c r="TSR198" s="234"/>
      <c r="TSS198" s="234"/>
      <c r="TST198" s="234"/>
      <c r="TSU198" s="234"/>
      <c r="TSV198" s="234"/>
      <c r="TSW198" s="234"/>
      <c r="TSX198" s="234"/>
      <c r="TSY198" s="234"/>
      <c r="TSZ198" s="234"/>
      <c r="TTA198" s="234"/>
      <c r="TTB198" s="234"/>
      <c r="TTC198" s="234"/>
      <c r="TTD198" s="234"/>
      <c r="TTE198" s="234"/>
      <c r="TTF198" s="234"/>
      <c r="TTG198" s="234"/>
      <c r="TTH198" s="234"/>
      <c r="TTI198" s="234"/>
      <c r="TTJ198" s="234"/>
      <c r="TTK198" s="234"/>
      <c r="TTL198" s="234"/>
      <c r="TTM198" s="234"/>
      <c r="TTN198" s="234"/>
      <c r="TTO198" s="234"/>
      <c r="TTP198" s="234"/>
      <c r="TTQ198" s="234"/>
      <c r="TTR198" s="234"/>
      <c r="TTS198" s="234"/>
      <c r="TTT198" s="234"/>
      <c r="TTU198" s="234"/>
      <c r="TTV198" s="234"/>
      <c r="TTW198" s="234"/>
      <c r="TTX198" s="234"/>
      <c r="TTY198" s="234"/>
      <c r="TTZ198" s="234"/>
      <c r="TUA198" s="234"/>
      <c r="TUB198" s="234"/>
      <c r="TUC198" s="234"/>
      <c r="TUD198" s="234"/>
      <c r="TUE198" s="234"/>
      <c r="TUF198" s="234"/>
      <c r="TUG198" s="234"/>
      <c r="TUH198" s="234"/>
      <c r="TUI198" s="234"/>
      <c r="TUJ198" s="234"/>
      <c r="TUK198" s="234"/>
      <c r="TUL198" s="234"/>
      <c r="TUM198" s="234"/>
      <c r="TUN198" s="234"/>
      <c r="TUO198" s="234"/>
      <c r="TUP198" s="234"/>
      <c r="TUQ198" s="234"/>
      <c r="TUR198" s="234"/>
      <c r="TUS198" s="234"/>
      <c r="TUT198" s="234"/>
      <c r="TUU198" s="234"/>
      <c r="TUV198" s="234"/>
      <c r="TUW198" s="234"/>
      <c r="TUX198" s="234"/>
      <c r="TUY198" s="234"/>
      <c r="TUZ198" s="234"/>
      <c r="TVA198" s="234"/>
      <c r="TVB198" s="234"/>
      <c r="TVC198" s="234"/>
      <c r="TVD198" s="234"/>
      <c r="TVE198" s="234"/>
      <c r="TVF198" s="234"/>
      <c r="TVG198" s="234"/>
      <c r="TVH198" s="234"/>
      <c r="TVI198" s="234"/>
      <c r="TVJ198" s="234"/>
      <c r="TVK198" s="234"/>
      <c r="TVL198" s="234"/>
      <c r="TVM198" s="234"/>
      <c r="TVN198" s="234"/>
      <c r="TVO198" s="234"/>
      <c r="TVP198" s="234"/>
      <c r="TVQ198" s="234"/>
      <c r="TVR198" s="234"/>
      <c r="TVS198" s="234"/>
      <c r="TVT198" s="234"/>
      <c r="TVU198" s="234"/>
      <c r="TVV198" s="234"/>
      <c r="TVW198" s="234"/>
      <c r="TVX198" s="234"/>
      <c r="TVY198" s="234"/>
      <c r="TVZ198" s="234"/>
      <c r="TWA198" s="234"/>
      <c r="TWB198" s="234"/>
      <c r="TWC198" s="234"/>
      <c r="TWD198" s="234"/>
      <c r="TWE198" s="234"/>
      <c r="TWF198" s="234"/>
      <c r="TWG198" s="234"/>
      <c r="TWH198" s="234"/>
      <c r="TWI198" s="234"/>
      <c r="TWJ198" s="234"/>
      <c r="TWK198" s="234"/>
      <c r="TWL198" s="234"/>
      <c r="TWM198" s="234"/>
      <c r="TWN198" s="234"/>
      <c r="TWO198" s="234"/>
      <c r="TWP198" s="234"/>
      <c r="TWQ198" s="234"/>
      <c r="TWR198" s="234"/>
      <c r="TWS198" s="234"/>
      <c r="TWT198" s="234"/>
      <c r="TWU198" s="234"/>
      <c r="TWV198" s="234"/>
      <c r="TWW198" s="234"/>
      <c r="TWX198" s="234"/>
      <c r="TWY198" s="234"/>
      <c r="TWZ198" s="234"/>
      <c r="TXA198" s="234"/>
      <c r="TXB198" s="234"/>
      <c r="TXC198" s="234"/>
      <c r="TXD198" s="234"/>
      <c r="TXE198" s="234"/>
      <c r="TXF198" s="234"/>
      <c r="TXG198" s="234"/>
      <c r="TXH198" s="234"/>
      <c r="TXI198" s="234"/>
      <c r="TXJ198" s="234"/>
      <c r="TXK198" s="234"/>
      <c r="TXL198" s="234"/>
      <c r="TXM198" s="234"/>
      <c r="TXN198" s="234"/>
      <c r="TXO198" s="234"/>
      <c r="TXP198" s="234"/>
      <c r="TXQ198" s="234"/>
      <c r="TXR198" s="234"/>
      <c r="TXS198" s="234"/>
      <c r="TXT198" s="234"/>
      <c r="TXU198" s="234"/>
      <c r="TXV198" s="234"/>
      <c r="TXW198" s="234"/>
      <c r="TXX198" s="234"/>
      <c r="TXY198" s="234"/>
      <c r="TXZ198" s="234"/>
      <c r="TYA198" s="234"/>
      <c r="TYB198" s="234"/>
      <c r="TYC198" s="234"/>
      <c r="TYD198" s="234"/>
      <c r="TYE198" s="234"/>
      <c r="TYF198" s="234"/>
      <c r="TYG198" s="234"/>
      <c r="TYH198" s="234"/>
      <c r="TYI198" s="234"/>
      <c r="TYJ198" s="234"/>
      <c r="TYK198" s="234"/>
      <c r="TYL198" s="234"/>
      <c r="TYM198" s="234"/>
      <c r="TYN198" s="234"/>
      <c r="TYO198" s="234"/>
      <c r="TYP198" s="234"/>
      <c r="TYQ198" s="234"/>
      <c r="TYR198" s="234"/>
      <c r="TYS198" s="234"/>
      <c r="TYT198" s="234"/>
      <c r="TYU198" s="234"/>
      <c r="TYV198" s="234"/>
      <c r="TYW198" s="234"/>
      <c r="TYX198" s="234"/>
      <c r="TYY198" s="234"/>
      <c r="TYZ198" s="234"/>
      <c r="TZA198" s="234"/>
      <c r="TZB198" s="234"/>
      <c r="TZC198" s="234"/>
      <c r="TZD198" s="234"/>
      <c r="TZE198" s="234"/>
      <c r="TZF198" s="234"/>
      <c r="TZG198" s="234"/>
      <c r="TZH198" s="234"/>
      <c r="TZI198" s="234"/>
      <c r="TZJ198" s="234"/>
      <c r="TZK198" s="234"/>
      <c r="TZL198" s="234"/>
      <c r="TZM198" s="234"/>
      <c r="TZN198" s="234"/>
      <c r="TZO198" s="234"/>
      <c r="TZP198" s="234"/>
      <c r="TZQ198" s="234"/>
      <c r="TZR198" s="234"/>
      <c r="TZS198" s="234"/>
      <c r="TZT198" s="234"/>
      <c r="TZU198" s="234"/>
      <c r="TZV198" s="234"/>
      <c r="TZW198" s="234"/>
      <c r="TZX198" s="234"/>
      <c r="TZY198" s="234"/>
      <c r="TZZ198" s="234"/>
      <c r="UAA198" s="234"/>
      <c r="UAB198" s="234"/>
      <c r="UAC198" s="234"/>
      <c r="UAD198" s="234"/>
      <c r="UAE198" s="234"/>
      <c r="UAF198" s="234"/>
      <c r="UAG198" s="234"/>
      <c r="UAH198" s="234"/>
      <c r="UAI198" s="234"/>
      <c r="UAJ198" s="234"/>
      <c r="UAK198" s="234"/>
      <c r="UAL198" s="234"/>
      <c r="UAM198" s="234"/>
      <c r="UAN198" s="234"/>
      <c r="UAO198" s="234"/>
      <c r="UAP198" s="234"/>
      <c r="UAQ198" s="234"/>
      <c r="UAR198" s="234"/>
      <c r="UAS198" s="234"/>
      <c r="UAT198" s="234"/>
      <c r="UAU198" s="234"/>
      <c r="UAV198" s="234"/>
      <c r="UAW198" s="234"/>
      <c r="UAX198" s="234"/>
      <c r="UAY198" s="234"/>
      <c r="UAZ198" s="234"/>
      <c r="UBA198" s="234"/>
      <c r="UBB198" s="234"/>
      <c r="UBC198" s="234"/>
      <c r="UBD198" s="234"/>
      <c r="UBE198" s="234"/>
      <c r="UBF198" s="234"/>
      <c r="UBG198" s="234"/>
      <c r="UBH198" s="234"/>
      <c r="UBI198" s="234"/>
      <c r="UBJ198" s="234"/>
      <c r="UBK198" s="234"/>
      <c r="UBL198" s="234"/>
      <c r="UBM198" s="234"/>
      <c r="UBN198" s="234"/>
      <c r="UBO198" s="234"/>
      <c r="UBP198" s="234"/>
      <c r="UBQ198" s="234"/>
      <c r="UBR198" s="234"/>
      <c r="UBS198" s="234"/>
      <c r="UBT198" s="234"/>
      <c r="UBU198" s="234"/>
      <c r="UBV198" s="234"/>
      <c r="UBW198" s="234"/>
      <c r="UBX198" s="234"/>
      <c r="UBY198" s="234"/>
      <c r="UBZ198" s="234"/>
      <c r="UCA198" s="234"/>
      <c r="UCB198" s="234"/>
      <c r="UCC198" s="234"/>
      <c r="UCD198" s="234"/>
      <c r="UCE198" s="234"/>
      <c r="UCF198" s="234"/>
      <c r="UCG198" s="234"/>
      <c r="UCH198" s="234"/>
      <c r="UCI198" s="234"/>
      <c r="UCJ198" s="234"/>
      <c r="UCK198" s="234"/>
      <c r="UCL198" s="234"/>
      <c r="UCM198" s="234"/>
      <c r="UCN198" s="234"/>
      <c r="UCO198" s="234"/>
      <c r="UCP198" s="234"/>
      <c r="UCQ198" s="234"/>
      <c r="UCR198" s="234"/>
      <c r="UCS198" s="234"/>
      <c r="UCT198" s="234"/>
      <c r="UCU198" s="234"/>
      <c r="UCV198" s="234"/>
      <c r="UCW198" s="234"/>
      <c r="UCX198" s="234"/>
      <c r="UCY198" s="234"/>
      <c r="UCZ198" s="234"/>
      <c r="UDA198" s="234"/>
      <c r="UDB198" s="234"/>
      <c r="UDC198" s="234"/>
      <c r="UDD198" s="234"/>
      <c r="UDE198" s="234"/>
      <c r="UDF198" s="234"/>
      <c r="UDG198" s="234"/>
      <c r="UDH198" s="234"/>
      <c r="UDI198" s="234"/>
      <c r="UDJ198" s="234"/>
      <c r="UDK198" s="234"/>
      <c r="UDL198" s="234"/>
      <c r="UDM198" s="234"/>
      <c r="UDN198" s="234"/>
      <c r="UDO198" s="234"/>
      <c r="UDP198" s="234"/>
      <c r="UDQ198" s="234"/>
      <c r="UDR198" s="234"/>
      <c r="UDS198" s="234"/>
      <c r="UDT198" s="234"/>
      <c r="UDU198" s="234"/>
      <c r="UDV198" s="234"/>
      <c r="UDW198" s="234"/>
      <c r="UDX198" s="234"/>
      <c r="UDY198" s="234"/>
      <c r="UDZ198" s="234"/>
      <c r="UEA198" s="234"/>
      <c r="UEB198" s="234"/>
      <c r="UEC198" s="234"/>
      <c r="UED198" s="234"/>
      <c r="UEE198" s="234"/>
      <c r="UEF198" s="234"/>
      <c r="UEG198" s="234"/>
      <c r="UEH198" s="234"/>
      <c r="UEI198" s="234"/>
      <c r="UEJ198" s="234"/>
      <c r="UEK198" s="234"/>
      <c r="UEL198" s="234"/>
      <c r="UEM198" s="234"/>
      <c r="UEN198" s="234"/>
      <c r="UEO198" s="234"/>
      <c r="UEP198" s="234"/>
      <c r="UEQ198" s="234"/>
      <c r="UER198" s="234"/>
      <c r="UES198" s="234"/>
      <c r="UET198" s="234"/>
      <c r="UEU198" s="234"/>
      <c r="UEV198" s="234"/>
      <c r="UEW198" s="234"/>
      <c r="UEX198" s="234"/>
      <c r="UEY198" s="234"/>
      <c r="UEZ198" s="234"/>
      <c r="UFA198" s="234"/>
      <c r="UFB198" s="234"/>
      <c r="UFC198" s="234"/>
      <c r="UFD198" s="234"/>
      <c r="UFE198" s="234"/>
      <c r="UFF198" s="234"/>
      <c r="UFG198" s="234"/>
      <c r="UFH198" s="234"/>
      <c r="UFI198" s="234"/>
      <c r="UFJ198" s="234"/>
      <c r="UFK198" s="234"/>
      <c r="UFL198" s="234"/>
      <c r="UFM198" s="234"/>
      <c r="UFN198" s="234"/>
      <c r="UFO198" s="234"/>
      <c r="UFP198" s="234"/>
      <c r="UFQ198" s="234"/>
      <c r="UFR198" s="234"/>
      <c r="UFS198" s="234"/>
      <c r="UFT198" s="234"/>
      <c r="UFU198" s="234"/>
      <c r="UFV198" s="234"/>
      <c r="UFW198" s="234"/>
      <c r="UFX198" s="234"/>
      <c r="UFY198" s="234"/>
      <c r="UFZ198" s="234"/>
      <c r="UGA198" s="234"/>
      <c r="UGB198" s="234"/>
      <c r="UGC198" s="234"/>
      <c r="UGD198" s="234"/>
      <c r="UGE198" s="234"/>
      <c r="UGF198" s="234"/>
      <c r="UGG198" s="234"/>
      <c r="UGH198" s="234"/>
      <c r="UGI198" s="234"/>
      <c r="UGJ198" s="234"/>
      <c r="UGK198" s="234"/>
      <c r="UGL198" s="234"/>
      <c r="UGM198" s="234"/>
      <c r="UGN198" s="234"/>
      <c r="UGO198" s="234"/>
      <c r="UGP198" s="234"/>
      <c r="UGQ198" s="234"/>
      <c r="UGR198" s="234"/>
      <c r="UGS198" s="234"/>
      <c r="UGT198" s="234"/>
      <c r="UGU198" s="234"/>
      <c r="UGV198" s="234"/>
      <c r="UGW198" s="234"/>
      <c r="UGX198" s="234"/>
      <c r="UGY198" s="234"/>
      <c r="UGZ198" s="234"/>
      <c r="UHA198" s="234"/>
      <c r="UHB198" s="234"/>
      <c r="UHC198" s="234"/>
      <c r="UHD198" s="234"/>
      <c r="UHE198" s="234"/>
      <c r="UHF198" s="234"/>
      <c r="UHG198" s="234"/>
      <c r="UHH198" s="234"/>
      <c r="UHI198" s="234"/>
      <c r="UHJ198" s="234"/>
      <c r="UHK198" s="234"/>
      <c r="UHL198" s="234"/>
      <c r="UHM198" s="234"/>
      <c r="UHN198" s="234"/>
      <c r="UHO198" s="234"/>
      <c r="UHP198" s="234"/>
      <c r="UHQ198" s="234"/>
      <c r="UHR198" s="234"/>
      <c r="UHS198" s="234"/>
      <c r="UHT198" s="234"/>
      <c r="UHU198" s="234"/>
      <c r="UHV198" s="234"/>
      <c r="UHW198" s="234"/>
      <c r="UHX198" s="234"/>
      <c r="UHY198" s="234"/>
      <c r="UHZ198" s="234"/>
      <c r="UIA198" s="234"/>
      <c r="UIB198" s="234"/>
      <c r="UIC198" s="234"/>
      <c r="UID198" s="234"/>
      <c r="UIE198" s="234"/>
      <c r="UIF198" s="234"/>
      <c r="UIG198" s="234"/>
      <c r="UIH198" s="234"/>
      <c r="UII198" s="234"/>
      <c r="UIJ198" s="234"/>
      <c r="UIK198" s="234"/>
      <c r="UIL198" s="234"/>
      <c r="UIM198" s="234"/>
      <c r="UIN198" s="234"/>
      <c r="UIO198" s="234"/>
      <c r="UIP198" s="234"/>
      <c r="UIQ198" s="234"/>
      <c r="UIR198" s="234"/>
      <c r="UIS198" s="234"/>
      <c r="UIT198" s="234"/>
      <c r="UIU198" s="234"/>
      <c r="UIV198" s="234"/>
      <c r="UIW198" s="234"/>
      <c r="UIX198" s="234"/>
      <c r="UIY198" s="234"/>
      <c r="UIZ198" s="234"/>
      <c r="UJA198" s="234"/>
      <c r="UJB198" s="234"/>
      <c r="UJC198" s="234"/>
      <c r="UJD198" s="234"/>
      <c r="UJE198" s="234"/>
      <c r="UJF198" s="234"/>
      <c r="UJG198" s="234"/>
      <c r="UJH198" s="234"/>
      <c r="UJI198" s="234"/>
      <c r="UJJ198" s="234"/>
      <c r="UJK198" s="234"/>
      <c r="UJL198" s="234"/>
      <c r="UJM198" s="234"/>
      <c r="UJN198" s="234"/>
      <c r="UJO198" s="234"/>
      <c r="UJP198" s="234"/>
      <c r="UJQ198" s="234"/>
      <c r="UJR198" s="234"/>
      <c r="UJS198" s="234"/>
      <c r="UJT198" s="234"/>
      <c r="UJU198" s="234"/>
      <c r="UJV198" s="234"/>
      <c r="UJW198" s="234"/>
      <c r="UJX198" s="234"/>
      <c r="UJY198" s="234"/>
      <c r="UJZ198" s="234"/>
      <c r="UKA198" s="234"/>
      <c r="UKB198" s="234"/>
      <c r="UKC198" s="234"/>
      <c r="UKD198" s="234"/>
      <c r="UKE198" s="234"/>
      <c r="UKF198" s="234"/>
      <c r="UKG198" s="234"/>
      <c r="UKH198" s="234"/>
      <c r="UKI198" s="234"/>
      <c r="UKJ198" s="234"/>
      <c r="UKK198" s="234"/>
      <c r="UKL198" s="234"/>
      <c r="UKM198" s="234"/>
      <c r="UKN198" s="234"/>
      <c r="UKO198" s="234"/>
      <c r="UKP198" s="234"/>
      <c r="UKQ198" s="234"/>
      <c r="UKR198" s="234"/>
      <c r="UKS198" s="234"/>
      <c r="UKT198" s="234"/>
      <c r="UKU198" s="234"/>
      <c r="UKV198" s="234"/>
      <c r="UKW198" s="234"/>
      <c r="UKX198" s="234"/>
      <c r="UKY198" s="234"/>
      <c r="UKZ198" s="234"/>
      <c r="ULA198" s="234"/>
      <c r="ULB198" s="234"/>
      <c r="ULC198" s="234"/>
      <c r="ULD198" s="234"/>
      <c r="ULE198" s="234"/>
      <c r="ULF198" s="234"/>
      <c r="ULG198" s="234"/>
      <c r="ULH198" s="234"/>
      <c r="ULI198" s="234"/>
      <c r="ULJ198" s="234"/>
      <c r="ULK198" s="234"/>
      <c r="ULL198" s="234"/>
      <c r="ULM198" s="234"/>
      <c r="ULN198" s="234"/>
      <c r="ULO198" s="234"/>
      <c r="ULP198" s="234"/>
      <c r="ULQ198" s="234"/>
      <c r="ULR198" s="234"/>
      <c r="ULS198" s="234"/>
      <c r="ULT198" s="234"/>
      <c r="ULU198" s="234"/>
      <c r="ULV198" s="234"/>
      <c r="ULW198" s="234"/>
      <c r="ULX198" s="234"/>
      <c r="ULY198" s="234"/>
      <c r="ULZ198" s="234"/>
      <c r="UMA198" s="234"/>
      <c r="UMB198" s="234"/>
      <c r="UMC198" s="234"/>
      <c r="UMD198" s="234"/>
      <c r="UME198" s="234"/>
      <c r="UMF198" s="234"/>
      <c r="UMG198" s="234"/>
      <c r="UMH198" s="234"/>
      <c r="UMI198" s="234"/>
      <c r="UMJ198" s="234"/>
      <c r="UMK198" s="234"/>
      <c r="UML198" s="234"/>
      <c r="UMM198" s="234"/>
      <c r="UMN198" s="234"/>
      <c r="UMO198" s="234"/>
      <c r="UMP198" s="234"/>
      <c r="UMQ198" s="234"/>
      <c r="UMR198" s="234"/>
      <c r="UMS198" s="234"/>
      <c r="UMT198" s="234"/>
      <c r="UMU198" s="234"/>
      <c r="UMV198" s="234"/>
      <c r="UMW198" s="234"/>
      <c r="UMX198" s="234"/>
      <c r="UMY198" s="234"/>
      <c r="UMZ198" s="234"/>
      <c r="UNA198" s="234"/>
      <c r="UNB198" s="234"/>
      <c r="UNC198" s="234"/>
      <c r="UND198" s="234"/>
      <c r="UNE198" s="234"/>
      <c r="UNF198" s="234"/>
      <c r="UNG198" s="234"/>
      <c r="UNH198" s="234"/>
      <c r="UNI198" s="234"/>
      <c r="UNJ198" s="234"/>
      <c r="UNK198" s="234"/>
      <c r="UNL198" s="234"/>
      <c r="UNM198" s="234"/>
      <c r="UNN198" s="234"/>
      <c r="UNO198" s="234"/>
      <c r="UNP198" s="234"/>
      <c r="UNQ198" s="234"/>
      <c r="UNR198" s="234"/>
      <c r="UNS198" s="234"/>
      <c r="UNT198" s="234"/>
      <c r="UNU198" s="234"/>
      <c r="UNV198" s="234"/>
      <c r="UNW198" s="234"/>
      <c r="UNX198" s="234"/>
      <c r="UNY198" s="234"/>
      <c r="UNZ198" s="234"/>
      <c r="UOA198" s="234"/>
      <c r="UOB198" s="234"/>
      <c r="UOC198" s="234"/>
      <c r="UOD198" s="234"/>
      <c r="UOE198" s="234"/>
      <c r="UOF198" s="234"/>
      <c r="UOG198" s="234"/>
      <c r="UOH198" s="234"/>
      <c r="UOI198" s="234"/>
      <c r="UOJ198" s="234"/>
      <c r="UOK198" s="234"/>
      <c r="UOL198" s="234"/>
      <c r="UOM198" s="234"/>
      <c r="UON198" s="234"/>
      <c r="UOO198" s="234"/>
      <c r="UOP198" s="234"/>
      <c r="UOQ198" s="234"/>
      <c r="UOR198" s="234"/>
      <c r="UOS198" s="234"/>
      <c r="UOT198" s="234"/>
      <c r="UOU198" s="234"/>
      <c r="UOV198" s="234"/>
      <c r="UOW198" s="234"/>
      <c r="UOX198" s="234"/>
      <c r="UOY198" s="234"/>
      <c r="UOZ198" s="234"/>
      <c r="UPA198" s="234"/>
      <c r="UPB198" s="234"/>
      <c r="UPC198" s="234"/>
      <c r="UPD198" s="234"/>
      <c r="UPE198" s="234"/>
      <c r="UPF198" s="234"/>
      <c r="UPG198" s="234"/>
      <c r="UPH198" s="234"/>
      <c r="UPI198" s="234"/>
      <c r="UPJ198" s="234"/>
      <c r="UPK198" s="234"/>
      <c r="UPL198" s="234"/>
      <c r="UPM198" s="234"/>
      <c r="UPN198" s="234"/>
      <c r="UPO198" s="234"/>
      <c r="UPP198" s="234"/>
      <c r="UPQ198" s="234"/>
      <c r="UPR198" s="234"/>
      <c r="UPS198" s="234"/>
      <c r="UPT198" s="234"/>
      <c r="UPU198" s="234"/>
      <c r="UPV198" s="234"/>
      <c r="UPW198" s="234"/>
      <c r="UPX198" s="234"/>
      <c r="UPY198" s="234"/>
      <c r="UPZ198" s="234"/>
      <c r="UQA198" s="234"/>
      <c r="UQB198" s="234"/>
      <c r="UQC198" s="234"/>
      <c r="UQD198" s="234"/>
      <c r="UQE198" s="234"/>
      <c r="UQF198" s="234"/>
      <c r="UQG198" s="234"/>
      <c r="UQH198" s="234"/>
      <c r="UQI198" s="234"/>
      <c r="UQJ198" s="234"/>
      <c r="UQK198" s="234"/>
      <c r="UQL198" s="234"/>
      <c r="UQM198" s="234"/>
      <c r="UQN198" s="234"/>
      <c r="UQO198" s="234"/>
      <c r="UQP198" s="234"/>
      <c r="UQQ198" s="234"/>
      <c r="UQR198" s="234"/>
      <c r="UQS198" s="234"/>
      <c r="UQT198" s="234"/>
      <c r="UQU198" s="234"/>
      <c r="UQV198" s="234"/>
      <c r="UQW198" s="234"/>
      <c r="UQX198" s="234"/>
      <c r="UQY198" s="234"/>
      <c r="UQZ198" s="234"/>
      <c r="URA198" s="234"/>
      <c r="URB198" s="234"/>
      <c r="URC198" s="234"/>
      <c r="URD198" s="234"/>
      <c r="URE198" s="234"/>
      <c r="URF198" s="234"/>
      <c r="URG198" s="234"/>
      <c r="URH198" s="234"/>
      <c r="URI198" s="234"/>
      <c r="URJ198" s="234"/>
      <c r="URK198" s="234"/>
      <c r="URL198" s="234"/>
      <c r="URM198" s="234"/>
      <c r="URN198" s="234"/>
      <c r="URO198" s="234"/>
      <c r="URP198" s="234"/>
      <c r="URQ198" s="234"/>
      <c r="URR198" s="234"/>
      <c r="URS198" s="234"/>
      <c r="URT198" s="234"/>
      <c r="URU198" s="234"/>
      <c r="URV198" s="234"/>
      <c r="URW198" s="234"/>
      <c r="URX198" s="234"/>
      <c r="URY198" s="234"/>
      <c r="URZ198" s="234"/>
      <c r="USA198" s="234"/>
      <c r="USB198" s="234"/>
      <c r="USC198" s="234"/>
      <c r="USD198" s="234"/>
      <c r="USE198" s="234"/>
      <c r="USF198" s="234"/>
      <c r="USG198" s="234"/>
      <c r="USH198" s="234"/>
      <c r="USI198" s="234"/>
      <c r="USJ198" s="234"/>
      <c r="USK198" s="234"/>
      <c r="USL198" s="234"/>
      <c r="USM198" s="234"/>
      <c r="USN198" s="234"/>
      <c r="USO198" s="234"/>
      <c r="USP198" s="234"/>
      <c r="USQ198" s="234"/>
      <c r="USR198" s="234"/>
      <c r="USS198" s="234"/>
      <c r="UST198" s="234"/>
      <c r="USU198" s="234"/>
      <c r="USV198" s="234"/>
      <c r="USW198" s="234"/>
      <c r="USX198" s="234"/>
      <c r="USY198" s="234"/>
      <c r="USZ198" s="234"/>
      <c r="UTA198" s="234"/>
      <c r="UTB198" s="234"/>
      <c r="UTC198" s="234"/>
      <c r="UTD198" s="234"/>
      <c r="UTE198" s="234"/>
      <c r="UTF198" s="234"/>
      <c r="UTG198" s="234"/>
      <c r="UTH198" s="234"/>
      <c r="UTI198" s="234"/>
      <c r="UTJ198" s="234"/>
      <c r="UTK198" s="234"/>
      <c r="UTL198" s="234"/>
      <c r="UTM198" s="234"/>
      <c r="UTN198" s="234"/>
      <c r="UTO198" s="234"/>
      <c r="UTP198" s="234"/>
      <c r="UTQ198" s="234"/>
      <c r="UTR198" s="234"/>
      <c r="UTS198" s="234"/>
      <c r="UTT198" s="234"/>
      <c r="UTU198" s="234"/>
      <c r="UTV198" s="234"/>
      <c r="UTW198" s="234"/>
      <c r="UTX198" s="234"/>
      <c r="UTY198" s="234"/>
      <c r="UTZ198" s="234"/>
      <c r="UUA198" s="234"/>
      <c r="UUB198" s="234"/>
      <c r="UUC198" s="234"/>
      <c r="UUD198" s="234"/>
      <c r="UUE198" s="234"/>
      <c r="UUF198" s="234"/>
      <c r="UUG198" s="234"/>
      <c r="UUH198" s="234"/>
      <c r="UUI198" s="234"/>
      <c r="UUJ198" s="234"/>
      <c r="UUK198" s="234"/>
      <c r="UUL198" s="234"/>
      <c r="UUM198" s="234"/>
      <c r="UUN198" s="234"/>
      <c r="UUO198" s="234"/>
      <c r="UUP198" s="234"/>
      <c r="UUQ198" s="234"/>
      <c r="UUR198" s="234"/>
      <c r="UUS198" s="234"/>
      <c r="UUT198" s="234"/>
      <c r="UUU198" s="234"/>
      <c r="UUV198" s="234"/>
      <c r="UUW198" s="234"/>
      <c r="UUX198" s="234"/>
      <c r="UUY198" s="234"/>
      <c r="UUZ198" s="234"/>
      <c r="UVA198" s="234"/>
      <c r="UVB198" s="234"/>
      <c r="UVC198" s="234"/>
      <c r="UVD198" s="234"/>
      <c r="UVE198" s="234"/>
      <c r="UVF198" s="234"/>
      <c r="UVG198" s="234"/>
      <c r="UVH198" s="234"/>
      <c r="UVI198" s="234"/>
      <c r="UVJ198" s="234"/>
      <c r="UVK198" s="234"/>
      <c r="UVL198" s="234"/>
      <c r="UVM198" s="234"/>
      <c r="UVN198" s="234"/>
      <c r="UVO198" s="234"/>
      <c r="UVP198" s="234"/>
      <c r="UVQ198" s="234"/>
      <c r="UVR198" s="234"/>
      <c r="UVS198" s="234"/>
      <c r="UVT198" s="234"/>
      <c r="UVU198" s="234"/>
      <c r="UVV198" s="234"/>
      <c r="UVW198" s="234"/>
      <c r="UVX198" s="234"/>
      <c r="UVY198" s="234"/>
      <c r="UVZ198" s="234"/>
      <c r="UWA198" s="234"/>
      <c r="UWB198" s="234"/>
      <c r="UWC198" s="234"/>
      <c r="UWD198" s="234"/>
      <c r="UWE198" s="234"/>
      <c r="UWF198" s="234"/>
      <c r="UWG198" s="234"/>
      <c r="UWH198" s="234"/>
      <c r="UWI198" s="234"/>
      <c r="UWJ198" s="234"/>
      <c r="UWK198" s="234"/>
      <c r="UWL198" s="234"/>
      <c r="UWM198" s="234"/>
      <c r="UWN198" s="234"/>
      <c r="UWO198" s="234"/>
      <c r="UWP198" s="234"/>
      <c r="UWQ198" s="234"/>
      <c r="UWR198" s="234"/>
      <c r="UWS198" s="234"/>
      <c r="UWT198" s="234"/>
      <c r="UWU198" s="234"/>
      <c r="UWV198" s="234"/>
      <c r="UWW198" s="234"/>
      <c r="UWX198" s="234"/>
      <c r="UWY198" s="234"/>
      <c r="UWZ198" s="234"/>
      <c r="UXA198" s="234"/>
      <c r="UXB198" s="234"/>
      <c r="UXC198" s="234"/>
      <c r="UXD198" s="234"/>
      <c r="UXE198" s="234"/>
      <c r="UXF198" s="234"/>
      <c r="UXG198" s="234"/>
      <c r="UXH198" s="234"/>
      <c r="UXI198" s="234"/>
      <c r="UXJ198" s="234"/>
      <c r="UXK198" s="234"/>
      <c r="UXL198" s="234"/>
      <c r="UXM198" s="234"/>
      <c r="UXN198" s="234"/>
      <c r="UXO198" s="234"/>
      <c r="UXP198" s="234"/>
      <c r="UXQ198" s="234"/>
      <c r="UXR198" s="234"/>
      <c r="UXS198" s="234"/>
      <c r="UXT198" s="234"/>
      <c r="UXU198" s="234"/>
      <c r="UXV198" s="234"/>
      <c r="UXW198" s="234"/>
      <c r="UXX198" s="234"/>
      <c r="UXY198" s="234"/>
      <c r="UXZ198" s="234"/>
      <c r="UYA198" s="234"/>
      <c r="UYB198" s="234"/>
      <c r="UYC198" s="234"/>
      <c r="UYD198" s="234"/>
      <c r="UYE198" s="234"/>
      <c r="UYF198" s="234"/>
      <c r="UYG198" s="234"/>
      <c r="UYH198" s="234"/>
      <c r="UYI198" s="234"/>
      <c r="UYJ198" s="234"/>
      <c r="UYK198" s="234"/>
      <c r="UYL198" s="234"/>
      <c r="UYM198" s="234"/>
      <c r="UYN198" s="234"/>
      <c r="UYO198" s="234"/>
      <c r="UYP198" s="234"/>
      <c r="UYQ198" s="234"/>
      <c r="UYR198" s="234"/>
      <c r="UYS198" s="234"/>
      <c r="UYT198" s="234"/>
      <c r="UYU198" s="234"/>
      <c r="UYV198" s="234"/>
      <c r="UYW198" s="234"/>
      <c r="UYX198" s="234"/>
      <c r="UYY198" s="234"/>
      <c r="UYZ198" s="234"/>
      <c r="UZA198" s="234"/>
      <c r="UZB198" s="234"/>
      <c r="UZC198" s="234"/>
      <c r="UZD198" s="234"/>
      <c r="UZE198" s="234"/>
      <c r="UZF198" s="234"/>
      <c r="UZG198" s="234"/>
      <c r="UZH198" s="234"/>
      <c r="UZI198" s="234"/>
      <c r="UZJ198" s="234"/>
      <c r="UZK198" s="234"/>
      <c r="UZL198" s="234"/>
      <c r="UZM198" s="234"/>
      <c r="UZN198" s="234"/>
      <c r="UZO198" s="234"/>
      <c r="UZP198" s="234"/>
      <c r="UZQ198" s="234"/>
      <c r="UZR198" s="234"/>
      <c r="UZS198" s="234"/>
      <c r="UZT198" s="234"/>
      <c r="UZU198" s="234"/>
      <c r="UZV198" s="234"/>
      <c r="UZW198" s="234"/>
      <c r="UZX198" s="234"/>
      <c r="UZY198" s="234"/>
      <c r="UZZ198" s="234"/>
      <c r="VAA198" s="234"/>
      <c r="VAB198" s="234"/>
      <c r="VAC198" s="234"/>
      <c r="VAD198" s="234"/>
      <c r="VAE198" s="234"/>
      <c r="VAF198" s="234"/>
      <c r="VAG198" s="234"/>
      <c r="VAH198" s="234"/>
      <c r="VAI198" s="234"/>
      <c r="VAJ198" s="234"/>
      <c r="VAK198" s="234"/>
      <c r="VAL198" s="234"/>
      <c r="VAM198" s="234"/>
      <c r="VAN198" s="234"/>
      <c r="VAO198" s="234"/>
      <c r="VAP198" s="234"/>
      <c r="VAQ198" s="234"/>
      <c r="VAR198" s="234"/>
      <c r="VAS198" s="234"/>
      <c r="VAT198" s="234"/>
      <c r="VAU198" s="234"/>
      <c r="VAV198" s="234"/>
      <c r="VAW198" s="234"/>
      <c r="VAX198" s="234"/>
      <c r="VAY198" s="234"/>
      <c r="VAZ198" s="234"/>
      <c r="VBA198" s="234"/>
      <c r="VBB198" s="234"/>
      <c r="VBC198" s="234"/>
      <c r="VBD198" s="234"/>
      <c r="VBE198" s="234"/>
      <c r="VBF198" s="234"/>
      <c r="VBG198" s="234"/>
      <c r="VBH198" s="234"/>
      <c r="VBI198" s="234"/>
      <c r="VBJ198" s="234"/>
      <c r="VBK198" s="234"/>
      <c r="VBL198" s="234"/>
      <c r="VBM198" s="234"/>
      <c r="VBN198" s="234"/>
      <c r="VBO198" s="234"/>
      <c r="VBP198" s="234"/>
      <c r="VBQ198" s="234"/>
      <c r="VBR198" s="234"/>
      <c r="VBS198" s="234"/>
      <c r="VBT198" s="234"/>
      <c r="VBU198" s="234"/>
      <c r="VBV198" s="234"/>
      <c r="VBW198" s="234"/>
      <c r="VBX198" s="234"/>
      <c r="VBY198" s="234"/>
      <c r="VBZ198" s="234"/>
      <c r="VCA198" s="234"/>
      <c r="VCB198" s="234"/>
      <c r="VCC198" s="234"/>
      <c r="VCD198" s="234"/>
      <c r="VCE198" s="234"/>
      <c r="VCF198" s="234"/>
      <c r="VCG198" s="234"/>
      <c r="VCH198" s="234"/>
      <c r="VCI198" s="234"/>
      <c r="VCJ198" s="234"/>
      <c r="VCK198" s="234"/>
      <c r="VCL198" s="234"/>
      <c r="VCM198" s="234"/>
      <c r="VCN198" s="234"/>
      <c r="VCO198" s="234"/>
      <c r="VCP198" s="234"/>
      <c r="VCQ198" s="234"/>
      <c r="VCR198" s="234"/>
      <c r="VCS198" s="234"/>
      <c r="VCT198" s="234"/>
      <c r="VCU198" s="234"/>
      <c r="VCV198" s="234"/>
      <c r="VCW198" s="234"/>
      <c r="VCX198" s="234"/>
      <c r="VCY198" s="234"/>
      <c r="VCZ198" s="234"/>
      <c r="VDA198" s="234"/>
      <c r="VDB198" s="234"/>
      <c r="VDC198" s="234"/>
      <c r="VDD198" s="234"/>
      <c r="VDE198" s="234"/>
      <c r="VDF198" s="234"/>
      <c r="VDG198" s="234"/>
      <c r="VDH198" s="234"/>
      <c r="VDI198" s="234"/>
      <c r="VDJ198" s="234"/>
      <c r="VDK198" s="234"/>
      <c r="VDL198" s="234"/>
      <c r="VDM198" s="234"/>
      <c r="VDN198" s="234"/>
      <c r="VDO198" s="234"/>
      <c r="VDP198" s="234"/>
      <c r="VDQ198" s="234"/>
      <c r="VDR198" s="234"/>
      <c r="VDS198" s="234"/>
      <c r="VDT198" s="234"/>
      <c r="VDU198" s="234"/>
      <c r="VDV198" s="234"/>
      <c r="VDW198" s="234"/>
      <c r="VDX198" s="234"/>
      <c r="VDY198" s="234"/>
      <c r="VDZ198" s="234"/>
      <c r="VEA198" s="234"/>
      <c r="VEB198" s="234"/>
      <c r="VEC198" s="234"/>
      <c r="VED198" s="234"/>
      <c r="VEE198" s="234"/>
      <c r="VEF198" s="234"/>
      <c r="VEG198" s="234"/>
      <c r="VEH198" s="234"/>
      <c r="VEI198" s="234"/>
      <c r="VEJ198" s="234"/>
      <c r="VEK198" s="234"/>
      <c r="VEL198" s="234"/>
      <c r="VEM198" s="234"/>
      <c r="VEN198" s="234"/>
      <c r="VEO198" s="234"/>
      <c r="VEP198" s="234"/>
      <c r="VEQ198" s="234"/>
      <c r="VER198" s="234"/>
      <c r="VES198" s="234"/>
      <c r="VET198" s="234"/>
      <c r="VEU198" s="234"/>
      <c r="VEV198" s="234"/>
      <c r="VEW198" s="234"/>
      <c r="VEX198" s="234"/>
      <c r="VEY198" s="234"/>
      <c r="VEZ198" s="234"/>
      <c r="VFA198" s="234"/>
      <c r="VFB198" s="234"/>
      <c r="VFC198" s="234"/>
      <c r="VFD198" s="234"/>
      <c r="VFE198" s="234"/>
      <c r="VFF198" s="234"/>
      <c r="VFG198" s="234"/>
      <c r="VFH198" s="234"/>
      <c r="VFI198" s="234"/>
      <c r="VFJ198" s="234"/>
      <c r="VFK198" s="234"/>
      <c r="VFL198" s="234"/>
      <c r="VFM198" s="234"/>
      <c r="VFN198" s="234"/>
      <c r="VFO198" s="234"/>
      <c r="VFP198" s="234"/>
      <c r="VFQ198" s="234"/>
      <c r="VFR198" s="234"/>
      <c r="VFS198" s="234"/>
      <c r="VFT198" s="234"/>
      <c r="VFU198" s="234"/>
      <c r="VFV198" s="234"/>
      <c r="VFW198" s="234"/>
      <c r="VFX198" s="234"/>
      <c r="VFY198" s="234"/>
      <c r="VFZ198" s="234"/>
      <c r="VGA198" s="234"/>
      <c r="VGB198" s="234"/>
      <c r="VGC198" s="234"/>
      <c r="VGD198" s="234"/>
      <c r="VGE198" s="234"/>
      <c r="VGF198" s="234"/>
      <c r="VGG198" s="234"/>
      <c r="VGH198" s="234"/>
      <c r="VGI198" s="234"/>
      <c r="VGJ198" s="234"/>
      <c r="VGK198" s="234"/>
      <c r="VGL198" s="234"/>
      <c r="VGM198" s="234"/>
      <c r="VGN198" s="234"/>
      <c r="VGO198" s="234"/>
      <c r="VGP198" s="234"/>
      <c r="VGQ198" s="234"/>
      <c r="VGR198" s="234"/>
      <c r="VGS198" s="234"/>
      <c r="VGT198" s="234"/>
      <c r="VGU198" s="234"/>
      <c r="VGV198" s="234"/>
      <c r="VGW198" s="234"/>
      <c r="VGX198" s="234"/>
      <c r="VGY198" s="234"/>
      <c r="VGZ198" s="234"/>
      <c r="VHA198" s="234"/>
      <c r="VHB198" s="234"/>
      <c r="VHC198" s="234"/>
      <c r="VHD198" s="234"/>
      <c r="VHE198" s="234"/>
      <c r="VHF198" s="234"/>
      <c r="VHG198" s="234"/>
      <c r="VHH198" s="234"/>
      <c r="VHI198" s="234"/>
      <c r="VHJ198" s="234"/>
      <c r="VHK198" s="234"/>
      <c r="VHL198" s="234"/>
      <c r="VHM198" s="234"/>
      <c r="VHN198" s="234"/>
      <c r="VHO198" s="234"/>
      <c r="VHP198" s="234"/>
      <c r="VHQ198" s="234"/>
      <c r="VHR198" s="234"/>
      <c r="VHS198" s="234"/>
      <c r="VHT198" s="234"/>
      <c r="VHU198" s="234"/>
      <c r="VHV198" s="234"/>
      <c r="VHW198" s="234"/>
      <c r="VHX198" s="234"/>
      <c r="VHY198" s="234"/>
      <c r="VHZ198" s="234"/>
      <c r="VIA198" s="234"/>
      <c r="VIB198" s="234"/>
      <c r="VIC198" s="234"/>
      <c r="VID198" s="234"/>
      <c r="VIE198" s="234"/>
      <c r="VIF198" s="234"/>
      <c r="VIG198" s="234"/>
      <c r="VIH198" s="234"/>
      <c r="VII198" s="234"/>
      <c r="VIJ198" s="234"/>
      <c r="VIK198" s="234"/>
      <c r="VIL198" s="234"/>
      <c r="VIM198" s="234"/>
      <c r="VIN198" s="234"/>
      <c r="VIO198" s="234"/>
      <c r="VIP198" s="234"/>
      <c r="VIQ198" s="234"/>
      <c r="VIR198" s="234"/>
      <c r="VIS198" s="234"/>
      <c r="VIT198" s="234"/>
      <c r="VIU198" s="234"/>
      <c r="VIV198" s="234"/>
      <c r="VIW198" s="234"/>
      <c r="VIX198" s="234"/>
      <c r="VIY198" s="234"/>
      <c r="VIZ198" s="234"/>
      <c r="VJA198" s="234"/>
      <c r="VJB198" s="234"/>
      <c r="VJC198" s="234"/>
      <c r="VJD198" s="234"/>
      <c r="VJE198" s="234"/>
      <c r="VJF198" s="234"/>
      <c r="VJG198" s="234"/>
      <c r="VJH198" s="234"/>
      <c r="VJI198" s="234"/>
      <c r="VJJ198" s="234"/>
      <c r="VJK198" s="234"/>
      <c r="VJL198" s="234"/>
      <c r="VJM198" s="234"/>
      <c r="VJN198" s="234"/>
      <c r="VJO198" s="234"/>
      <c r="VJP198" s="234"/>
      <c r="VJQ198" s="234"/>
      <c r="VJR198" s="234"/>
      <c r="VJS198" s="234"/>
      <c r="VJT198" s="234"/>
      <c r="VJU198" s="234"/>
      <c r="VJV198" s="234"/>
      <c r="VJW198" s="234"/>
      <c r="VJX198" s="234"/>
      <c r="VJY198" s="234"/>
      <c r="VJZ198" s="234"/>
      <c r="VKA198" s="234"/>
      <c r="VKB198" s="234"/>
      <c r="VKC198" s="234"/>
      <c r="VKD198" s="234"/>
      <c r="VKE198" s="234"/>
      <c r="VKF198" s="234"/>
      <c r="VKG198" s="234"/>
      <c r="VKH198" s="234"/>
      <c r="VKI198" s="234"/>
      <c r="VKJ198" s="234"/>
      <c r="VKK198" s="234"/>
      <c r="VKL198" s="234"/>
      <c r="VKM198" s="234"/>
      <c r="VKN198" s="234"/>
      <c r="VKO198" s="234"/>
      <c r="VKP198" s="234"/>
      <c r="VKQ198" s="234"/>
      <c r="VKR198" s="234"/>
      <c r="VKS198" s="234"/>
      <c r="VKT198" s="234"/>
      <c r="VKU198" s="234"/>
      <c r="VKV198" s="234"/>
      <c r="VKW198" s="234"/>
      <c r="VKX198" s="234"/>
      <c r="VKY198" s="234"/>
      <c r="VKZ198" s="234"/>
      <c r="VLA198" s="234"/>
      <c r="VLB198" s="234"/>
      <c r="VLC198" s="234"/>
      <c r="VLD198" s="234"/>
      <c r="VLE198" s="234"/>
      <c r="VLF198" s="234"/>
      <c r="VLG198" s="234"/>
      <c r="VLH198" s="234"/>
      <c r="VLI198" s="234"/>
      <c r="VLJ198" s="234"/>
      <c r="VLK198" s="234"/>
      <c r="VLL198" s="234"/>
      <c r="VLM198" s="234"/>
      <c r="VLN198" s="234"/>
      <c r="VLO198" s="234"/>
      <c r="VLP198" s="234"/>
      <c r="VLQ198" s="234"/>
      <c r="VLR198" s="234"/>
      <c r="VLS198" s="234"/>
      <c r="VLT198" s="234"/>
      <c r="VLU198" s="234"/>
      <c r="VLV198" s="234"/>
      <c r="VLW198" s="234"/>
      <c r="VLX198" s="234"/>
      <c r="VLY198" s="234"/>
      <c r="VLZ198" s="234"/>
      <c r="VMA198" s="234"/>
      <c r="VMB198" s="234"/>
      <c r="VMC198" s="234"/>
      <c r="VMD198" s="234"/>
      <c r="VME198" s="234"/>
      <c r="VMF198" s="234"/>
      <c r="VMG198" s="234"/>
      <c r="VMH198" s="234"/>
      <c r="VMI198" s="234"/>
      <c r="VMJ198" s="234"/>
      <c r="VMK198" s="234"/>
      <c r="VML198" s="234"/>
      <c r="VMM198" s="234"/>
      <c r="VMN198" s="234"/>
      <c r="VMO198" s="234"/>
      <c r="VMP198" s="234"/>
      <c r="VMQ198" s="234"/>
      <c r="VMR198" s="234"/>
      <c r="VMS198" s="234"/>
      <c r="VMT198" s="234"/>
      <c r="VMU198" s="234"/>
      <c r="VMV198" s="234"/>
      <c r="VMW198" s="234"/>
      <c r="VMX198" s="234"/>
      <c r="VMY198" s="234"/>
      <c r="VMZ198" s="234"/>
      <c r="VNA198" s="234"/>
      <c r="VNB198" s="234"/>
      <c r="VNC198" s="234"/>
      <c r="VND198" s="234"/>
      <c r="VNE198" s="234"/>
      <c r="VNF198" s="234"/>
      <c r="VNG198" s="234"/>
      <c r="VNH198" s="234"/>
      <c r="VNI198" s="234"/>
      <c r="VNJ198" s="234"/>
      <c r="VNK198" s="234"/>
      <c r="VNL198" s="234"/>
      <c r="VNM198" s="234"/>
      <c r="VNN198" s="234"/>
      <c r="VNO198" s="234"/>
      <c r="VNP198" s="234"/>
      <c r="VNQ198" s="234"/>
      <c r="VNR198" s="234"/>
      <c r="VNS198" s="234"/>
      <c r="VNT198" s="234"/>
      <c r="VNU198" s="234"/>
      <c r="VNV198" s="234"/>
      <c r="VNW198" s="234"/>
      <c r="VNX198" s="234"/>
      <c r="VNY198" s="234"/>
      <c r="VNZ198" s="234"/>
      <c r="VOA198" s="234"/>
      <c r="VOB198" s="234"/>
      <c r="VOC198" s="234"/>
      <c r="VOD198" s="234"/>
      <c r="VOE198" s="234"/>
      <c r="VOF198" s="234"/>
      <c r="VOG198" s="234"/>
      <c r="VOH198" s="234"/>
      <c r="VOI198" s="234"/>
      <c r="VOJ198" s="234"/>
      <c r="VOK198" s="234"/>
      <c r="VOL198" s="234"/>
      <c r="VOM198" s="234"/>
      <c r="VON198" s="234"/>
      <c r="VOO198" s="234"/>
      <c r="VOP198" s="234"/>
      <c r="VOQ198" s="234"/>
      <c r="VOR198" s="234"/>
      <c r="VOS198" s="234"/>
      <c r="VOT198" s="234"/>
      <c r="VOU198" s="234"/>
      <c r="VOV198" s="234"/>
      <c r="VOW198" s="234"/>
      <c r="VOX198" s="234"/>
      <c r="VOY198" s="234"/>
      <c r="VOZ198" s="234"/>
      <c r="VPA198" s="234"/>
      <c r="VPB198" s="234"/>
      <c r="VPC198" s="234"/>
      <c r="VPD198" s="234"/>
      <c r="VPE198" s="234"/>
      <c r="VPF198" s="234"/>
      <c r="VPG198" s="234"/>
      <c r="VPH198" s="234"/>
      <c r="VPI198" s="234"/>
      <c r="VPJ198" s="234"/>
      <c r="VPK198" s="234"/>
      <c r="VPL198" s="234"/>
      <c r="VPM198" s="234"/>
      <c r="VPN198" s="234"/>
      <c r="VPO198" s="234"/>
      <c r="VPP198" s="234"/>
      <c r="VPQ198" s="234"/>
      <c r="VPR198" s="234"/>
      <c r="VPS198" s="234"/>
      <c r="VPT198" s="234"/>
      <c r="VPU198" s="234"/>
      <c r="VPV198" s="234"/>
      <c r="VPW198" s="234"/>
      <c r="VPX198" s="234"/>
      <c r="VPY198" s="234"/>
      <c r="VPZ198" s="234"/>
      <c r="VQA198" s="234"/>
      <c r="VQB198" s="234"/>
      <c r="VQC198" s="234"/>
      <c r="VQD198" s="234"/>
      <c r="VQE198" s="234"/>
      <c r="VQF198" s="234"/>
      <c r="VQG198" s="234"/>
      <c r="VQH198" s="234"/>
      <c r="VQI198" s="234"/>
      <c r="VQJ198" s="234"/>
      <c r="VQK198" s="234"/>
      <c r="VQL198" s="234"/>
      <c r="VQM198" s="234"/>
      <c r="VQN198" s="234"/>
      <c r="VQO198" s="234"/>
      <c r="VQP198" s="234"/>
      <c r="VQQ198" s="234"/>
      <c r="VQR198" s="234"/>
      <c r="VQS198" s="234"/>
      <c r="VQT198" s="234"/>
      <c r="VQU198" s="234"/>
      <c r="VQV198" s="234"/>
      <c r="VQW198" s="234"/>
      <c r="VQX198" s="234"/>
      <c r="VQY198" s="234"/>
      <c r="VQZ198" s="234"/>
      <c r="VRA198" s="234"/>
      <c r="VRB198" s="234"/>
      <c r="VRC198" s="234"/>
      <c r="VRD198" s="234"/>
      <c r="VRE198" s="234"/>
      <c r="VRF198" s="234"/>
      <c r="VRG198" s="234"/>
      <c r="VRH198" s="234"/>
      <c r="VRI198" s="234"/>
      <c r="VRJ198" s="234"/>
      <c r="VRK198" s="234"/>
      <c r="VRL198" s="234"/>
      <c r="VRM198" s="234"/>
      <c r="VRN198" s="234"/>
      <c r="VRO198" s="234"/>
      <c r="VRP198" s="234"/>
      <c r="VRQ198" s="234"/>
      <c r="VRR198" s="234"/>
      <c r="VRS198" s="234"/>
      <c r="VRT198" s="234"/>
      <c r="VRU198" s="234"/>
      <c r="VRV198" s="234"/>
      <c r="VRW198" s="234"/>
      <c r="VRX198" s="234"/>
      <c r="VRY198" s="234"/>
      <c r="VRZ198" s="234"/>
      <c r="VSA198" s="234"/>
      <c r="VSB198" s="234"/>
      <c r="VSC198" s="234"/>
      <c r="VSD198" s="234"/>
      <c r="VSE198" s="234"/>
      <c r="VSF198" s="234"/>
      <c r="VSG198" s="234"/>
      <c r="VSH198" s="234"/>
      <c r="VSI198" s="234"/>
      <c r="VSJ198" s="234"/>
      <c r="VSK198" s="234"/>
      <c r="VSL198" s="234"/>
      <c r="VSM198" s="234"/>
      <c r="VSN198" s="234"/>
      <c r="VSO198" s="234"/>
      <c r="VSP198" s="234"/>
      <c r="VSQ198" s="234"/>
      <c r="VSR198" s="234"/>
      <c r="VSS198" s="234"/>
      <c r="VST198" s="234"/>
      <c r="VSU198" s="234"/>
      <c r="VSV198" s="234"/>
      <c r="VSW198" s="234"/>
      <c r="VSX198" s="234"/>
      <c r="VSY198" s="234"/>
      <c r="VSZ198" s="234"/>
      <c r="VTA198" s="234"/>
      <c r="VTB198" s="234"/>
      <c r="VTC198" s="234"/>
      <c r="VTD198" s="234"/>
      <c r="VTE198" s="234"/>
      <c r="VTF198" s="234"/>
      <c r="VTG198" s="234"/>
      <c r="VTH198" s="234"/>
      <c r="VTI198" s="234"/>
      <c r="VTJ198" s="234"/>
      <c r="VTK198" s="234"/>
      <c r="VTL198" s="234"/>
      <c r="VTM198" s="234"/>
      <c r="VTN198" s="234"/>
      <c r="VTO198" s="234"/>
      <c r="VTP198" s="234"/>
      <c r="VTQ198" s="234"/>
      <c r="VTR198" s="234"/>
      <c r="VTS198" s="234"/>
      <c r="VTT198" s="234"/>
      <c r="VTU198" s="234"/>
      <c r="VTV198" s="234"/>
      <c r="VTW198" s="234"/>
      <c r="VTX198" s="234"/>
      <c r="VTY198" s="234"/>
      <c r="VTZ198" s="234"/>
      <c r="VUA198" s="234"/>
      <c r="VUB198" s="234"/>
      <c r="VUC198" s="234"/>
      <c r="VUD198" s="234"/>
      <c r="VUE198" s="234"/>
      <c r="VUF198" s="234"/>
      <c r="VUG198" s="234"/>
      <c r="VUH198" s="234"/>
      <c r="VUI198" s="234"/>
      <c r="VUJ198" s="234"/>
      <c r="VUK198" s="234"/>
      <c r="VUL198" s="234"/>
      <c r="VUM198" s="234"/>
      <c r="VUN198" s="234"/>
      <c r="VUO198" s="234"/>
      <c r="VUP198" s="234"/>
      <c r="VUQ198" s="234"/>
      <c r="VUR198" s="234"/>
      <c r="VUS198" s="234"/>
      <c r="VUT198" s="234"/>
      <c r="VUU198" s="234"/>
      <c r="VUV198" s="234"/>
      <c r="VUW198" s="234"/>
      <c r="VUX198" s="234"/>
      <c r="VUY198" s="234"/>
      <c r="VUZ198" s="234"/>
      <c r="VVA198" s="234"/>
      <c r="VVB198" s="234"/>
      <c r="VVC198" s="234"/>
      <c r="VVD198" s="234"/>
      <c r="VVE198" s="234"/>
      <c r="VVF198" s="234"/>
      <c r="VVG198" s="234"/>
      <c r="VVH198" s="234"/>
      <c r="VVI198" s="234"/>
      <c r="VVJ198" s="234"/>
      <c r="VVK198" s="234"/>
      <c r="VVL198" s="234"/>
      <c r="VVM198" s="234"/>
      <c r="VVN198" s="234"/>
      <c r="VVO198" s="234"/>
      <c r="VVP198" s="234"/>
      <c r="VVQ198" s="234"/>
      <c r="VVR198" s="234"/>
      <c r="VVS198" s="234"/>
      <c r="VVT198" s="234"/>
      <c r="VVU198" s="234"/>
      <c r="VVV198" s="234"/>
      <c r="VVW198" s="234"/>
      <c r="VVX198" s="234"/>
      <c r="VVY198" s="234"/>
      <c r="VVZ198" s="234"/>
      <c r="VWA198" s="234"/>
      <c r="VWB198" s="234"/>
      <c r="VWC198" s="234"/>
      <c r="VWD198" s="234"/>
      <c r="VWE198" s="234"/>
      <c r="VWF198" s="234"/>
      <c r="VWG198" s="234"/>
      <c r="VWH198" s="234"/>
      <c r="VWI198" s="234"/>
      <c r="VWJ198" s="234"/>
      <c r="VWK198" s="234"/>
      <c r="VWL198" s="234"/>
      <c r="VWM198" s="234"/>
      <c r="VWN198" s="234"/>
      <c r="VWO198" s="234"/>
      <c r="VWP198" s="234"/>
      <c r="VWQ198" s="234"/>
      <c r="VWR198" s="234"/>
      <c r="VWS198" s="234"/>
      <c r="VWT198" s="234"/>
      <c r="VWU198" s="234"/>
      <c r="VWV198" s="234"/>
      <c r="VWW198" s="234"/>
      <c r="VWX198" s="234"/>
      <c r="VWY198" s="234"/>
      <c r="VWZ198" s="234"/>
      <c r="VXA198" s="234"/>
      <c r="VXB198" s="234"/>
      <c r="VXC198" s="234"/>
      <c r="VXD198" s="234"/>
      <c r="VXE198" s="234"/>
      <c r="VXF198" s="234"/>
      <c r="VXG198" s="234"/>
      <c r="VXH198" s="234"/>
      <c r="VXI198" s="234"/>
      <c r="VXJ198" s="234"/>
      <c r="VXK198" s="234"/>
      <c r="VXL198" s="234"/>
      <c r="VXM198" s="234"/>
      <c r="VXN198" s="234"/>
      <c r="VXO198" s="234"/>
      <c r="VXP198" s="234"/>
      <c r="VXQ198" s="234"/>
      <c r="VXR198" s="234"/>
      <c r="VXS198" s="234"/>
      <c r="VXT198" s="234"/>
      <c r="VXU198" s="234"/>
      <c r="VXV198" s="234"/>
      <c r="VXW198" s="234"/>
      <c r="VXX198" s="234"/>
      <c r="VXY198" s="234"/>
      <c r="VXZ198" s="234"/>
      <c r="VYA198" s="234"/>
      <c r="VYB198" s="234"/>
      <c r="VYC198" s="234"/>
      <c r="VYD198" s="234"/>
      <c r="VYE198" s="234"/>
      <c r="VYF198" s="234"/>
      <c r="VYG198" s="234"/>
      <c r="VYH198" s="234"/>
      <c r="VYI198" s="234"/>
      <c r="VYJ198" s="234"/>
      <c r="VYK198" s="234"/>
      <c r="VYL198" s="234"/>
      <c r="VYM198" s="234"/>
      <c r="VYN198" s="234"/>
      <c r="VYO198" s="234"/>
      <c r="VYP198" s="234"/>
      <c r="VYQ198" s="234"/>
      <c r="VYR198" s="234"/>
      <c r="VYS198" s="234"/>
      <c r="VYT198" s="234"/>
      <c r="VYU198" s="234"/>
      <c r="VYV198" s="234"/>
      <c r="VYW198" s="234"/>
      <c r="VYX198" s="234"/>
      <c r="VYY198" s="234"/>
      <c r="VYZ198" s="234"/>
      <c r="VZA198" s="234"/>
      <c r="VZB198" s="234"/>
      <c r="VZC198" s="234"/>
      <c r="VZD198" s="234"/>
      <c r="VZE198" s="234"/>
      <c r="VZF198" s="234"/>
      <c r="VZG198" s="234"/>
      <c r="VZH198" s="234"/>
      <c r="VZI198" s="234"/>
      <c r="VZJ198" s="234"/>
      <c r="VZK198" s="234"/>
      <c r="VZL198" s="234"/>
      <c r="VZM198" s="234"/>
      <c r="VZN198" s="234"/>
      <c r="VZO198" s="234"/>
      <c r="VZP198" s="234"/>
      <c r="VZQ198" s="234"/>
      <c r="VZR198" s="234"/>
      <c r="VZS198" s="234"/>
      <c r="VZT198" s="234"/>
      <c r="VZU198" s="234"/>
      <c r="VZV198" s="234"/>
      <c r="VZW198" s="234"/>
      <c r="VZX198" s="234"/>
      <c r="VZY198" s="234"/>
      <c r="VZZ198" s="234"/>
      <c r="WAA198" s="234"/>
      <c r="WAB198" s="234"/>
      <c r="WAC198" s="234"/>
      <c r="WAD198" s="234"/>
      <c r="WAE198" s="234"/>
      <c r="WAF198" s="234"/>
      <c r="WAG198" s="234"/>
      <c r="WAH198" s="234"/>
      <c r="WAI198" s="234"/>
      <c r="WAJ198" s="234"/>
      <c r="WAK198" s="234"/>
      <c r="WAL198" s="234"/>
      <c r="WAM198" s="234"/>
      <c r="WAN198" s="234"/>
      <c r="WAO198" s="234"/>
      <c r="WAP198" s="234"/>
      <c r="WAQ198" s="234"/>
      <c r="WAR198" s="234"/>
      <c r="WAS198" s="234"/>
      <c r="WAT198" s="234"/>
      <c r="WAU198" s="234"/>
      <c r="WAV198" s="234"/>
      <c r="WAW198" s="234"/>
      <c r="WAX198" s="234"/>
      <c r="WAY198" s="234"/>
      <c r="WAZ198" s="234"/>
      <c r="WBA198" s="234"/>
      <c r="WBB198" s="234"/>
      <c r="WBC198" s="234"/>
      <c r="WBD198" s="234"/>
      <c r="WBE198" s="234"/>
      <c r="WBF198" s="234"/>
      <c r="WBG198" s="234"/>
      <c r="WBH198" s="234"/>
      <c r="WBI198" s="234"/>
      <c r="WBJ198" s="234"/>
      <c r="WBK198" s="234"/>
      <c r="WBL198" s="234"/>
      <c r="WBM198" s="234"/>
      <c r="WBN198" s="234"/>
      <c r="WBO198" s="234"/>
      <c r="WBP198" s="234"/>
      <c r="WBQ198" s="234"/>
      <c r="WBR198" s="234"/>
      <c r="WBS198" s="234"/>
      <c r="WBT198" s="234"/>
      <c r="WBU198" s="234"/>
      <c r="WBV198" s="234"/>
      <c r="WBW198" s="234"/>
      <c r="WBX198" s="234"/>
      <c r="WBY198" s="234"/>
      <c r="WBZ198" s="234"/>
      <c r="WCA198" s="234"/>
      <c r="WCB198" s="234"/>
      <c r="WCC198" s="234"/>
      <c r="WCD198" s="234"/>
      <c r="WCE198" s="234"/>
      <c r="WCF198" s="234"/>
      <c r="WCG198" s="234"/>
      <c r="WCH198" s="234"/>
      <c r="WCI198" s="234"/>
      <c r="WCJ198" s="234"/>
      <c r="WCK198" s="234"/>
      <c r="WCL198" s="234"/>
      <c r="WCM198" s="234"/>
      <c r="WCN198" s="234"/>
      <c r="WCO198" s="234"/>
      <c r="WCP198" s="234"/>
      <c r="WCQ198" s="234"/>
      <c r="WCR198" s="234"/>
      <c r="WCS198" s="234"/>
      <c r="WCT198" s="234"/>
      <c r="WCU198" s="234"/>
      <c r="WCV198" s="234"/>
      <c r="WCW198" s="234"/>
      <c r="WCX198" s="234"/>
      <c r="WCY198" s="234"/>
      <c r="WCZ198" s="234"/>
      <c r="WDA198" s="234"/>
      <c r="WDB198" s="234"/>
      <c r="WDC198" s="234"/>
      <c r="WDD198" s="234"/>
      <c r="WDE198" s="234"/>
      <c r="WDF198" s="234"/>
      <c r="WDG198" s="234"/>
      <c r="WDH198" s="234"/>
      <c r="WDI198" s="234"/>
      <c r="WDJ198" s="234"/>
      <c r="WDK198" s="234"/>
      <c r="WDL198" s="234"/>
      <c r="WDM198" s="234"/>
      <c r="WDN198" s="234"/>
      <c r="WDO198" s="234"/>
      <c r="WDP198" s="234"/>
      <c r="WDQ198" s="234"/>
      <c r="WDR198" s="234"/>
      <c r="WDS198" s="234"/>
      <c r="WDT198" s="234"/>
      <c r="WDU198" s="234"/>
      <c r="WDV198" s="234"/>
      <c r="WDW198" s="234"/>
      <c r="WDX198" s="234"/>
      <c r="WDY198" s="234"/>
      <c r="WDZ198" s="234"/>
      <c r="WEA198" s="234"/>
      <c r="WEB198" s="234"/>
      <c r="WEC198" s="234"/>
      <c r="WED198" s="234"/>
      <c r="WEE198" s="234"/>
      <c r="WEF198" s="234"/>
      <c r="WEG198" s="234"/>
      <c r="WEH198" s="234"/>
      <c r="WEI198" s="234"/>
      <c r="WEJ198" s="234"/>
      <c r="WEK198" s="234"/>
      <c r="WEL198" s="234"/>
      <c r="WEM198" s="234"/>
      <c r="WEN198" s="234"/>
      <c r="WEO198" s="234"/>
      <c r="WEP198" s="234"/>
      <c r="WEQ198" s="234"/>
      <c r="WER198" s="234"/>
      <c r="WES198" s="234"/>
      <c r="WET198" s="234"/>
      <c r="WEU198" s="234"/>
      <c r="WEV198" s="234"/>
      <c r="WEW198" s="234"/>
      <c r="WEX198" s="234"/>
      <c r="WEY198" s="234"/>
      <c r="WEZ198" s="234"/>
      <c r="WFA198" s="234"/>
      <c r="WFB198" s="234"/>
      <c r="WFC198" s="234"/>
      <c r="WFD198" s="234"/>
      <c r="WFE198" s="234"/>
      <c r="WFF198" s="234"/>
      <c r="WFG198" s="234"/>
      <c r="WFH198" s="234"/>
      <c r="WFI198" s="234"/>
      <c r="WFJ198" s="234"/>
      <c r="WFK198" s="234"/>
      <c r="WFL198" s="234"/>
      <c r="WFM198" s="234"/>
      <c r="WFN198" s="234"/>
      <c r="WFO198" s="234"/>
      <c r="WFP198" s="234"/>
      <c r="WFQ198" s="234"/>
      <c r="WFR198" s="234"/>
      <c r="WFS198" s="234"/>
      <c r="WFT198" s="234"/>
      <c r="WFU198" s="234"/>
      <c r="WFV198" s="234"/>
      <c r="WFW198" s="234"/>
      <c r="WFX198" s="234"/>
      <c r="WFY198" s="234"/>
      <c r="WFZ198" s="234"/>
      <c r="WGA198" s="234"/>
      <c r="WGB198" s="234"/>
      <c r="WGC198" s="234"/>
      <c r="WGD198" s="234"/>
      <c r="WGE198" s="234"/>
      <c r="WGF198" s="234"/>
      <c r="WGG198" s="234"/>
      <c r="WGH198" s="234"/>
      <c r="WGI198" s="234"/>
      <c r="WGJ198" s="234"/>
      <c r="WGK198" s="234"/>
      <c r="WGL198" s="234"/>
      <c r="WGM198" s="234"/>
      <c r="WGN198" s="234"/>
      <c r="WGO198" s="234"/>
      <c r="WGP198" s="234"/>
      <c r="WGQ198" s="234"/>
      <c r="WGR198" s="234"/>
      <c r="WGS198" s="234"/>
      <c r="WGT198" s="234"/>
      <c r="WGU198" s="234"/>
      <c r="WGV198" s="234"/>
      <c r="WGW198" s="234"/>
      <c r="WGX198" s="234"/>
      <c r="WGY198" s="234"/>
      <c r="WGZ198" s="234"/>
      <c r="WHA198" s="234"/>
      <c r="WHB198" s="234"/>
      <c r="WHC198" s="234"/>
      <c r="WHD198" s="234"/>
      <c r="WHE198" s="234"/>
      <c r="WHF198" s="234"/>
      <c r="WHG198" s="234"/>
      <c r="WHH198" s="234"/>
      <c r="WHI198" s="234"/>
      <c r="WHJ198" s="234"/>
      <c r="WHK198" s="234"/>
      <c r="WHL198" s="234"/>
      <c r="WHM198" s="234"/>
      <c r="WHN198" s="234"/>
      <c r="WHO198" s="234"/>
      <c r="WHP198" s="234"/>
      <c r="WHQ198" s="234"/>
      <c r="WHR198" s="234"/>
      <c r="WHS198" s="234"/>
      <c r="WHT198" s="234"/>
      <c r="WHU198" s="234"/>
      <c r="WHV198" s="234"/>
      <c r="WHW198" s="234"/>
      <c r="WHX198" s="234"/>
      <c r="WHY198" s="234"/>
      <c r="WHZ198" s="234"/>
      <c r="WIA198" s="234"/>
      <c r="WIB198" s="234"/>
      <c r="WIC198" s="234"/>
      <c r="WID198" s="234"/>
      <c r="WIE198" s="234"/>
      <c r="WIF198" s="234"/>
      <c r="WIG198" s="234"/>
      <c r="WIH198" s="234"/>
      <c r="WII198" s="234"/>
      <c r="WIJ198" s="234"/>
      <c r="WIK198" s="234"/>
      <c r="WIL198" s="234"/>
      <c r="WIM198" s="234"/>
      <c r="WIN198" s="234"/>
      <c r="WIO198" s="234"/>
      <c r="WIP198" s="234"/>
      <c r="WIQ198" s="234"/>
      <c r="WIR198" s="234"/>
      <c r="WIS198" s="234"/>
      <c r="WIT198" s="234"/>
      <c r="WIU198" s="234"/>
      <c r="WIV198" s="234"/>
      <c r="WIW198" s="234"/>
      <c r="WIX198" s="234"/>
      <c r="WIY198" s="234"/>
      <c r="WIZ198" s="234"/>
      <c r="WJA198" s="234"/>
      <c r="WJB198" s="234"/>
      <c r="WJC198" s="234"/>
      <c r="WJD198" s="234"/>
      <c r="WJE198" s="234"/>
      <c r="WJF198" s="234"/>
      <c r="WJG198" s="234"/>
      <c r="WJH198" s="234"/>
      <c r="WJI198" s="234"/>
      <c r="WJJ198" s="234"/>
      <c r="WJK198" s="234"/>
      <c r="WJL198" s="234"/>
      <c r="WJM198" s="234"/>
      <c r="WJN198" s="234"/>
      <c r="WJO198" s="234"/>
      <c r="WJP198" s="234"/>
      <c r="WJQ198" s="234"/>
      <c r="WJR198" s="234"/>
      <c r="WJS198" s="234"/>
      <c r="WJT198" s="234"/>
      <c r="WJU198" s="234"/>
      <c r="WJV198" s="234"/>
      <c r="WJW198" s="234"/>
      <c r="WJX198" s="234"/>
      <c r="WJY198" s="234"/>
      <c r="WJZ198" s="234"/>
      <c r="WKA198" s="234"/>
      <c r="WKB198" s="234"/>
      <c r="WKC198" s="234"/>
      <c r="WKD198" s="234"/>
      <c r="WKE198" s="234"/>
      <c r="WKF198" s="234"/>
      <c r="WKG198" s="234"/>
      <c r="WKH198" s="234"/>
      <c r="WKI198" s="234"/>
      <c r="WKJ198" s="234"/>
      <c r="WKK198" s="234"/>
      <c r="WKL198" s="234"/>
      <c r="WKM198" s="234"/>
      <c r="WKN198" s="234"/>
      <c r="WKO198" s="234"/>
      <c r="WKP198" s="234"/>
      <c r="WKQ198" s="234"/>
      <c r="WKR198" s="234"/>
      <c r="WKS198" s="234"/>
      <c r="WKT198" s="234"/>
      <c r="WKU198" s="234"/>
      <c r="WKV198" s="234"/>
      <c r="WKW198" s="234"/>
      <c r="WKX198" s="234"/>
      <c r="WKY198" s="234"/>
      <c r="WKZ198" s="234"/>
      <c r="WLA198" s="234"/>
      <c r="WLB198" s="234"/>
      <c r="WLC198" s="234"/>
      <c r="WLD198" s="234"/>
      <c r="WLE198" s="234"/>
      <c r="WLF198" s="234"/>
      <c r="WLG198" s="234"/>
      <c r="WLH198" s="234"/>
      <c r="WLI198" s="234"/>
      <c r="WLJ198" s="234"/>
      <c r="WLK198" s="234"/>
      <c r="WLL198" s="234"/>
      <c r="WLM198" s="234"/>
      <c r="WLN198" s="234"/>
      <c r="WLO198" s="234"/>
      <c r="WLP198" s="234"/>
      <c r="WLQ198" s="234"/>
      <c r="WLR198" s="234"/>
      <c r="WLS198" s="234"/>
      <c r="WLT198" s="234"/>
      <c r="WLU198" s="234"/>
      <c r="WLV198" s="234"/>
      <c r="WLW198" s="234"/>
      <c r="WLX198" s="234"/>
      <c r="WLY198" s="234"/>
      <c r="WLZ198" s="234"/>
      <c r="WMA198" s="234"/>
      <c r="WMB198" s="234"/>
      <c r="WMC198" s="234"/>
      <c r="WMD198" s="234"/>
      <c r="WME198" s="234"/>
      <c r="WMF198" s="234"/>
      <c r="WMG198" s="234"/>
      <c r="WMH198" s="234"/>
      <c r="WMI198" s="234"/>
      <c r="WMJ198" s="234"/>
      <c r="WMK198" s="234"/>
      <c r="WML198" s="234"/>
      <c r="WMM198" s="234"/>
      <c r="WMN198" s="234"/>
      <c r="WMO198" s="234"/>
      <c r="WMP198" s="234"/>
      <c r="WMQ198" s="234"/>
      <c r="WMR198" s="234"/>
      <c r="WMS198" s="234"/>
      <c r="WMT198" s="234"/>
      <c r="WMU198" s="234"/>
      <c r="WMV198" s="234"/>
      <c r="WMW198" s="234"/>
      <c r="WMX198" s="234"/>
      <c r="WMY198" s="234"/>
      <c r="WMZ198" s="234"/>
      <c r="WNA198" s="234"/>
      <c r="WNB198" s="234"/>
      <c r="WNC198" s="234"/>
      <c r="WND198" s="234"/>
      <c r="WNE198" s="234"/>
      <c r="WNF198" s="234"/>
      <c r="WNG198" s="234"/>
      <c r="WNH198" s="234"/>
      <c r="WNI198" s="234"/>
      <c r="WNJ198" s="234"/>
      <c r="WNK198" s="234"/>
      <c r="WNL198" s="234"/>
      <c r="WNM198" s="234"/>
      <c r="WNN198" s="234"/>
      <c r="WNO198" s="234"/>
      <c r="WNP198" s="234"/>
      <c r="WNQ198" s="234"/>
      <c r="WNR198" s="234"/>
      <c r="WNS198" s="234"/>
      <c r="WNT198" s="234"/>
      <c r="WNU198" s="234"/>
      <c r="WNV198" s="234"/>
      <c r="WNW198" s="234"/>
      <c r="WNX198" s="234"/>
      <c r="WNY198" s="234"/>
      <c r="WNZ198" s="234"/>
      <c r="WOA198" s="234"/>
      <c r="WOB198" s="234"/>
      <c r="WOC198" s="234"/>
      <c r="WOD198" s="234"/>
      <c r="WOE198" s="234"/>
      <c r="WOF198" s="234"/>
      <c r="WOG198" s="234"/>
      <c r="WOH198" s="234"/>
      <c r="WOI198" s="234"/>
      <c r="WOJ198" s="234"/>
      <c r="WOK198" s="234"/>
      <c r="WOL198" s="234"/>
      <c r="WOM198" s="234"/>
      <c r="WON198" s="234"/>
      <c r="WOO198" s="234"/>
      <c r="WOP198" s="234"/>
      <c r="WOQ198" s="234"/>
      <c r="WOR198" s="234"/>
      <c r="WOS198" s="234"/>
      <c r="WOT198" s="234"/>
      <c r="WOU198" s="234"/>
      <c r="WOV198" s="234"/>
      <c r="WOW198" s="234"/>
      <c r="WOX198" s="234"/>
      <c r="WOY198" s="234"/>
      <c r="WOZ198" s="234"/>
      <c r="WPA198" s="234"/>
      <c r="WPB198" s="234"/>
      <c r="WPC198" s="234"/>
      <c r="WPD198" s="234"/>
      <c r="WPE198" s="234"/>
      <c r="WPF198" s="234"/>
      <c r="WPG198" s="234"/>
      <c r="WPH198" s="234"/>
      <c r="WPI198" s="234"/>
      <c r="WPJ198" s="234"/>
      <c r="WPK198" s="234"/>
      <c r="WPL198" s="234"/>
      <c r="WPM198" s="234"/>
      <c r="WPN198" s="234"/>
      <c r="WPO198" s="234"/>
      <c r="WPP198" s="234"/>
      <c r="WPQ198" s="234"/>
      <c r="WPR198" s="234"/>
      <c r="WPS198" s="234"/>
      <c r="WPT198" s="234"/>
      <c r="WPU198" s="234"/>
      <c r="WPV198" s="234"/>
      <c r="WPW198" s="234"/>
      <c r="WPX198" s="234"/>
      <c r="WPY198" s="234"/>
      <c r="WPZ198" s="234"/>
      <c r="WQA198" s="234"/>
      <c r="WQB198" s="234"/>
      <c r="WQC198" s="234"/>
      <c r="WQD198" s="234"/>
      <c r="WQE198" s="234"/>
      <c r="WQF198" s="234"/>
      <c r="WQG198" s="234"/>
      <c r="WQH198" s="234"/>
      <c r="WQI198" s="234"/>
      <c r="WQJ198" s="234"/>
      <c r="WQK198" s="234"/>
      <c r="WQL198" s="234"/>
      <c r="WQM198" s="234"/>
      <c r="WQN198" s="234"/>
      <c r="WQO198" s="234"/>
      <c r="WQP198" s="234"/>
      <c r="WQQ198" s="234"/>
      <c r="WQR198" s="234"/>
      <c r="WQS198" s="234"/>
      <c r="WQT198" s="234"/>
      <c r="WQU198" s="234"/>
      <c r="WQV198" s="234"/>
      <c r="WQW198" s="234"/>
      <c r="WQX198" s="234"/>
      <c r="WQY198" s="234"/>
      <c r="WQZ198" s="234"/>
      <c r="WRA198" s="234"/>
      <c r="WRB198" s="234"/>
      <c r="WRC198" s="234"/>
      <c r="WRD198" s="234"/>
      <c r="WRE198" s="234"/>
      <c r="WRF198" s="234"/>
      <c r="WRG198" s="234"/>
      <c r="WRH198" s="234"/>
      <c r="WRI198" s="234"/>
      <c r="WRJ198" s="234"/>
      <c r="WRK198" s="234"/>
      <c r="WRL198" s="234"/>
      <c r="WRM198" s="234"/>
      <c r="WRN198" s="234"/>
      <c r="WRO198" s="234"/>
      <c r="WRP198" s="234"/>
      <c r="WRQ198" s="234"/>
      <c r="WRR198" s="234"/>
      <c r="WRS198" s="234"/>
      <c r="WRT198" s="234"/>
      <c r="WRU198" s="234"/>
      <c r="WRV198" s="234"/>
      <c r="WRW198" s="234"/>
      <c r="WRX198" s="234"/>
      <c r="WRY198" s="234"/>
      <c r="WRZ198" s="234"/>
      <c r="WSA198" s="234"/>
      <c r="WSB198" s="234"/>
      <c r="WSC198" s="234"/>
      <c r="WSD198" s="234"/>
      <c r="WSE198" s="234"/>
      <c r="WSF198" s="234"/>
      <c r="WSG198" s="234"/>
      <c r="WSH198" s="234"/>
      <c r="WSI198" s="234"/>
      <c r="WSJ198" s="234"/>
      <c r="WSK198" s="234"/>
      <c r="WSL198" s="234"/>
      <c r="WSM198" s="234"/>
      <c r="WSN198" s="234"/>
      <c r="WSO198" s="234"/>
      <c r="WSP198" s="234"/>
      <c r="WSQ198" s="234"/>
      <c r="WSR198" s="234"/>
      <c r="WSS198" s="234"/>
      <c r="WST198" s="234"/>
      <c r="WSU198" s="234"/>
      <c r="WSV198" s="234"/>
      <c r="WSW198" s="234"/>
      <c r="WSX198" s="234"/>
      <c r="WSY198" s="234"/>
      <c r="WSZ198" s="234"/>
      <c r="WTA198" s="234"/>
      <c r="WTB198" s="234"/>
      <c r="WTC198" s="234"/>
      <c r="WTD198" s="234"/>
      <c r="WTE198" s="234"/>
      <c r="WTF198" s="234"/>
      <c r="WTG198" s="234"/>
      <c r="WTH198" s="234"/>
      <c r="WTI198" s="234"/>
      <c r="WTJ198" s="234"/>
      <c r="WTK198" s="234"/>
      <c r="WTL198" s="234"/>
      <c r="WTM198" s="234"/>
      <c r="WTN198" s="234"/>
      <c r="WTO198" s="234"/>
      <c r="WTP198" s="234"/>
      <c r="WTQ198" s="234"/>
      <c r="WTR198" s="234"/>
      <c r="WTS198" s="234"/>
      <c r="WTT198" s="234"/>
      <c r="WTU198" s="234"/>
      <c r="WTV198" s="234"/>
      <c r="WTW198" s="234"/>
      <c r="WTX198" s="234"/>
      <c r="WTY198" s="234"/>
      <c r="WTZ198" s="234"/>
      <c r="WUA198" s="234"/>
      <c r="WUB198" s="234"/>
      <c r="WUC198" s="234"/>
      <c r="WUD198" s="234"/>
      <c r="WUE198" s="234"/>
      <c r="WUF198" s="234"/>
      <c r="WUG198" s="234"/>
      <c r="WUH198" s="234"/>
      <c r="WUI198" s="234"/>
      <c r="WUJ198" s="234"/>
      <c r="WUK198" s="234"/>
      <c r="WUL198" s="234"/>
      <c r="WUM198" s="234"/>
      <c r="WUN198" s="234"/>
      <c r="WUO198" s="234"/>
      <c r="WUP198" s="234"/>
      <c r="WUQ198" s="234"/>
      <c r="WUR198" s="234"/>
      <c r="WUS198" s="234"/>
      <c r="WUT198" s="234"/>
      <c r="WUU198" s="234"/>
      <c r="WUV198" s="234"/>
      <c r="WUW198" s="234"/>
      <c r="WUX198" s="234"/>
      <c r="WUY198" s="234"/>
      <c r="WUZ198" s="234"/>
      <c r="WVA198" s="234"/>
      <c r="WVB198" s="234"/>
      <c r="WVC198" s="234"/>
      <c r="WVD198" s="234"/>
      <c r="WVE198" s="234"/>
      <c r="WVF198" s="234"/>
      <c r="WVG198" s="234"/>
      <c r="WVH198" s="234"/>
      <c r="WVI198" s="234"/>
      <c r="WVJ198" s="234"/>
      <c r="WVK198" s="234"/>
      <c r="WVL198" s="234"/>
      <c r="WVM198" s="234"/>
      <c r="WVN198" s="234"/>
      <c r="WVO198" s="234"/>
      <c r="WVP198" s="234"/>
      <c r="WVQ198" s="234"/>
      <c r="WVR198" s="234"/>
      <c r="WVS198" s="234"/>
      <c r="WVT198" s="234"/>
      <c r="WVU198" s="234"/>
      <c r="WVV198" s="234"/>
      <c r="WVW198" s="234"/>
      <c r="WVX198" s="234"/>
      <c r="WVY198" s="234"/>
      <c r="WVZ198" s="234"/>
      <c r="WWA198" s="234"/>
    </row>
    <row r="199" spans="1:16147" x14ac:dyDescent="0.2">
      <c r="A199" s="234"/>
      <c r="B199" s="257" t="s">
        <v>463</v>
      </c>
      <c r="C199" s="234" t="s">
        <v>467</v>
      </c>
      <c r="D199" s="234">
        <v>2016</v>
      </c>
      <c r="E199" s="234">
        <v>5</v>
      </c>
      <c r="F199" s="234">
        <v>0</v>
      </c>
      <c r="G199" s="234"/>
      <c r="H199" s="234" t="s">
        <v>351</v>
      </c>
      <c r="I199" s="234">
        <v>10</v>
      </c>
      <c r="J199" s="233">
        <f t="shared" si="56"/>
        <v>2026</v>
      </c>
      <c r="K199" s="237">
        <f t="shared" si="57"/>
        <v>2026.4166666666667</v>
      </c>
      <c r="L199" s="245">
        <v>4254.7</v>
      </c>
      <c r="M199" s="239">
        <f t="shared" si="58"/>
        <v>4254.7</v>
      </c>
      <c r="N199" s="239">
        <f t="shared" si="59"/>
        <v>35.455833333333331</v>
      </c>
      <c r="O199" s="239">
        <f t="shared" si="60"/>
        <v>425.46999999999997</v>
      </c>
      <c r="P199" s="261">
        <f t="shared" si="61"/>
        <v>425.46999999999997</v>
      </c>
      <c r="Q199" s="261">
        <f t="shared" si="62"/>
        <v>2552.8199999999997</v>
      </c>
      <c r="R199" s="261">
        <f t="shared" si="63"/>
        <v>2978.2899999999995</v>
      </c>
      <c r="S199" s="261">
        <f t="shared" si="64"/>
        <v>1276.4100000000003</v>
      </c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  <c r="BA199" s="234"/>
      <c r="BB199" s="234"/>
      <c r="BC199" s="234"/>
      <c r="BD199" s="234"/>
      <c r="BE199" s="234"/>
      <c r="BF199" s="234"/>
      <c r="BG199" s="234"/>
      <c r="BH199" s="234"/>
      <c r="BI199" s="234"/>
      <c r="BJ199" s="234"/>
      <c r="BK199" s="234"/>
      <c r="BL199" s="234"/>
      <c r="BM199" s="234"/>
      <c r="BN199" s="234"/>
      <c r="BO199" s="234"/>
      <c r="BP199" s="234"/>
      <c r="BQ199" s="234"/>
      <c r="BR199" s="234"/>
      <c r="BS199" s="234"/>
      <c r="BT199" s="234"/>
      <c r="BU199" s="234"/>
      <c r="BV199" s="234"/>
      <c r="BW199" s="234"/>
      <c r="BX199" s="234"/>
      <c r="BY199" s="234"/>
      <c r="BZ199" s="234"/>
      <c r="CA199" s="234"/>
      <c r="CB199" s="234"/>
      <c r="CC199" s="234"/>
      <c r="CD199" s="234"/>
      <c r="CE199" s="234"/>
      <c r="CF199" s="234"/>
      <c r="CG199" s="234"/>
      <c r="CH199" s="234"/>
      <c r="CI199" s="234"/>
      <c r="CJ199" s="234"/>
      <c r="CK199" s="234"/>
      <c r="CL199" s="234"/>
      <c r="CM199" s="234"/>
      <c r="CN199" s="234"/>
      <c r="CO199" s="234"/>
      <c r="CP199" s="234"/>
      <c r="CQ199" s="234"/>
      <c r="CR199" s="234"/>
      <c r="CS199" s="234"/>
      <c r="CT199" s="234"/>
      <c r="CU199" s="234"/>
      <c r="CV199" s="234"/>
      <c r="CW199" s="234"/>
      <c r="CX199" s="234"/>
      <c r="CY199" s="234"/>
      <c r="CZ199" s="234"/>
      <c r="DA199" s="234"/>
      <c r="DB199" s="234"/>
      <c r="DC199" s="234"/>
      <c r="DD199" s="234"/>
      <c r="DE199" s="234"/>
      <c r="DF199" s="234"/>
      <c r="DG199" s="234"/>
      <c r="DH199" s="234"/>
      <c r="DI199" s="234"/>
      <c r="DJ199" s="234"/>
      <c r="DK199" s="234"/>
      <c r="DL199" s="234"/>
      <c r="DM199" s="234"/>
      <c r="DN199" s="234"/>
      <c r="DO199" s="234"/>
      <c r="DP199" s="234"/>
      <c r="DQ199" s="234"/>
      <c r="DR199" s="234"/>
      <c r="DS199" s="234"/>
      <c r="DT199" s="234"/>
      <c r="DU199" s="234"/>
      <c r="DV199" s="234"/>
      <c r="DW199" s="234"/>
      <c r="DX199" s="234"/>
      <c r="DY199" s="234"/>
      <c r="DZ199" s="234"/>
      <c r="EA199" s="234"/>
      <c r="EB199" s="234"/>
      <c r="EC199" s="234"/>
      <c r="ED199" s="234"/>
      <c r="EE199" s="234"/>
      <c r="EF199" s="234"/>
      <c r="EG199" s="234"/>
      <c r="EH199" s="234"/>
      <c r="EI199" s="234"/>
      <c r="EJ199" s="234"/>
      <c r="EK199" s="234"/>
      <c r="EL199" s="234"/>
      <c r="EM199" s="234"/>
      <c r="EN199" s="234"/>
      <c r="EO199" s="234"/>
      <c r="EP199" s="234"/>
      <c r="EQ199" s="234"/>
      <c r="ER199" s="234"/>
      <c r="ES199" s="234"/>
      <c r="ET199" s="234"/>
      <c r="EU199" s="234"/>
      <c r="EV199" s="234"/>
      <c r="EW199" s="234"/>
      <c r="EX199" s="234"/>
      <c r="EY199" s="234"/>
      <c r="EZ199" s="234"/>
      <c r="FA199" s="234"/>
      <c r="FB199" s="234"/>
      <c r="FC199" s="234"/>
      <c r="FD199" s="234"/>
      <c r="FE199" s="234"/>
      <c r="FF199" s="234"/>
      <c r="FG199" s="234"/>
      <c r="FH199" s="234"/>
      <c r="FI199" s="234"/>
      <c r="FJ199" s="234"/>
      <c r="FK199" s="234"/>
      <c r="FL199" s="234"/>
      <c r="FM199" s="234"/>
      <c r="FN199" s="234"/>
      <c r="FO199" s="234"/>
      <c r="FP199" s="234"/>
      <c r="FQ199" s="234"/>
      <c r="FR199" s="234"/>
      <c r="FS199" s="234"/>
      <c r="FT199" s="234"/>
      <c r="FU199" s="234"/>
      <c r="FV199" s="234"/>
      <c r="FW199" s="234"/>
      <c r="FX199" s="234"/>
      <c r="FY199" s="234"/>
      <c r="FZ199" s="234"/>
      <c r="GA199" s="234"/>
      <c r="GB199" s="234"/>
      <c r="GC199" s="234"/>
      <c r="GD199" s="234"/>
      <c r="GE199" s="234"/>
      <c r="GF199" s="234"/>
      <c r="GG199" s="234"/>
      <c r="GH199" s="234"/>
      <c r="GI199" s="234"/>
      <c r="GJ199" s="234"/>
      <c r="GK199" s="234"/>
      <c r="GL199" s="234"/>
      <c r="GM199" s="234"/>
      <c r="GN199" s="234"/>
      <c r="GO199" s="234"/>
      <c r="GP199" s="234"/>
      <c r="GQ199" s="234"/>
      <c r="GR199" s="234"/>
      <c r="GS199" s="234"/>
      <c r="GT199" s="234"/>
      <c r="GU199" s="234"/>
      <c r="GV199" s="234"/>
      <c r="GW199" s="234"/>
      <c r="GX199" s="234"/>
      <c r="GY199" s="234"/>
      <c r="GZ199" s="234"/>
      <c r="HA199" s="234"/>
      <c r="HB199" s="234"/>
      <c r="HC199" s="234"/>
      <c r="HD199" s="234"/>
      <c r="HE199" s="234"/>
      <c r="HF199" s="234"/>
      <c r="HG199" s="234"/>
      <c r="HH199" s="234"/>
      <c r="HI199" s="234"/>
      <c r="HJ199" s="234"/>
      <c r="HK199" s="234"/>
      <c r="HL199" s="234"/>
      <c r="HM199" s="234"/>
      <c r="HN199" s="234"/>
      <c r="HO199" s="234"/>
      <c r="HP199" s="234"/>
      <c r="HQ199" s="234"/>
      <c r="HR199" s="234"/>
      <c r="HS199" s="234"/>
      <c r="HT199" s="234"/>
      <c r="HU199" s="234"/>
      <c r="HV199" s="234"/>
      <c r="HW199" s="234"/>
      <c r="HX199" s="234"/>
      <c r="HY199" s="234"/>
      <c r="HZ199" s="234"/>
      <c r="IA199" s="234"/>
      <c r="IB199" s="234"/>
      <c r="IC199" s="234"/>
      <c r="ID199" s="234"/>
      <c r="IE199" s="234"/>
      <c r="IF199" s="234"/>
      <c r="IG199" s="234"/>
      <c r="IH199" s="234"/>
      <c r="II199" s="234"/>
      <c r="IJ199" s="234"/>
      <c r="IK199" s="234"/>
      <c r="IL199" s="234"/>
      <c r="IM199" s="234"/>
      <c r="IN199" s="234"/>
      <c r="IO199" s="234"/>
      <c r="IP199" s="234"/>
      <c r="IQ199" s="234"/>
      <c r="IR199" s="234"/>
      <c r="IS199" s="234"/>
      <c r="IT199" s="234"/>
      <c r="IU199" s="234"/>
      <c r="IV199" s="234"/>
      <c r="IW199" s="234"/>
      <c r="IX199" s="234"/>
      <c r="IY199" s="234"/>
      <c r="IZ199" s="234"/>
      <c r="JA199" s="234"/>
      <c r="JB199" s="234"/>
      <c r="JC199" s="234"/>
      <c r="JD199" s="234"/>
      <c r="JE199" s="234"/>
      <c r="JF199" s="234"/>
      <c r="JG199" s="234"/>
      <c r="JH199" s="234"/>
      <c r="JI199" s="234"/>
      <c r="JJ199" s="234"/>
      <c r="JK199" s="234"/>
      <c r="JL199" s="234"/>
      <c r="JM199" s="234"/>
      <c r="JN199" s="234"/>
      <c r="JO199" s="234"/>
      <c r="JP199" s="234"/>
      <c r="JQ199" s="234"/>
      <c r="JR199" s="234"/>
      <c r="JS199" s="234"/>
      <c r="JT199" s="234"/>
      <c r="JU199" s="234"/>
      <c r="JV199" s="234"/>
      <c r="JW199" s="234"/>
      <c r="JX199" s="234"/>
      <c r="JY199" s="234"/>
      <c r="JZ199" s="234"/>
      <c r="KA199" s="234"/>
      <c r="KB199" s="234"/>
      <c r="KC199" s="234"/>
      <c r="KD199" s="234"/>
      <c r="KE199" s="234"/>
      <c r="KF199" s="234"/>
      <c r="KG199" s="234"/>
      <c r="KH199" s="234"/>
      <c r="KI199" s="234"/>
      <c r="KJ199" s="234"/>
      <c r="KK199" s="234"/>
      <c r="KL199" s="234"/>
      <c r="KM199" s="234"/>
      <c r="KN199" s="234"/>
      <c r="KO199" s="234"/>
      <c r="KP199" s="234"/>
      <c r="KQ199" s="234"/>
      <c r="KR199" s="234"/>
      <c r="KS199" s="234"/>
      <c r="KT199" s="234"/>
      <c r="KU199" s="234"/>
      <c r="KV199" s="234"/>
      <c r="KW199" s="234"/>
      <c r="KX199" s="234"/>
      <c r="KY199" s="234"/>
      <c r="KZ199" s="234"/>
      <c r="LA199" s="234"/>
      <c r="LB199" s="234"/>
      <c r="LC199" s="234"/>
      <c r="LD199" s="234"/>
      <c r="LE199" s="234"/>
      <c r="LF199" s="234"/>
      <c r="LG199" s="234"/>
      <c r="LH199" s="234"/>
      <c r="LI199" s="234"/>
      <c r="LJ199" s="234"/>
      <c r="LK199" s="234"/>
      <c r="LL199" s="234"/>
      <c r="LM199" s="234"/>
      <c r="LN199" s="234"/>
      <c r="LO199" s="234"/>
      <c r="LP199" s="234"/>
      <c r="LQ199" s="234"/>
      <c r="LR199" s="234"/>
      <c r="LS199" s="234"/>
      <c r="LT199" s="234"/>
      <c r="LU199" s="234"/>
      <c r="LV199" s="234"/>
      <c r="LW199" s="234"/>
      <c r="LX199" s="234"/>
      <c r="LY199" s="234"/>
      <c r="LZ199" s="234"/>
      <c r="MA199" s="234"/>
      <c r="MB199" s="234"/>
      <c r="MC199" s="234"/>
      <c r="MD199" s="234"/>
      <c r="ME199" s="234"/>
      <c r="MF199" s="234"/>
      <c r="MG199" s="234"/>
      <c r="MH199" s="234"/>
      <c r="MI199" s="234"/>
      <c r="MJ199" s="234"/>
      <c r="MK199" s="234"/>
      <c r="ML199" s="234"/>
      <c r="MM199" s="234"/>
      <c r="MN199" s="234"/>
      <c r="MO199" s="234"/>
      <c r="MP199" s="234"/>
      <c r="MQ199" s="234"/>
      <c r="MR199" s="234"/>
      <c r="MS199" s="234"/>
      <c r="MT199" s="234"/>
      <c r="MU199" s="234"/>
      <c r="MV199" s="234"/>
      <c r="MW199" s="234"/>
      <c r="MX199" s="234"/>
      <c r="MY199" s="234"/>
      <c r="MZ199" s="234"/>
      <c r="NA199" s="234"/>
      <c r="NB199" s="234"/>
      <c r="NC199" s="234"/>
      <c r="ND199" s="234"/>
      <c r="NE199" s="234"/>
      <c r="NF199" s="234"/>
      <c r="NG199" s="234"/>
      <c r="NH199" s="234"/>
      <c r="NI199" s="234"/>
      <c r="NJ199" s="234"/>
      <c r="NK199" s="234"/>
      <c r="NL199" s="234"/>
      <c r="NM199" s="234"/>
      <c r="NN199" s="234"/>
      <c r="NO199" s="234"/>
      <c r="NP199" s="234"/>
      <c r="NQ199" s="234"/>
      <c r="NR199" s="234"/>
      <c r="NS199" s="234"/>
      <c r="NT199" s="234"/>
      <c r="NU199" s="234"/>
      <c r="NV199" s="234"/>
      <c r="NW199" s="234"/>
      <c r="NX199" s="234"/>
      <c r="NY199" s="234"/>
      <c r="NZ199" s="234"/>
      <c r="OA199" s="234"/>
      <c r="OB199" s="234"/>
      <c r="OC199" s="234"/>
      <c r="OD199" s="234"/>
      <c r="OE199" s="234"/>
      <c r="OF199" s="234"/>
      <c r="OG199" s="234"/>
      <c r="OH199" s="234"/>
      <c r="OI199" s="234"/>
      <c r="OJ199" s="234"/>
      <c r="OK199" s="234"/>
      <c r="OL199" s="234"/>
      <c r="OM199" s="234"/>
      <c r="ON199" s="234"/>
      <c r="OO199" s="234"/>
      <c r="OP199" s="234"/>
      <c r="OQ199" s="234"/>
      <c r="OR199" s="234"/>
      <c r="OS199" s="234"/>
      <c r="OT199" s="234"/>
      <c r="OU199" s="234"/>
      <c r="OV199" s="234"/>
      <c r="OW199" s="234"/>
      <c r="OX199" s="234"/>
      <c r="OY199" s="234"/>
      <c r="OZ199" s="234"/>
      <c r="PA199" s="234"/>
      <c r="PB199" s="234"/>
      <c r="PC199" s="234"/>
      <c r="PD199" s="234"/>
      <c r="PE199" s="234"/>
      <c r="PF199" s="234"/>
      <c r="PG199" s="234"/>
      <c r="PH199" s="234"/>
      <c r="PI199" s="234"/>
      <c r="PJ199" s="234"/>
      <c r="PK199" s="234"/>
      <c r="PL199" s="234"/>
      <c r="PM199" s="234"/>
      <c r="PN199" s="234"/>
      <c r="PO199" s="234"/>
      <c r="PP199" s="234"/>
      <c r="PQ199" s="234"/>
      <c r="PR199" s="234"/>
      <c r="PS199" s="234"/>
      <c r="PT199" s="234"/>
      <c r="PU199" s="234"/>
      <c r="PV199" s="234"/>
      <c r="PW199" s="234"/>
      <c r="PX199" s="234"/>
      <c r="PY199" s="234"/>
      <c r="PZ199" s="234"/>
      <c r="QA199" s="234"/>
      <c r="QB199" s="234"/>
      <c r="QC199" s="234"/>
      <c r="QD199" s="234"/>
      <c r="QE199" s="234"/>
      <c r="QF199" s="234"/>
      <c r="QG199" s="234"/>
      <c r="QH199" s="234"/>
      <c r="QI199" s="234"/>
      <c r="QJ199" s="234"/>
      <c r="QK199" s="234"/>
      <c r="QL199" s="234"/>
      <c r="QM199" s="234"/>
      <c r="QN199" s="234"/>
      <c r="QO199" s="234"/>
      <c r="QP199" s="234"/>
      <c r="QQ199" s="234"/>
      <c r="QR199" s="234"/>
      <c r="QS199" s="234"/>
      <c r="QT199" s="234"/>
      <c r="QU199" s="234"/>
      <c r="QV199" s="234"/>
      <c r="QW199" s="234"/>
      <c r="QX199" s="234"/>
      <c r="QY199" s="234"/>
      <c r="QZ199" s="234"/>
      <c r="RA199" s="234"/>
      <c r="RB199" s="234"/>
      <c r="RC199" s="234"/>
      <c r="RD199" s="234"/>
      <c r="RE199" s="234"/>
      <c r="RF199" s="234"/>
      <c r="RG199" s="234"/>
      <c r="RH199" s="234"/>
      <c r="RI199" s="234"/>
      <c r="RJ199" s="234"/>
      <c r="RK199" s="234"/>
      <c r="RL199" s="234"/>
      <c r="RM199" s="234"/>
      <c r="RN199" s="234"/>
      <c r="RO199" s="234"/>
      <c r="RP199" s="234"/>
      <c r="RQ199" s="234"/>
      <c r="RR199" s="234"/>
      <c r="RS199" s="234"/>
      <c r="RT199" s="234"/>
      <c r="RU199" s="234"/>
      <c r="RV199" s="234"/>
      <c r="RW199" s="234"/>
      <c r="RX199" s="234"/>
      <c r="RY199" s="234"/>
      <c r="RZ199" s="234"/>
      <c r="SA199" s="234"/>
      <c r="SB199" s="234"/>
      <c r="SC199" s="234"/>
      <c r="SD199" s="234"/>
      <c r="SE199" s="234"/>
      <c r="SF199" s="234"/>
      <c r="SG199" s="234"/>
      <c r="SH199" s="234"/>
      <c r="SI199" s="234"/>
      <c r="SJ199" s="234"/>
      <c r="SK199" s="234"/>
      <c r="SL199" s="234"/>
      <c r="SM199" s="234"/>
      <c r="SN199" s="234"/>
      <c r="SO199" s="234"/>
      <c r="SP199" s="234"/>
      <c r="SQ199" s="234"/>
      <c r="SR199" s="234"/>
      <c r="SS199" s="234"/>
      <c r="ST199" s="234"/>
      <c r="SU199" s="234"/>
      <c r="SV199" s="234"/>
      <c r="SW199" s="234"/>
      <c r="SX199" s="234"/>
      <c r="SY199" s="234"/>
      <c r="SZ199" s="234"/>
      <c r="TA199" s="234"/>
      <c r="TB199" s="234"/>
      <c r="TC199" s="234"/>
      <c r="TD199" s="234"/>
      <c r="TE199" s="234"/>
      <c r="TF199" s="234"/>
      <c r="TG199" s="234"/>
      <c r="TH199" s="234"/>
      <c r="TI199" s="234"/>
      <c r="TJ199" s="234"/>
      <c r="TK199" s="234"/>
      <c r="TL199" s="234"/>
      <c r="TM199" s="234"/>
      <c r="TN199" s="234"/>
      <c r="TO199" s="234"/>
      <c r="TP199" s="234"/>
      <c r="TQ199" s="234"/>
      <c r="TR199" s="234"/>
      <c r="TS199" s="234"/>
      <c r="TT199" s="234"/>
      <c r="TU199" s="234"/>
      <c r="TV199" s="234"/>
      <c r="TW199" s="234"/>
      <c r="TX199" s="234"/>
      <c r="TY199" s="234"/>
      <c r="TZ199" s="234"/>
      <c r="UA199" s="234"/>
      <c r="UB199" s="234"/>
      <c r="UC199" s="234"/>
      <c r="UD199" s="234"/>
      <c r="UE199" s="234"/>
      <c r="UF199" s="234"/>
      <c r="UG199" s="234"/>
      <c r="UH199" s="234"/>
      <c r="UI199" s="234"/>
      <c r="UJ199" s="234"/>
      <c r="UK199" s="234"/>
      <c r="UL199" s="234"/>
      <c r="UM199" s="234"/>
      <c r="UN199" s="234"/>
      <c r="UO199" s="234"/>
      <c r="UP199" s="234"/>
      <c r="UQ199" s="234"/>
      <c r="UR199" s="234"/>
      <c r="US199" s="234"/>
      <c r="UT199" s="234"/>
      <c r="UU199" s="234"/>
      <c r="UV199" s="234"/>
      <c r="UW199" s="234"/>
      <c r="UX199" s="234"/>
      <c r="UY199" s="234"/>
      <c r="UZ199" s="234"/>
      <c r="VA199" s="234"/>
      <c r="VB199" s="234"/>
      <c r="VC199" s="234"/>
      <c r="VD199" s="234"/>
      <c r="VE199" s="234"/>
      <c r="VF199" s="234"/>
      <c r="VG199" s="234"/>
      <c r="VH199" s="234"/>
      <c r="VI199" s="234"/>
      <c r="VJ199" s="234"/>
      <c r="VK199" s="234"/>
      <c r="VL199" s="234"/>
      <c r="VM199" s="234"/>
      <c r="VN199" s="234"/>
      <c r="VO199" s="234"/>
      <c r="VP199" s="234"/>
      <c r="VQ199" s="234"/>
      <c r="VR199" s="234"/>
      <c r="VS199" s="234"/>
      <c r="VT199" s="234"/>
      <c r="VU199" s="234"/>
      <c r="VV199" s="234"/>
      <c r="VW199" s="234"/>
      <c r="VX199" s="234"/>
      <c r="VY199" s="234"/>
      <c r="VZ199" s="234"/>
      <c r="WA199" s="234"/>
      <c r="WB199" s="234"/>
      <c r="WC199" s="234"/>
      <c r="WD199" s="234"/>
      <c r="WE199" s="234"/>
      <c r="WF199" s="234"/>
      <c r="WG199" s="234"/>
      <c r="WH199" s="234"/>
      <c r="WI199" s="234"/>
      <c r="WJ199" s="234"/>
      <c r="WK199" s="234"/>
      <c r="WL199" s="234"/>
      <c r="WM199" s="234"/>
      <c r="WN199" s="234"/>
      <c r="WO199" s="234"/>
      <c r="WP199" s="234"/>
      <c r="WQ199" s="234"/>
      <c r="WR199" s="234"/>
      <c r="WS199" s="234"/>
      <c r="WT199" s="234"/>
      <c r="WU199" s="234"/>
      <c r="WV199" s="234"/>
      <c r="WW199" s="234"/>
      <c r="WX199" s="234"/>
      <c r="WY199" s="234"/>
      <c r="WZ199" s="234"/>
      <c r="XA199" s="234"/>
      <c r="XB199" s="234"/>
      <c r="XC199" s="234"/>
      <c r="XD199" s="234"/>
      <c r="XE199" s="234"/>
      <c r="XF199" s="234"/>
      <c r="XG199" s="234"/>
      <c r="XH199" s="234"/>
      <c r="XI199" s="234"/>
      <c r="XJ199" s="234"/>
      <c r="XK199" s="234"/>
      <c r="XL199" s="234"/>
      <c r="XM199" s="234"/>
      <c r="XN199" s="234"/>
      <c r="XO199" s="234"/>
      <c r="XP199" s="234"/>
      <c r="XQ199" s="234"/>
      <c r="XR199" s="234"/>
      <c r="XS199" s="234"/>
      <c r="XT199" s="234"/>
      <c r="XU199" s="234"/>
      <c r="XV199" s="234"/>
      <c r="XW199" s="234"/>
      <c r="XX199" s="234"/>
      <c r="XY199" s="234"/>
      <c r="XZ199" s="234"/>
      <c r="YA199" s="234"/>
      <c r="YB199" s="234"/>
      <c r="YC199" s="234"/>
      <c r="YD199" s="234"/>
      <c r="YE199" s="234"/>
      <c r="YF199" s="234"/>
      <c r="YG199" s="234"/>
      <c r="YH199" s="234"/>
      <c r="YI199" s="234"/>
      <c r="YJ199" s="234"/>
      <c r="YK199" s="234"/>
      <c r="YL199" s="234"/>
      <c r="YM199" s="234"/>
      <c r="YN199" s="234"/>
      <c r="YO199" s="234"/>
      <c r="YP199" s="234"/>
      <c r="YQ199" s="234"/>
      <c r="YR199" s="234"/>
      <c r="YS199" s="234"/>
      <c r="YT199" s="234"/>
      <c r="YU199" s="234"/>
      <c r="YV199" s="234"/>
      <c r="YW199" s="234"/>
      <c r="YX199" s="234"/>
      <c r="YY199" s="234"/>
      <c r="YZ199" s="234"/>
      <c r="ZA199" s="234"/>
      <c r="ZB199" s="234"/>
      <c r="ZC199" s="234"/>
      <c r="ZD199" s="234"/>
      <c r="ZE199" s="234"/>
      <c r="ZF199" s="234"/>
      <c r="ZG199" s="234"/>
      <c r="ZH199" s="234"/>
      <c r="ZI199" s="234"/>
      <c r="ZJ199" s="234"/>
      <c r="ZK199" s="234"/>
      <c r="ZL199" s="234"/>
      <c r="ZM199" s="234"/>
      <c r="ZN199" s="234"/>
      <c r="ZO199" s="234"/>
      <c r="ZP199" s="234"/>
      <c r="ZQ199" s="234"/>
      <c r="ZR199" s="234"/>
      <c r="ZS199" s="234"/>
      <c r="ZT199" s="234"/>
      <c r="ZU199" s="234"/>
      <c r="ZV199" s="234"/>
      <c r="ZW199" s="234"/>
      <c r="ZX199" s="234"/>
      <c r="ZY199" s="234"/>
      <c r="ZZ199" s="234"/>
      <c r="AAA199" s="234"/>
      <c r="AAB199" s="234"/>
      <c r="AAC199" s="234"/>
      <c r="AAD199" s="234"/>
      <c r="AAE199" s="234"/>
      <c r="AAF199" s="234"/>
      <c r="AAG199" s="234"/>
      <c r="AAH199" s="234"/>
      <c r="AAI199" s="234"/>
      <c r="AAJ199" s="234"/>
      <c r="AAK199" s="234"/>
      <c r="AAL199" s="234"/>
      <c r="AAM199" s="234"/>
      <c r="AAN199" s="234"/>
      <c r="AAO199" s="234"/>
      <c r="AAP199" s="234"/>
      <c r="AAQ199" s="234"/>
      <c r="AAR199" s="234"/>
      <c r="AAS199" s="234"/>
      <c r="AAT199" s="234"/>
      <c r="AAU199" s="234"/>
      <c r="AAV199" s="234"/>
      <c r="AAW199" s="234"/>
      <c r="AAX199" s="234"/>
      <c r="AAY199" s="234"/>
      <c r="AAZ199" s="234"/>
      <c r="ABA199" s="234"/>
      <c r="ABB199" s="234"/>
      <c r="ABC199" s="234"/>
      <c r="ABD199" s="234"/>
      <c r="ABE199" s="234"/>
      <c r="ABF199" s="234"/>
      <c r="ABG199" s="234"/>
      <c r="ABH199" s="234"/>
      <c r="ABI199" s="234"/>
      <c r="ABJ199" s="234"/>
      <c r="ABK199" s="234"/>
      <c r="ABL199" s="234"/>
      <c r="ABM199" s="234"/>
      <c r="ABN199" s="234"/>
      <c r="ABO199" s="234"/>
      <c r="ABP199" s="234"/>
      <c r="ABQ199" s="234"/>
      <c r="ABR199" s="234"/>
      <c r="ABS199" s="234"/>
      <c r="ABT199" s="234"/>
      <c r="ABU199" s="234"/>
      <c r="ABV199" s="234"/>
      <c r="ABW199" s="234"/>
      <c r="ABX199" s="234"/>
      <c r="ABY199" s="234"/>
      <c r="ABZ199" s="234"/>
      <c r="ACA199" s="234"/>
      <c r="ACB199" s="234"/>
      <c r="ACC199" s="234"/>
      <c r="ACD199" s="234"/>
      <c r="ACE199" s="234"/>
      <c r="ACF199" s="234"/>
      <c r="ACG199" s="234"/>
      <c r="ACH199" s="234"/>
      <c r="ACI199" s="234"/>
      <c r="ACJ199" s="234"/>
      <c r="ACK199" s="234"/>
      <c r="ACL199" s="234"/>
      <c r="ACM199" s="234"/>
      <c r="ACN199" s="234"/>
      <c r="ACO199" s="234"/>
      <c r="ACP199" s="234"/>
      <c r="ACQ199" s="234"/>
      <c r="ACR199" s="234"/>
      <c r="ACS199" s="234"/>
      <c r="ACT199" s="234"/>
      <c r="ACU199" s="234"/>
      <c r="ACV199" s="234"/>
      <c r="ACW199" s="234"/>
      <c r="ACX199" s="234"/>
      <c r="ACY199" s="234"/>
      <c r="ACZ199" s="234"/>
      <c r="ADA199" s="234"/>
      <c r="ADB199" s="234"/>
      <c r="ADC199" s="234"/>
      <c r="ADD199" s="234"/>
      <c r="ADE199" s="234"/>
      <c r="ADF199" s="234"/>
      <c r="ADG199" s="234"/>
      <c r="ADH199" s="234"/>
      <c r="ADI199" s="234"/>
      <c r="ADJ199" s="234"/>
      <c r="ADK199" s="234"/>
      <c r="ADL199" s="234"/>
      <c r="ADM199" s="234"/>
      <c r="ADN199" s="234"/>
      <c r="ADO199" s="234"/>
      <c r="ADP199" s="234"/>
      <c r="ADQ199" s="234"/>
      <c r="ADR199" s="234"/>
      <c r="ADS199" s="234"/>
      <c r="ADT199" s="234"/>
      <c r="ADU199" s="234"/>
      <c r="ADV199" s="234"/>
      <c r="ADW199" s="234"/>
      <c r="ADX199" s="234"/>
      <c r="ADY199" s="234"/>
      <c r="ADZ199" s="234"/>
      <c r="AEA199" s="234"/>
      <c r="AEB199" s="234"/>
      <c r="AEC199" s="234"/>
      <c r="AED199" s="234"/>
      <c r="AEE199" s="234"/>
      <c r="AEF199" s="234"/>
      <c r="AEG199" s="234"/>
      <c r="AEH199" s="234"/>
      <c r="AEI199" s="234"/>
      <c r="AEJ199" s="234"/>
      <c r="AEK199" s="234"/>
      <c r="AEL199" s="234"/>
      <c r="AEM199" s="234"/>
      <c r="AEN199" s="234"/>
      <c r="AEO199" s="234"/>
      <c r="AEP199" s="234"/>
      <c r="AEQ199" s="234"/>
      <c r="AER199" s="234"/>
      <c r="AES199" s="234"/>
      <c r="AET199" s="234"/>
      <c r="AEU199" s="234"/>
      <c r="AEV199" s="234"/>
      <c r="AEW199" s="234"/>
      <c r="AEX199" s="234"/>
      <c r="AEY199" s="234"/>
      <c r="AEZ199" s="234"/>
      <c r="AFA199" s="234"/>
      <c r="AFB199" s="234"/>
      <c r="AFC199" s="234"/>
      <c r="AFD199" s="234"/>
      <c r="AFE199" s="234"/>
      <c r="AFF199" s="234"/>
      <c r="AFG199" s="234"/>
      <c r="AFH199" s="234"/>
      <c r="AFI199" s="234"/>
      <c r="AFJ199" s="234"/>
      <c r="AFK199" s="234"/>
      <c r="AFL199" s="234"/>
      <c r="AFM199" s="234"/>
      <c r="AFN199" s="234"/>
      <c r="AFO199" s="234"/>
      <c r="AFP199" s="234"/>
      <c r="AFQ199" s="234"/>
      <c r="AFR199" s="234"/>
      <c r="AFS199" s="234"/>
      <c r="AFT199" s="234"/>
      <c r="AFU199" s="234"/>
      <c r="AFV199" s="234"/>
      <c r="AFW199" s="234"/>
      <c r="AFX199" s="234"/>
      <c r="AFY199" s="234"/>
      <c r="AFZ199" s="234"/>
      <c r="AGA199" s="234"/>
      <c r="AGB199" s="234"/>
      <c r="AGC199" s="234"/>
      <c r="AGD199" s="234"/>
      <c r="AGE199" s="234"/>
      <c r="AGF199" s="234"/>
      <c r="AGG199" s="234"/>
      <c r="AGH199" s="234"/>
      <c r="AGI199" s="234"/>
      <c r="AGJ199" s="234"/>
      <c r="AGK199" s="234"/>
      <c r="AGL199" s="234"/>
      <c r="AGM199" s="234"/>
      <c r="AGN199" s="234"/>
      <c r="AGO199" s="234"/>
      <c r="AGP199" s="234"/>
      <c r="AGQ199" s="234"/>
      <c r="AGR199" s="234"/>
      <c r="AGS199" s="234"/>
      <c r="AGT199" s="234"/>
      <c r="AGU199" s="234"/>
      <c r="AGV199" s="234"/>
      <c r="AGW199" s="234"/>
      <c r="AGX199" s="234"/>
      <c r="AGY199" s="234"/>
      <c r="AGZ199" s="234"/>
      <c r="AHA199" s="234"/>
      <c r="AHB199" s="234"/>
      <c r="AHC199" s="234"/>
      <c r="AHD199" s="234"/>
      <c r="AHE199" s="234"/>
      <c r="AHF199" s="234"/>
      <c r="AHG199" s="234"/>
      <c r="AHH199" s="234"/>
      <c r="AHI199" s="234"/>
      <c r="AHJ199" s="234"/>
      <c r="AHK199" s="234"/>
      <c r="AHL199" s="234"/>
      <c r="AHM199" s="234"/>
      <c r="AHN199" s="234"/>
      <c r="AHO199" s="234"/>
      <c r="AHP199" s="234"/>
      <c r="AHQ199" s="234"/>
      <c r="AHR199" s="234"/>
      <c r="AHS199" s="234"/>
      <c r="AHT199" s="234"/>
      <c r="AHU199" s="234"/>
      <c r="AHV199" s="234"/>
      <c r="AHW199" s="234"/>
      <c r="AHX199" s="234"/>
      <c r="AHY199" s="234"/>
      <c r="AHZ199" s="234"/>
      <c r="AIA199" s="234"/>
      <c r="AIB199" s="234"/>
      <c r="AIC199" s="234"/>
      <c r="AID199" s="234"/>
      <c r="AIE199" s="234"/>
      <c r="AIF199" s="234"/>
      <c r="AIG199" s="234"/>
      <c r="AIH199" s="234"/>
      <c r="AII199" s="234"/>
      <c r="AIJ199" s="234"/>
      <c r="AIK199" s="234"/>
      <c r="AIL199" s="234"/>
      <c r="AIM199" s="234"/>
      <c r="AIN199" s="234"/>
      <c r="AIO199" s="234"/>
      <c r="AIP199" s="234"/>
      <c r="AIQ199" s="234"/>
      <c r="AIR199" s="234"/>
      <c r="AIS199" s="234"/>
      <c r="AIT199" s="234"/>
      <c r="AIU199" s="234"/>
      <c r="AIV199" s="234"/>
      <c r="AIW199" s="234"/>
      <c r="AIX199" s="234"/>
      <c r="AIY199" s="234"/>
      <c r="AIZ199" s="234"/>
      <c r="AJA199" s="234"/>
      <c r="AJB199" s="234"/>
      <c r="AJC199" s="234"/>
      <c r="AJD199" s="234"/>
      <c r="AJE199" s="234"/>
      <c r="AJF199" s="234"/>
      <c r="AJG199" s="234"/>
      <c r="AJH199" s="234"/>
      <c r="AJI199" s="234"/>
      <c r="AJJ199" s="234"/>
      <c r="AJK199" s="234"/>
      <c r="AJL199" s="234"/>
      <c r="AJM199" s="234"/>
      <c r="AJN199" s="234"/>
      <c r="AJO199" s="234"/>
      <c r="AJP199" s="234"/>
      <c r="AJQ199" s="234"/>
      <c r="AJR199" s="234"/>
      <c r="AJS199" s="234"/>
      <c r="AJT199" s="234"/>
      <c r="AJU199" s="234"/>
      <c r="AJV199" s="234"/>
      <c r="AJW199" s="234"/>
      <c r="AJX199" s="234"/>
      <c r="AJY199" s="234"/>
      <c r="AJZ199" s="234"/>
      <c r="AKA199" s="234"/>
      <c r="AKB199" s="234"/>
      <c r="AKC199" s="234"/>
      <c r="AKD199" s="234"/>
      <c r="AKE199" s="234"/>
      <c r="AKF199" s="234"/>
      <c r="AKG199" s="234"/>
      <c r="AKH199" s="234"/>
      <c r="AKI199" s="234"/>
      <c r="AKJ199" s="234"/>
      <c r="AKK199" s="234"/>
      <c r="AKL199" s="234"/>
      <c r="AKM199" s="234"/>
      <c r="AKN199" s="234"/>
      <c r="AKO199" s="234"/>
      <c r="AKP199" s="234"/>
      <c r="AKQ199" s="234"/>
      <c r="AKR199" s="234"/>
      <c r="AKS199" s="234"/>
      <c r="AKT199" s="234"/>
      <c r="AKU199" s="234"/>
      <c r="AKV199" s="234"/>
      <c r="AKW199" s="234"/>
      <c r="AKX199" s="234"/>
      <c r="AKY199" s="234"/>
      <c r="AKZ199" s="234"/>
      <c r="ALA199" s="234"/>
      <c r="ALB199" s="234"/>
      <c r="ALC199" s="234"/>
      <c r="ALD199" s="234"/>
      <c r="ALE199" s="234"/>
      <c r="ALF199" s="234"/>
      <c r="ALG199" s="234"/>
      <c r="ALH199" s="234"/>
      <c r="ALI199" s="234"/>
      <c r="ALJ199" s="234"/>
      <c r="ALK199" s="234"/>
      <c r="ALL199" s="234"/>
      <c r="ALM199" s="234"/>
      <c r="ALN199" s="234"/>
      <c r="ALO199" s="234"/>
      <c r="ALP199" s="234"/>
      <c r="ALQ199" s="234"/>
      <c r="ALR199" s="234"/>
      <c r="ALS199" s="234"/>
      <c r="ALT199" s="234"/>
      <c r="ALU199" s="234"/>
      <c r="ALV199" s="234"/>
      <c r="ALW199" s="234"/>
      <c r="ALX199" s="234"/>
      <c r="ALY199" s="234"/>
      <c r="ALZ199" s="234"/>
      <c r="AMA199" s="234"/>
      <c r="AMB199" s="234"/>
      <c r="AMC199" s="234"/>
      <c r="AMD199" s="234"/>
      <c r="AME199" s="234"/>
      <c r="AMF199" s="234"/>
      <c r="AMG199" s="234"/>
      <c r="AMH199" s="234"/>
      <c r="AMI199" s="234"/>
      <c r="AMJ199" s="234"/>
      <c r="AMK199" s="234"/>
      <c r="AML199" s="234"/>
      <c r="AMM199" s="234"/>
      <c r="AMN199" s="234"/>
      <c r="AMO199" s="234"/>
      <c r="AMP199" s="234"/>
      <c r="AMQ199" s="234"/>
      <c r="AMR199" s="234"/>
      <c r="AMS199" s="234"/>
      <c r="AMT199" s="234"/>
      <c r="AMU199" s="234"/>
      <c r="AMV199" s="234"/>
      <c r="AMW199" s="234"/>
      <c r="AMX199" s="234"/>
      <c r="AMY199" s="234"/>
      <c r="AMZ199" s="234"/>
      <c r="ANA199" s="234"/>
      <c r="ANB199" s="234"/>
      <c r="ANC199" s="234"/>
      <c r="AND199" s="234"/>
      <c r="ANE199" s="234"/>
      <c r="ANF199" s="234"/>
      <c r="ANG199" s="234"/>
      <c r="ANH199" s="234"/>
      <c r="ANI199" s="234"/>
      <c r="ANJ199" s="234"/>
      <c r="ANK199" s="234"/>
      <c r="ANL199" s="234"/>
      <c r="ANM199" s="234"/>
      <c r="ANN199" s="234"/>
      <c r="ANO199" s="234"/>
      <c r="ANP199" s="234"/>
      <c r="ANQ199" s="234"/>
      <c r="ANR199" s="234"/>
      <c r="ANS199" s="234"/>
      <c r="ANT199" s="234"/>
      <c r="ANU199" s="234"/>
      <c r="ANV199" s="234"/>
      <c r="ANW199" s="234"/>
      <c r="ANX199" s="234"/>
      <c r="ANY199" s="234"/>
      <c r="ANZ199" s="234"/>
      <c r="AOA199" s="234"/>
      <c r="AOB199" s="234"/>
      <c r="AOC199" s="234"/>
      <c r="AOD199" s="234"/>
      <c r="AOE199" s="234"/>
      <c r="AOF199" s="234"/>
      <c r="AOG199" s="234"/>
      <c r="AOH199" s="234"/>
      <c r="AOI199" s="234"/>
      <c r="AOJ199" s="234"/>
      <c r="AOK199" s="234"/>
      <c r="AOL199" s="234"/>
      <c r="AOM199" s="234"/>
      <c r="AON199" s="234"/>
      <c r="AOO199" s="234"/>
      <c r="AOP199" s="234"/>
      <c r="AOQ199" s="234"/>
      <c r="AOR199" s="234"/>
      <c r="AOS199" s="234"/>
      <c r="AOT199" s="234"/>
      <c r="AOU199" s="234"/>
      <c r="AOV199" s="234"/>
      <c r="AOW199" s="234"/>
      <c r="AOX199" s="234"/>
      <c r="AOY199" s="234"/>
      <c r="AOZ199" s="234"/>
      <c r="APA199" s="234"/>
      <c r="APB199" s="234"/>
      <c r="APC199" s="234"/>
      <c r="APD199" s="234"/>
      <c r="APE199" s="234"/>
      <c r="APF199" s="234"/>
      <c r="APG199" s="234"/>
      <c r="APH199" s="234"/>
      <c r="API199" s="234"/>
      <c r="APJ199" s="234"/>
      <c r="APK199" s="234"/>
      <c r="APL199" s="234"/>
      <c r="APM199" s="234"/>
      <c r="APN199" s="234"/>
      <c r="APO199" s="234"/>
      <c r="APP199" s="234"/>
      <c r="APQ199" s="234"/>
      <c r="APR199" s="234"/>
      <c r="APS199" s="234"/>
      <c r="APT199" s="234"/>
      <c r="APU199" s="234"/>
      <c r="APV199" s="234"/>
      <c r="APW199" s="234"/>
      <c r="APX199" s="234"/>
      <c r="APY199" s="234"/>
      <c r="APZ199" s="234"/>
      <c r="AQA199" s="234"/>
      <c r="AQB199" s="234"/>
      <c r="AQC199" s="234"/>
      <c r="AQD199" s="234"/>
      <c r="AQE199" s="234"/>
      <c r="AQF199" s="234"/>
      <c r="AQG199" s="234"/>
      <c r="AQH199" s="234"/>
      <c r="AQI199" s="234"/>
      <c r="AQJ199" s="234"/>
      <c r="AQK199" s="234"/>
      <c r="AQL199" s="234"/>
      <c r="AQM199" s="234"/>
      <c r="AQN199" s="234"/>
      <c r="AQO199" s="234"/>
      <c r="AQP199" s="234"/>
      <c r="AQQ199" s="234"/>
      <c r="AQR199" s="234"/>
      <c r="AQS199" s="234"/>
      <c r="AQT199" s="234"/>
      <c r="AQU199" s="234"/>
      <c r="AQV199" s="234"/>
      <c r="AQW199" s="234"/>
      <c r="AQX199" s="234"/>
      <c r="AQY199" s="234"/>
      <c r="AQZ199" s="234"/>
      <c r="ARA199" s="234"/>
      <c r="ARB199" s="234"/>
      <c r="ARC199" s="234"/>
      <c r="ARD199" s="234"/>
      <c r="ARE199" s="234"/>
      <c r="ARF199" s="234"/>
      <c r="ARG199" s="234"/>
      <c r="ARH199" s="234"/>
      <c r="ARI199" s="234"/>
      <c r="ARJ199" s="234"/>
      <c r="ARK199" s="234"/>
      <c r="ARL199" s="234"/>
      <c r="ARM199" s="234"/>
      <c r="ARN199" s="234"/>
      <c r="ARO199" s="234"/>
      <c r="ARP199" s="234"/>
      <c r="ARQ199" s="234"/>
      <c r="ARR199" s="234"/>
      <c r="ARS199" s="234"/>
      <c r="ART199" s="234"/>
      <c r="ARU199" s="234"/>
      <c r="ARV199" s="234"/>
      <c r="ARW199" s="234"/>
      <c r="ARX199" s="234"/>
      <c r="ARY199" s="234"/>
      <c r="ARZ199" s="234"/>
      <c r="ASA199" s="234"/>
      <c r="ASB199" s="234"/>
      <c r="ASC199" s="234"/>
      <c r="ASD199" s="234"/>
      <c r="ASE199" s="234"/>
      <c r="ASF199" s="234"/>
      <c r="ASG199" s="234"/>
      <c r="ASH199" s="234"/>
      <c r="ASI199" s="234"/>
      <c r="ASJ199" s="234"/>
      <c r="ASK199" s="234"/>
      <c r="ASL199" s="234"/>
      <c r="ASM199" s="234"/>
      <c r="ASN199" s="234"/>
      <c r="ASO199" s="234"/>
      <c r="ASP199" s="234"/>
      <c r="ASQ199" s="234"/>
      <c r="ASR199" s="234"/>
      <c r="ASS199" s="234"/>
      <c r="AST199" s="234"/>
      <c r="ASU199" s="234"/>
      <c r="ASV199" s="234"/>
      <c r="ASW199" s="234"/>
      <c r="ASX199" s="234"/>
      <c r="ASY199" s="234"/>
      <c r="ASZ199" s="234"/>
      <c r="ATA199" s="234"/>
      <c r="ATB199" s="234"/>
      <c r="ATC199" s="234"/>
      <c r="ATD199" s="234"/>
      <c r="ATE199" s="234"/>
      <c r="ATF199" s="234"/>
      <c r="ATG199" s="234"/>
      <c r="ATH199" s="234"/>
      <c r="ATI199" s="234"/>
      <c r="ATJ199" s="234"/>
      <c r="ATK199" s="234"/>
      <c r="ATL199" s="234"/>
      <c r="ATM199" s="234"/>
      <c r="ATN199" s="234"/>
      <c r="ATO199" s="234"/>
      <c r="ATP199" s="234"/>
      <c r="ATQ199" s="234"/>
      <c r="ATR199" s="234"/>
      <c r="ATS199" s="234"/>
      <c r="ATT199" s="234"/>
      <c r="ATU199" s="234"/>
      <c r="ATV199" s="234"/>
      <c r="ATW199" s="234"/>
      <c r="ATX199" s="234"/>
      <c r="ATY199" s="234"/>
      <c r="ATZ199" s="234"/>
      <c r="AUA199" s="234"/>
      <c r="AUB199" s="234"/>
      <c r="AUC199" s="234"/>
      <c r="AUD199" s="234"/>
      <c r="AUE199" s="234"/>
      <c r="AUF199" s="234"/>
      <c r="AUG199" s="234"/>
      <c r="AUH199" s="234"/>
      <c r="AUI199" s="234"/>
      <c r="AUJ199" s="234"/>
      <c r="AUK199" s="234"/>
      <c r="AUL199" s="234"/>
      <c r="AUM199" s="234"/>
      <c r="AUN199" s="234"/>
      <c r="AUO199" s="234"/>
      <c r="AUP199" s="234"/>
      <c r="AUQ199" s="234"/>
      <c r="AUR199" s="234"/>
      <c r="AUS199" s="234"/>
      <c r="AUT199" s="234"/>
      <c r="AUU199" s="234"/>
      <c r="AUV199" s="234"/>
      <c r="AUW199" s="234"/>
      <c r="AUX199" s="234"/>
      <c r="AUY199" s="234"/>
      <c r="AUZ199" s="234"/>
      <c r="AVA199" s="234"/>
      <c r="AVB199" s="234"/>
      <c r="AVC199" s="234"/>
      <c r="AVD199" s="234"/>
      <c r="AVE199" s="234"/>
      <c r="AVF199" s="234"/>
      <c r="AVG199" s="234"/>
      <c r="AVH199" s="234"/>
      <c r="AVI199" s="234"/>
      <c r="AVJ199" s="234"/>
      <c r="AVK199" s="234"/>
      <c r="AVL199" s="234"/>
      <c r="AVM199" s="234"/>
      <c r="AVN199" s="234"/>
      <c r="AVO199" s="234"/>
      <c r="AVP199" s="234"/>
      <c r="AVQ199" s="234"/>
      <c r="AVR199" s="234"/>
      <c r="AVS199" s="234"/>
      <c r="AVT199" s="234"/>
      <c r="AVU199" s="234"/>
      <c r="AVV199" s="234"/>
      <c r="AVW199" s="234"/>
      <c r="AVX199" s="234"/>
      <c r="AVY199" s="234"/>
      <c r="AVZ199" s="234"/>
      <c r="AWA199" s="234"/>
      <c r="AWB199" s="234"/>
      <c r="AWC199" s="234"/>
      <c r="AWD199" s="234"/>
      <c r="AWE199" s="234"/>
      <c r="AWF199" s="234"/>
      <c r="AWG199" s="234"/>
      <c r="AWH199" s="234"/>
      <c r="AWI199" s="234"/>
      <c r="AWJ199" s="234"/>
      <c r="AWK199" s="234"/>
      <c r="AWL199" s="234"/>
      <c r="AWM199" s="234"/>
      <c r="AWN199" s="234"/>
      <c r="AWO199" s="234"/>
      <c r="AWP199" s="234"/>
      <c r="AWQ199" s="234"/>
      <c r="AWR199" s="234"/>
      <c r="AWS199" s="234"/>
      <c r="AWT199" s="234"/>
      <c r="AWU199" s="234"/>
      <c r="AWV199" s="234"/>
      <c r="AWW199" s="234"/>
      <c r="AWX199" s="234"/>
      <c r="AWY199" s="234"/>
      <c r="AWZ199" s="234"/>
      <c r="AXA199" s="234"/>
      <c r="AXB199" s="234"/>
      <c r="AXC199" s="234"/>
      <c r="AXD199" s="234"/>
      <c r="AXE199" s="234"/>
      <c r="AXF199" s="234"/>
      <c r="AXG199" s="234"/>
      <c r="AXH199" s="234"/>
      <c r="AXI199" s="234"/>
      <c r="AXJ199" s="234"/>
      <c r="AXK199" s="234"/>
      <c r="AXL199" s="234"/>
      <c r="AXM199" s="234"/>
      <c r="AXN199" s="234"/>
      <c r="AXO199" s="234"/>
      <c r="AXP199" s="234"/>
      <c r="AXQ199" s="234"/>
      <c r="AXR199" s="234"/>
      <c r="AXS199" s="234"/>
      <c r="AXT199" s="234"/>
      <c r="AXU199" s="234"/>
      <c r="AXV199" s="234"/>
      <c r="AXW199" s="234"/>
      <c r="AXX199" s="234"/>
      <c r="AXY199" s="234"/>
      <c r="AXZ199" s="234"/>
      <c r="AYA199" s="234"/>
      <c r="AYB199" s="234"/>
      <c r="AYC199" s="234"/>
      <c r="AYD199" s="234"/>
      <c r="AYE199" s="234"/>
      <c r="AYF199" s="234"/>
      <c r="AYG199" s="234"/>
      <c r="AYH199" s="234"/>
      <c r="AYI199" s="234"/>
      <c r="AYJ199" s="234"/>
      <c r="AYK199" s="234"/>
      <c r="AYL199" s="234"/>
      <c r="AYM199" s="234"/>
      <c r="AYN199" s="234"/>
      <c r="AYO199" s="234"/>
      <c r="AYP199" s="234"/>
      <c r="AYQ199" s="234"/>
      <c r="AYR199" s="234"/>
      <c r="AYS199" s="234"/>
      <c r="AYT199" s="234"/>
      <c r="AYU199" s="234"/>
      <c r="AYV199" s="234"/>
      <c r="AYW199" s="234"/>
      <c r="AYX199" s="234"/>
      <c r="AYY199" s="234"/>
      <c r="AYZ199" s="234"/>
      <c r="AZA199" s="234"/>
      <c r="AZB199" s="234"/>
      <c r="AZC199" s="234"/>
      <c r="AZD199" s="234"/>
      <c r="AZE199" s="234"/>
      <c r="AZF199" s="234"/>
      <c r="AZG199" s="234"/>
      <c r="AZH199" s="234"/>
      <c r="AZI199" s="234"/>
      <c r="AZJ199" s="234"/>
      <c r="AZK199" s="234"/>
      <c r="AZL199" s="234"/>
      <c r="AZM199" s="234"/>
      <c r="AZN199" s="234"/>
      <c r="AZO199" s="234"/>
      <c r="AZP199" s="234"/>
      <c r="AZQ199" s="234"/>
      <c r="AZR199" s="234"/>
      <c r="AZS199" s="234"/>
      <c r="AZT199" s="234"/>
      <c r="AZU199" s="234"/>
      <c r="AZV199" s="234"/>
      <c r="AZW199" s="234"/>
      <c r="AZX199" s="234"/>
      <c r="AZY199" s="234"/>
      <c r="AZZ199" s="234"/>
      <c r="BAA199" s="234"/>
      <c r="BAB199" s="234"/>
      <c r="BAC199" s="234"/>
      <c r="BAD199" s="234"/>
      <c r="BAE199" s="234"/>
      <c r="BAF199" s="234"/>
      <c r="BAG199" s="234"/>
      <c r="BAH199" s="234"/>
      <c r="BAI199" s="234"/>
      <c r="BAJ199" s="234"/>
      <c r="BAK199" s="234"/>
      <c r="BAL199" s="234"/>
      <c r="BAM199" s="234"/>
      <c r="BAN199" s="234"/>
      <c r="BAO199" s="234"/>
      <c r="BAP199" s="234"/>
      <c r="BAQ199" s="234"/>
      <c r="BAR199" s="234"/>
      <c r="BAS199" s="234"/>
      <c r="BAT199" s="234"/>
      <c r="BAU199" s="234"/>
      <c r="BAV199" s="234"/>
      <c r="BAW199" s="234"/>
      <c r="BAX199" s="234"/>
      <c r="BAY199" s="234"/>
      <c r="BAZ199" s="234"/>
      <c r="BBA199" s="234"/>
      <c r="BBB199" s="234"/>
      <c r="BBC199" s="234"/>
      <c r="BBD199" s="234"/>
      <c r="BBE199" s="234"/>
      <c r="BBF199" s="234"/>
      <c r="BBG199" s="234"/>
      <c r="BBH199" s="234"/>
      <c r="BBI199" s="234"/>
      <c r="BBJ199" s="234"/>
      <c r="BBK199" s="234"/>
      <c r="BBL199" s="234"/>
      <c r="BBM199" s="234"/>
      <c r="BBN199" s="234"/>
      <c r="BBO199" s="234"/>
      <c r="BBP199" s="234"/>
      <c r="BBQ199" s="234"/>
      <c r="BBR199" s="234"/>
      <c r="BBS199" s="234"/>
      <c r="BBT199" s="234"/>
      <c r="BBU199" s="234"/>
      <c r="BBV199" s="234"/>
      <c r="BBW199" s="234"/>
      <c r="BBX199" s="234"/>
      <c r="BBY199" s="234"/>
      <c r="BBZ199" s="234"/>
      <c r="BCA199" s="234"/>
      <c r="BCB199" s="234"/>
      <c r="BCC199" s="234"/>
      <c r="BCD199" s="234"/>
      <c r="BCE199" s="234"/>
      <c r="BCF199" s="234"/>
      <c r="BCG199" s="234"/>
      <c r="BCH199" s="234"/>
      <c r="BCI199" s="234"/>
      <c r="BCJ199" s="234"/>
      <c r="BCK199" s="234"/>
      <c r="BCL199" s="234"/>
      <c r="BCM199" s="234"/>
      <c r="BCN199" s="234"/>
      <c r="BCO199" s="234"/>
      <c r="BCP199" s="234"/>
      <c r="BCQ199" s="234"/>
      <c r="BCR199" s="234"/>
      <c r="BCS199" s="234"/>
      <c r="BCT199" s="234"/>
      <c r="BCU199" s="234"/>
      <c r="BCV199" s="234"/>
      <c r="BCW199" s="234"/>
      <c r="BCX199" s="234"/>
      <c r="BCY199" s="234"/>
      <c r="BCZ199" s="234"/>
      <c r="BDA199" s="234"/>
      <c r="BDB199" s="234"/>
      <c r="BDC199" s="234"/>
      <c r="BDD199" s="234"/>
      <c r="BDE199" s="234"/>
      <c r="BDF199" s="234"/>
      <c r="BDG199" s="234"/>
      <c r="BDH199" s="234"/>
      <c r="BDI199" s="234"/>
      <c r="BDJ199" s="234"/>
      <c r="BDK199" s="234"/>
      <c r="BDL199" s="234"/>
      <c r="BDM199" s="234"/>
      <c r="BDN199" s="234"/>
      <c r="BDO199" s="234"/>
      <c r="BDP199" s="234"/>
      <c r="BDQ199" s="234"/>
      <c r="BDR199" s="234"/>
      <c r="BDS199" s="234"/>
      <c r="BDT199" s="234"/>
      <c r="BDU199" s="234"/>
      <c r="BDV199" s="234"/>
      <c r="BDW199" s="234"/>
      <c r="BDX199" s="234"/>
      <c r="BDY199" s="234"/>
      <c r="BDZ199" s="234"/>
      <c r="BEA199" s="234"/>
      <c r="BEB199" s="234"/>
      <c r="BEC199" s="234"/>
      <c r="BED199" s="234"/>
      <c r="BEE199" s="234"/>
      <c r="BEF199" s="234"/>
      <c r="BEG199" s="234"/>
      <c r="BEH199" s="234"/>
      <c r="BEI199" s="234"/>
      <c r="BEJ199" s="234"/>
      <c r="BEK199" s="234"/>
      <c r="BEL199" s="234"/>
      <c r="BEM199" s="234"/>
      <c r="BEN199" s="234"/>
      <c r="BEO199" s="234"/>
      <c r="BEP199" s="234"/>
      <c r="BEQ199" s="234"/>
      <c r="BER199" s="234"/>
      <c r="BES199" s="234"/>
      <c r="BET199" s="234"/>
      <c r="BEU199" s="234"/>
      <c r="BEV199" s="234"/>
      <c r="BEW199" s="234"/>
      <c r="BEX199" s="234"/>
      <c r="BEY199" s="234"/>
      <c r="BEZ199" s="234"/>
      <c r="BFA199" s="234"/>
      <c r="BFB199" s="234"/>
      <c r="BFC199" s="234"/>
      <c r="BFD199" s="234"/>
      <c r="BFE199" s="234"/>
      <c r="BFF199" s="234"/>
      <c r="BFG199" s="234"/>
      <c r="BFH199" s="234"/>
      <c r="BFI199" s="234"/>
      <c r="BFJ199" s="234"/>
      <c r="BFK199" s="234"/>
      <c r="BFL199" s="234"/>
      <c r="BFM199" s="234"/>
      <c r="BFN199" s="234"/>
      <c r="BFO199" s="234"/>
      <c r="BFP199" s="234"/>
      <c r="BFQ199" s="234"/>
      <c r="BFR199" s="234"/>
      <c r="BFS199" s="234"/>
      <c r="BFT199" s="234"/>
      <c r="BFU199" s="234"/>
      <c r="BFV199" s="234"/>
      <c r="BFW199" s="234"/>
      <c r="BFX199" s="234"/>
      <c r="BFY199" s="234"/>
      <c r="BFZ199" s="234"/>
      <c r="BGA199" s="234"/>
      <c r="BGB199" s="234"/>
      <c r="BGC199" s="234"/>
      <c r="BGD199" s="234"/>
      <c r="BGE199" s="234"/>
      <c r="BGF199" s="234"/>
      <c r="BGG199" s="234"/>
      <c r="BGH199" s="234"/>
      <c r="BGI199" s="234"/>
      <c r="BGJ199" s="234"/>
      <c r="BGK199" s="234"/>
      <c r="BGL199" s="234"/>
      <c r="BGM199" s="234"/>
      <c r="BGN199" s="234"/>
      <c r="BGO199" s="234"/>
      <c r="BGP199" s="234"/>
      <c r="BGQ199" s="234"/>
      <c r="BGR199" s="234"/>
      <c r="BGS199" s="234"/>
      <c r="BGT199" s="234"/>
      <c r="BGU199" s="234"/>
      <c r="BGV199" s="234"/>
      <c r="BGW199" s="234"/>
      <c r="BGX199" s="234"/>
      <c r="BGY199" s="234"/>
      <c r="BGZ199" s="234"/>
      <c r="BHA199" s="234"/>
      <c r="BHB199" s="234"/>
      <c r="BHC199" s="234"/>
      <c r="BHD199" s="234"/>
      <c r="BHE199" s="234"/>
      <c r="BHF199" s="234"/>
      <c r="BHG199" s="234"/>
      <c r="BHH199" s="234"/>
      <c r="BHI199" s="234"/>
      <c r="BHJ199" s="234"/>
      <c r="BHK199" s="234"/>
      <c r="BHL199" s="234"/>
      <c r="BHM199" s="234"/>
      <c r="BHN199" s="234"/>
      <c r="BHO199" s="234"/>
      <c r="BHP199" s="234"/>
      <c r="BHQ199" s="234"/>
      <c r="BHR199" s="234"/>
      <c r="BHS199" s="234"/>
      <c r="BHT199" s="234"/>
      <c r="BHU199" s="234"/>
      <c r="BHV199" s="234"/>
      <c r="BHW199" s="234"/>
      <c r="BHX199" s="234"/>
      <c r="BHY199" s="234"/>
      <c r="BHZ199" s="234"/>
      <c r="BIA199" s="234"/>
      <c r="BIB199" s="234"/>
      <c r="BIC199" s="234"/>
      <c r="BID199" s="234"/>
      <c r="BIE199" s="234"/>
      <c r="BIF199" s="234"/>
      <c r="BIG199" s="234"/>
      <c r="BIH199" s="234"/>
      <c r="BII199" s="234"/>
      <c r="BIJ199" s="234"/>
      <c r="BIK199" s="234"/>
      <c r="BIL199" s="234"/>
      <c r="BIM199" s="234"/>
      <c r="BIN199" s="234"/>
      <c r="BIO199" s="234"/>
      <c r="BIP199" s="234"/>
      <c r="BIQ199" s="234"/>
      <c r="BIR199" s="234"/>
      <c r="BIS199" s="234"/>
      <c r="BIT199" s="234"/>
      <c r="BIU199" s="234"/>
      <c r="BIV199" s="234"/>
      <c r="BIW199" s="234"/>
      <c r="BIX199" s="234"/>
      <c r="BIY199" s="234"/>
      <c r="BIZ199" s="234"/>
      <c r="BJA199" s="234"/>
      <c r="BJB199" s="234"/>
      <c r="BJC199" s="234"/>
      <c r="BJD199" s="234"/>
      <c r="BJE199" s="234"/>
      <c r="BJF199" s="234"/>
      <c r="BJG199" s="234"/>
      <c r="BJH199" s="234"/>
      <c r="BJI199" s="234"/>
      <c r="BJJ199" s="234"/>
      <c r="BJK199" s="234"/>
      <c r="BJL199" s="234"/>
      <c r="BJM199" s="234"/>
      <c r="BJN199" s="234"/>
      <c r="BJO199" s="234"/>
      <c r="BJP199" s="234"/>
      <c r="BJQ199" s="234"/>
      <c r="BJR199" s="234"/>
      <c r="BJS199" s="234"/>
      <c r="BJT199" s="234"/>
      <c r="BJU199" s="234"/>
      <c r="BJV199" s="234"/>
      <c r="BJW199" s="234"/>
      <c r="BJX199" s="234"/>
      <c r="BJY199" s="234"/>
      <c r="BJZ199" s="234"/>
      <c r="BKA199" s="234"/>
      <c r="BKB199" s="234"/>
      <c r="BKC199" s="234"/>
      <c r="BKD199" s="234"/>
      <c r="BKE199" s="234"/>
      <c r="BKF199" s="234"/>
      <c r="BKG199" s="234"/>
      <c r="BKH199" s="234"/>
      <c r="BKI199" s="234"/>
      <c r="BKJ199" s="234"/>
      <c r="BKK199" s="234"/>
      <c r="BKL199" s="234"/>
      <c r="BKM199" s="234"/>
      <c r="BKN199" s="234"/>
      <c r="BKO199" s="234"/>
      <c r="BKP199" s="234"/>
      <c r="BKQ199" s="234"/>
      <c r="BKR199" s="234"/>
      <c r="BKS199" s="234"/>
      <c r="BKT199" s="234"/>
      <c r="BKU199" s="234"/>
      <c r="BKV199" s="234"/>
      <c r="BKW199" s="234"/>
      <c r="BKX199" s="234"/>
      <c r="BKY199" s="234"/>
      <c r="BKZ199" s="234"/>
      <c r="BLA199" s="234"/>
      <c r="BLB199" s="234"/>
      <c r="BLC199" s="234"/>
      <c r="BLD199" s="234"/>
      <c r="BLE199" s="234"/>
      <c r="BLF199" s="234"/>
      <c r="BLG199" s="234"/>
      <c r="BLH199" s="234"/>
      <c r="BLI199" s="234"/>
      <c r="BLJ199" s="234"/>
      <c r="BLK199" s="234"/>
      <c r="BLL199" s="234"/>
      <c r="BLM199" s="234"/>
      <c r="BLN199" s="234"/>
      <c r="BLO199" s="234"/>
      <c r="BLP199" s="234"/>
      <c r="BLQ199" s="234"/>
      <c r="BLR199" s="234"/>
      <c r="BLS199" s="234"/>
      <c r="BLT199" s="234"/>
      <c r="BLU199" s="234"/>
      <c r="BLV199" s="234"/>
      <c r="BLW199" s="234"/>
      <c r="BLX199" s="234"/>
      <c r="BLY199" s="234"/>
      <c r="BLZ199" s="234"/>
      <c r="BMA199" s="234"/>
      <c r="BMB199" s="234"/>
      <c r="BMC199" s="234"/>
      <c r="BMD199" s="234"/>
      <c r="BME199" s="234"/>
      <c r="BMF199" s="234"/>
      <c r="BMG199" s="234"/>
      <c r="BMH199" s="234"/>
      <c r="BMI199" s="234"/>
      <c r="BMJ199" s="234"/>
      <c r="BMK199" s="234"/>
      <c r="BML199" s="234"/>
      <c r="BMM199" s="234"/>
      <c r="BMN199" s="234"/>
      <c r="BMO199" s="234"/>
      <c r="BMP199" s="234"/>
      <c r="BMQ199" s="234"/>
      <c r="BMR199" s="234"/>
      <c r="BMS199" s="234"/>
      <c r="BMT199" s="234"/>
      <c r="BMU199" s="234"/>
      <c r="BMV199" s="234"/>
      <c r="BMW199" s="234"/>
      <c r="BMX199" s="234"/>
      <c r="BMY199" s="234"/>
      <c r="BMZ199" s="234"/>
      <c r="BNA199" s="234"/>
      <c r="BNB199" s="234"/>
      <c r="BNC199" s="234"/>
      <c r="BND199" s="234"/>
      <c r="BNE199" s="234"/>
      <c r="BNF199" s="234"/>
      <c r="BNG199" s="234"/>
      <c r="BNH199" s="234"/>
      <c r="BNI199" s="234"/>
      <c r="BNJ199" s="234"/>
      <c r="BNK199" s="234"/>
      <c r="BNL199" s="234"/>
      <c r="BNM199" s="234"/>
      <c r="BNN199" s="234"/>
      <c r="BNO199" s="234"/>
      <c r="BNP199" s="234"/>
      <c r="BNQ199" s="234"/>
      <c r="BNR199" s="234"/>
      <c r="BNS199" s="234"/>
      <c r="BNT199" s="234"/>
      <c r="BNU199" s="234"/>
      <c r="BNV199" s="234"/>
      <c r="BNW199" s="234"/>
      <c r="BNX199" s="234"/>
      <c r="BNY199" s="234"/>
      <c r="BNZ199" s="234"/>
      <c r="BOA199" s="234"/>
      <c r="BOB199" s="234"/>
      <c r="BOC199" s="234"/>
      <c r="BOD199" s="234"/>
      <c r="BOE199" s="234"/>
      <c r="BOF199" s="234"/>
      <c r="BOG199" s="234"/>
      <c r="BOH199" s="234"/>
      <c r="BOI199" s="234"/>
      <c r="BOJ199" s="234"/>
      <c r="BOK199" s="234"/>
      <c r="BOL199" s="234"/>
      <c r="BOM199" s="234"/>
      <c r="BON199" s="234"/>
      <c r="BOO199" s="234"/>
      <c r="BOP199" s="234"/>
      <c r="BOQ199" s="234"/>
      <c r="BOR199" s="234"/>
      <c r="BOS199" s="234"/>
      <c r="BOT199" s="234"/>
      <c r="BOU199" s="234"/>
      <c r="BOV199" s="234"/>
      <c r="BOW199" s="234"/>
      <c r="BOX199" s="234"/>
      <c r="BOY199" s="234"/>
      <c r="BOZ199" s="234"/>
      <c r="BPA199" s="234"/>
      <c r="BPB199" s="234"/>
      <c r="BPC199" s="234"/>
      <c r="BPD199" s="234"/>
      <c r="BPE199" s="234"/>
      <c r="BPF199" s="234"/>
      <c r="BPG199" s="234"/>
      <c r="BPH199" s="234"/>
      <c r="BPI199" s="234"/>
      <c r="BPJ199" s="234"/>
      <c r="BPK199" s="234"/>
      <c r="BPL199" s="234"/>
      <c r="BPM199" s="234"/>
      <c r="BPN199" s="234"/>
      <c r="BPO199" s="234"/>
      <c r="BPP199" s="234"/>
      <c r="BPQ199" s="234"/>
      <c r="BPR199" s="234"/>
      <c r="BPS199" s="234"/>
      <c r="BPT199" s="234"/>
      <c r="BPU199" s="234"/>
      <c r="BPV199" s="234"/>
      <c r="BPW199" s="234"/>
      <c r="BPX199" s="234"/>
      <c r="BPY199" s="234"/>
      <c r="BPZ199" s="234"/>
      <c r="BQA199" s="234"/>
      <c r="BQB199" s="234"/>
      <c r="BQC199" s="234"/>
      <c r="BQD199" s="234"/>
      <c r="BQE199" s="234"/>
      <c r="BQF199" s="234"/>
      <c r="BQG199" s="234"/>
      <c r="BQH199" s="234"/>
      <c r="BQI199" s="234"/>
      <c r="BQJ199" s="234"/>
      <c r="BQK199" s="234"/>
      <c r="BQL199" s="234"/>
      <c r="BQM199" s="234"/>
      <c r="BQN199" s="234"/>
      <c r="BQO199" s="234"/>
      <c r="BQP199" s="234"/>
      <c r="BQQ199" s="234"/>
      <c r="BQR199" s="234"/>
      <c r="BQS199" s="234"/>
      <c r="BQT199" s="234"/>
      <c r="BQU199" s="234"/>
      <c r="BQV199" s="234"/>
      <c r="BQW199" s="234"/>
      <c r="BQX199" s="234"/>
      <c r="BQY199" s="234"/>
      <c r="BQZ199" s="234"/>
      <c r="BRA199" s="234"/>
      <c r="BRB199" s="234"/>
      <c r="BRC199" s="234"/>
      <c r="BRD199" s="234"/>
      <c r="BRE199" s="234"/>
      <c r="BRF199" s="234"/>
      <c r="BRG199" s="234"/>
      <c r="BRH199" s="234"/>
      <c r="BRI199" s="234"/>
      <c r="BRJ199" s="234"/>
      <c r="BRK199" s="234"/>
      <c r="BRL199" s="234"/>
      <c r="BRM199" s="234"/>
      <c r="BRN199" s="234"/>
      <c r="BRO199" s="234"/>
      <c r="BRP199" s="234"/>
      <c r="BRQ199" s="234"/>
      <c r="BRR199" s="234"/>
      <c r="BRS199" s="234"/>
      <c r="BRT199" s="234"/>
      <c r="BRU199" s="234"/>
      <c r="BRV199" s="234"/>
      <c r="BRW199" s="234"/>
      <c r="BRX199" s="234"/>
      <c r="BRY199" s="234"/>
      <c r="BRZ199" s="234"/>
      <c r="BSA199" s="234"/>
      <c r="BSB199" s="234"/>
      <c r="BSC199" s="234"/>
      <c r="BSD199" s="234"/>
      <c r="BSE199" s="234"/>
      <c r="BSF199" s="234"/>
      <c r="BSG199" s="234"/>
      <c r="BSH199" s="234"/>
      <c r="BSI199" s="234"/>
      <c r="BSJ199" s="234"/>
      <c r="BSK199" s="234"/>
      <c r="BSL199" s="234"/>
      <c r="BSM199" s="234"/>
      <c r="BSN199" s="234"/>
      <c r="BSO199" s="234"/>
      <c r="BSP199" s="234"/>
      <c r="BSQ199" s="234"/>
      <c r="BSR199" s="234"/>
      <c r="BSS199" s="234"/>
      <c r="BST199" s="234"/>
      <c r="BSU199" s="234"/>
      <c r="BSV199" s="234"/>
      <c r="BSW199" s="234"/>
      <c r="BSX199" s="234"/>
      <c r="BSY199" s="234"/>
      <c r="BSZ199" s="234"/>
      <c r="BTA199" s="234"/>
      <c r="BTB199" s="234"/>
      <c r="BTC199" s="234"/>
      <c r="BTD199" s="234"/>
      <c r="BTE199" s="234"/>
      <c r="BTF199" s="234"/>
      <c r="BTG199" s="234"/>
      <c r="BTH199" s="234"/>
      <c r="BTI199" s="234"/>
      <c r="BTJ199" s="234"/>
      <c r="BTK199" s="234"/>
      <c r="BTL199" s="234"/>
      <c r="BTM199" s="234"/>
      <c r="BTN199" s="234"/>
      <c r="BTO199" s="234"/>
      <c r="BTP199" s="234"/>
      <c r="BTQ199" s="234"/>
      <c r="BTR199" s="234"/>
      <c r="BTS199" s="234"/>
      <c r="BTT199" s="234"/>
      <c r="BTU199" s="234"/>
      <c r="BTV199" s="234"/>
      <c r="BTW199" s="234"/>
      <c r="BTX199" s="234"/>
      <c r="BTY199" s="234"/>
      <c r="BTZ199" s="234"/>
      <c r="BUA199" s="234"/>
      <c r="BUB199" s="234"/>
      <c r="BUC199" s="234"/>
      <c r="BUD199" s="234"/>
      <c r="BUE199" s="234"/>
      <c r="BUF199" s="234"/>
      <c r="BUG199" s="234"/>
      <c r="BUH199" s="234"/>
      <c r="BUI199" s="234"/>
      <c r="BUJ199" s="234"/>
      <c r="BUK199" s="234"/>
      <c r="BUL199" s="234"/>
      <c r="BUM199" s="234"/>
      <c r="BUN199" s="234"/>
      <c r="BUO199" s="234"/>
      <c r="BUP199" s="234"/>
      <c r="BUQ199" s="234"/>
      <c r="BUR199" s="234"/>
      <c r="BUS199" s="234"/>
      <c r="BUT199" s="234"/>
      <c r="BUU199" s="234"/>
      <c r="BUV199" s="234"/>
      <c r="BUW199" s="234"/>
      <c r="BUX199" s="234"/>
      <c r="BUY199" s="234"/>
      <c r="BUZ199" s="234"/>
      <c r="BVA199" s="234"/>
      <c r="BVB199" s="234"/>
      <c r="BVC199" s="234"/>
      <c r="BVD199" s="234"/>
      <c r="BVE199" s="234"/>
      <c r="BVF199" s="234"/>
      <c r="BVG199" s="234"/>
      <c r="BVH199" s="234"/>
      <c r="BVI199" s="234"/>
      <c r="BVJ199" s="234"/>
      <c r="BVK199" s="234"/>
      <c r="BVL199" s="234"/>
      <c r="BVM199" s="234"/>
      <c r="BVN199" s="234"/>
      <c r="BVO199" s="234"/>
      <c r="BVP199" s="234"/>
      <c r="BVQ199" s="234"/>
      <c r="BVR199" s="234"/>
      <c r="BVS199" s="234"/>
      <c r="BVT199" s="234"/>
      <c r="BVU199" s="234"/>
      <c r="BVV199" s="234"/>
      <c r="BVW199" s="234"/>
      <c r="BVX199" s="234"/>
      <c r="BVY199" s="234"/>
      <c r="BVZ199" s="234"/>
      <c r="BWA199" s="234"/>
      <c r="BWB199" s="234"/>
      <c r="BWC199" s="234"/>
      <c r="BWD199" s="234"/>
      <c r="BWE199" s="234"/>
      <c r="BWF199" s="234"/>
      <c r="BWG199" s="234"/>
      <c r="BWH199" s="234"/>
      <c r="BWI199" s="234"/>
      <c r="BWJ199" s="234"/>
      <c r="BWK199" s="234"/>
      <c r="BWL199" s="234"/>
      <c r="BWM199" s="234"/>
      <c r="BWN199" s="234"/>
      <c r="BWO199" s="234"/>
      <c r="BWP199" s="234"/>
      <c r="BWQ199" s="234"/>
      <c r="BWR199" s="234"/>
      <c r="BWS199" s="234"/>
      <c r="BWT199" s="234"/>
      <c r="BWU199" s="234"/>
      <c r="BWV199" s="234"/>
      <c r="BWW199" s="234"/>
      <c r="BWX199" s="234"/>
      <c r="BWY199" s="234"/>
      <c r="BWZ199" s="234"/>
      <c r="BXA199" s="234"/>
      <c r="BXB199" s="234"/>
      <c r="BXC199" s="234"/>
      <c r="BXD199" s="234"/>
      <c r="BXE199" s="234"/>
      <c r="BXF199" s="234"/>
      <c r="BXG199" s="234"/>
      <c r="BXH199" s="234"/>
      <c r="BXI199" s="234"/>
      <c r="BXJ199" s="234"/>
      <c r="BXK199" s="234"/>
      <c r="BXL199" s="234"/>
      <c r="BXM199" s="234"/>
      <c r="BXN199" s="234"/>
      <c r="BXO199" s="234"/>
      <c r="BXP199" s="234"/>
      <c r="BXQ199" s="234"/>
      <c r="BXR199" s="234"/>
      <c r="BXS199" s="234"/>
      <c r="BXT199" s="234"/>
      <c r="BXU199" s="234"/>
      <c r="BXV199" s="234"/>
      <c r="BXW199" s="234"/>
      <c r="BXX199" s="234"/>
      <c r="BXY199" s="234"/>
      <c r="BXZ199" s="234"/>
      <c r="BYA199" s="234"/>
      <c r="BYB199" s="234"/>
      <c r="BYC199" s="234"/>
      <c r="BYD199" s="234"/>
      <c r="BYE199" s="234"/>
      <c r="BYF199" s="234"/>
      <c r="BYG199" s="234"/>
      <c r="BYH199" s="234"/>
      <c r="BYI199" s="234"/>
      <c r="BYJ199" s="234"/>
      <c r="BYK199" s="234"/>
      <c r="BYL199" s="234"/>
      <c r="BYM199" s="234"/>
      <c r="BYN199" s="234"/>
      <c r="BYO199" s="234"/>
      <c r="BYP199" s="234"/>
      <c r="BYQ199" s="234"/>
      <c r="BYR199" s="234"/>
      <c r="BYS199" s="234"/>
      <c r="BYT199" s="234"/>
      <c r="BYU199" s="234"/>
      <c r="BYV199" s="234"/>
      <c r="BYW199" s="234"/>
      <c r="BYX199" s="234"/>
      <c r="BYY199" s="234"/>
      <c r="BYZ199" s="234"/>
      <c r="BZA199" s="234"/>
      <c r="BZB199" s="234"/>
      <c r="BZC199" s="234"/>
      <c r="BZD199" s="234"/>
      <c r="BZE199" s="234"/>
      <c r="BZF199" s="234"/>
      <c r="BZG199" s="234"/>
      <c r="BZH199" s="234"/>
      <c r="BZI199" s="234"/>
      <c r="BZJ199" s="234"/>
      <c r="BZK199" s="234"/>
      <c r="BZL199" s="234"/>
      <c r="BZM199" s="234"/>
      <c r="BZN199" s="234"/>
      <c r="BZO199" s="234"/>
      <c r="BZP199" s="234"/>
      <c r="BZQ199" s="234"/>
      <c r="BZR199" s="234"/>
      <c r="BZS199" s="234"/>
      <c r="BZT199" s="234"/>
      <c r="BZU199" s="234"/>
      <c r="BZV199" s="234"/>
      <c r="BZW199" s="234"/>
      <c r="BZX199" s="234"/>
      <c r="BZY199" s="234"/>
      <c r="BZZ199" s="234"/>
      <c r="CAA199" s="234"/>
      <c r="CAB199" s="234"/>
      <c r="CAC199" s="234"/>
      <c r="CAD199" s="234"/>
      <c r="CAE199" s="234"/>
      <c r="CAF199" s="234"/>
      <c r="CAG199" s="234"/>
      <c r="CAH199" s="234"/>
      <c r="CAI199" s="234"/>
      <c r="CAJ199" s="234"/>
      <c r="CAK199" s="234"/>
      <c r="CAL199" s="234"/>
      <c r="CAM199" s="234"/>
      <c r="CAN199" s="234"/>
      <c r="CAO199" s="234"/>
      <c r="CAP199" s="234"/>
      <c r="CAQ199" s="234"/>
      <c r="CAR199" s="234"/>
      <c r="CAS199" s="234"/>
      <c r="CAT199" s="234"/>
      <c r="CAU199" s="234"/>
      <c r="CAV199" s="234"/>
      <c r="CAW199" s="234"/>
      <c r="CAX199" s="234"/>
      <c r="CAY199" s="234"/>
      <c r="CAZ199" s="234"/>
      <c r="CBA199" s="234"/>
      <c r="CBB199" s="234"/>
      <c r="CBC199" s="234"/>
      <c r="CBD199" s="234"/>
      <c r="CBE199" s="234"/>
      <c r="CBF199" s="234"/>
      <c r="CBG199" s="234"/>
      <c r="CBH199" s="234"/>
      <c r="CBI199" s="234"/>
      <c r="CBJ199" s="234"/>
      <c r="CBK199" s="234"/>
      <c r="CBL199" s="234"/>
      <c r="CBM199" s="234"/>
      <c r="CBN199" s="234"/>
      <c r="CBO199" s="234"/>
      <c r="CBP199" s="234"/>
      <c r="CBQ199" s="234"/>
      <c r="CBR199" s="234"/>
      <c r="CBS199" s="234"/>
      <c r="CBT199" s="234"/>
      <c r="CBU199" s="234"/>
      <c r="CBV199" s="234"/>
      <c r="CBW199" s="234"/>
      <c r="CBX199" s="234"/>
      <c r="CBY199" s="234"/>
      <c r="CBZ199" s="234"/>
      <c r="CCA199" s="234"/>
      <c r="CCB199" s="234"/>
      <c r="CCC199" s="234"/>
      <c r="CCD199" s="234"/>
      <c r="CCE199" s="234"/>
      <c r="CCF199" s="234"/>
      <c r="CCG199" s="234"/>
      <c r="CCH199" s="234"/>
      <c r="CCI199" s="234"/>
      <c r="CCJ199" s="234"/>
      <c r="CCK199" s="234"/>
      <c r="CCL199" s="234"/>
      <c r="CCM199" s="234"/>
      <c r="CCN199" s="234"/>
      <c r="CCO199" s="234"/>
      <c r="CCP199" s="234"/>
      <c r="CCQ199" s="234"/>
      <c r="CCR199" s="234"/>
      <c r="CCS199" s="234"/>
      <c r="CCT199" s="234"/>
      <c r="CCU199" s="234"/>
      <c r="CCV199" s="234"/>
      <c r="CCW199" s="234"/>
      <c r="CCX199" s="234"/>
      <c r="CCY199" s="234"/>
      <c r="CCZ199" s="234"/>
      <c r="CDA199" s="234"/>
      <c r="CDB199" s="234"/>
      <c r="CDC199" s="234"/>
      <c r="CDD199" s="234"/>
      <c r="CDE199" s="234"/>
      <c r="CDF199" s="234"/>
      <c r="CDG199" s="234"/>
      <c r="CDH199" s="234"/>
      <c r="CDI199" s="234"/>
      <c r="CDJ199" s="234"/>
      <c r="CDK199" s="234"/>
      <c r="CDL199" s="234"/>
      <c r="CDM199" s="234"/>
      <c r="CDN199" s="234"/>
      <c r="CDO199" s="234"/>
      <c r="CDP199" s="234"/>
      <c r="CDQ199" s="234"/>
      <c r="CDR199" s="234"/>
      <c r="CDS199" s="234"/>
      <c r="CDT199" s="234"/>
      <c r="CDU199" s="234"/>
      <c r="CDV199" s="234"/>
      <c r="CDW199" s="234"/>
      <c r="CDX199" s="234"/>
      <c r="CDY199" s="234"/>
      <c r="CDZ199" s="234"/>
      <c r="CEA199" s="234"/>
      <c r="CEB199" s="234"/>
      <c r="CEC199" s="234"/>
      <c r="CED199" s="234"/>
      <c r="CEE199" s="234"/>
      <c r="CEF199" s="234"/>
      <c r="CEG199" s="234"/>
      <c r="CEH199" s="234"/>
      <c r="CEI199" s="234"/>
      <c r="CEJ199" s="234"/>
      <c r="CEK199" s="234"/>
      <c r="CEL199" s="234"/>
      <c r="CEM199" s="234"/>
      <c r="CEN199" s="234"/>
      <c r="CEO199" s="234"/>
      <c r="CEP199" s="234"/>
      <c r="CEQ199" s="234"/>
      <c r="CER199" s="234"/>
      <c r="CES199" s="234"/>
      <c r="CET199" s="234"/>
      <c r="CEU199" s="234"/>
      <c r="CEV199" s="234"/>
      <c r="CEW199" s="234"/>
      <c r="CEX199" s="234"/>
      <c r="CEY199" s="234"/>
      <c r="CEZ199" s="234"/>
      <c r="CFA199" s="234"/>
      <c r="CFB199" s="234"/>
      <c r="CFC199" s="234"/>
      <c r="CFD199" s="234"/>
      <c r="CFE199" s="234"/>
      <c r="CFF199" s="234"/>
      <c r="CFG199" s="234"/>
      <c r="CFH199" s="234"/>
      <c r="CFI199" s="234"/>
      <c r="CFJ199" s="234"/>
      <c r="CFK199" s="234"/>
      <c r="CFL199" s="234"/>
      <c r="CFM199" s="234"/>
      <c r="CFN199" s="234"/>
      <c r="CFO199" s="234"/>
      <c r="CFP199" s="234"/>
      <c r="CFQ199" s="234"/>
      <c r="CFR199" s="234"/>
      <c r="CFS199" s="234"/>
      <c r="CFT199" s="234"/>
      <c r="CFU199" s="234"/>
      <c r="CFV199" s="234"/>
      <c r="CFW199" s="234"/>
      <c r="CFX199" s="234"/>
      <c r="CFY199" s="234"/>
      <c r="CFZ199" s="234"/>
      <c r="CGA199" s="234"/>
      <c r="CGB199" s="234"/>
      <c r="CGC199" s="234"/>
      <c r="CGD199" s="234"/>
      <c r="CGE199" s="234"/>
      <c r="CGF199" s="234"/>
      <c r="CGG199" s="234"/>
      <c r="CGH199" s="234"/>
      <c r="CGI199" s="234"/>
      <c r="CGJ199" s="234"/>
      <c r="CGK199" s="234"/>
      <c r="CGL199" s="234"/>
      <c r="CGM199" s="234"/>
      <c r="CGN199" s="234"/>
      <c r="CGO199" s="234"/>
      <c r="CGP199" s="234"/>
      <c r="CGQ199" s="234"/>
      <c r="CGR199" s="234"/>
      <c r="CGS199" s="234"/>
      <c r="CGT199" s="234"/>
      <c r="CGU199" s="234"/>
      <c r="CGV199" s="234"/>
      <c r="CGW199" s="234"/>
      <c r="CGX199" s="234"/>
      <c r="CGY199" s="234"/>
      <c r="CGZ199" s="234"/>
      <c r="CHA199" s="234"/>
      <c r="CHB199" s="234"/>
      <c r="CHC199" s="234"/>
      <c r="CHD199" s="234"/>
      <c r="CHE199" s="234"/>
      <c r="CHF199" s="234"/>
      <c r="CHG199" s="234"/>
      <c r="CHH199" s="234"/>
      <c r="CHI199" s="234"/>
      <c r="CHJ199" s="234"/>
      <c r="CHK199" s="234"/>
      <c r="CHL199" s="234"/>
      <c r="CHM199" s="234"/>
      <c r="CHN199" s="234"/>
      <c r="CHO199" s="234"/>
      <c r="CHP199" s="234"/>
      <c r="CHQ199" s="234"/>
      <c r="CHR199" s="234"/>
      <c r="CHS199" s="234"/>
      <c r="CHT199" s="234"/>
      <c r="CHU199" s="234"/>
      <c r="CHV199" s="234"/>
      <c r="CHW199" s="234"/>
      <c r="CHX199" s="234"/>
      <c r="CHY199" s="234"/>
      <c r="CHZ199" s="234"/>
      <c r="CIA199" s="234"/>
      <c r="CIB199" s="234"/>
      <c r="CIC199" s="234"/>
      <c r="CID199" s="234"/>
      <c r="CIE199" s="234"/>
      <c r="CIF199" s="234"/>
      <c r="CIG199" s="234"/>
      <c r="CIH199" s="234"/>
      <c r="CII199" s="234"/>
      <c r="CIJ199" s="234"/>
      <c r="CIK199" s="234"/>
      <c r="CIL199" s="234"/>
      <c r="CIM199" s="234"/>
      <c r="CIN199" s="234"/>
      <c r="CIO199" s="234"/>
      <c r="CIP199" s="234"/>
      <c r="CIQ199" s="234"/>
      <c r="CIR199" s="234"/>
      <c r="CIS199" s="234"/>
      <c r="CIT199" s="234"/>
      <c r="CIU199" s="234"/>
      <c r="CIV199" s="234"/>
      <c r="CIW199" s="234"/>
      <c r="CIX199" s="234"/>
      <c r="CIY199" s="234"/>
      <c r="CIZ199" s="234"/>
      <c r="CJA199" s="234"/>
      <c r="CJB199" s="234"/>
      <c r="CJC199" s="234"/>
      <c r="CJD199" s="234"/>
      <c r="CJE199" s="234"/>
      <c r="CJF199" s="234"/>
      <c r="CJG199" s="234"/>
      <c r="CJH199" s="234"/>
      <c r="CJI199" s="234"/>
      <c r="CJJ199" s="234"/>
      <c r="CJK199" s="234"/>
      <c r="CJL199" s="234"/>
      <c r="CJM199" s="234"/>
      <c r="CJN199" s="234"/>
      <c r="CJO199" s="234"/>
      <c r="CJP199" s="234"/>
      <c r="CJQ199" s="234"/>
      <c r="CJR199" s="234"/>
      <c r="CJS199" s="234"/>
      <c r="CJT199" s="234"/>
      <c r="CJU199" s="234"/>
      <c r="CJV199" s="234"/>
      <c r="CJW199" s="234"/>
      <c r="CJX199" s="234"/>
      <c r="CJY199" s="234"/>
      <c r="CJZ199" s="234"/>
      <c r="CKA199" s="234"/>
      <c r="CKB199" s="234"/>
      <c r="CKC199" s="234"/>
      <c r="CKD199" s="234"/>
      <c r="CKE199" s="234"/>
      <c r="CKF199" s="234"/>
      <c r="CKG199" s="234"/>
      <c r="CKH199" s="234"/>
      <c r="CKI199" s="234"/>
      <c r="CKJ199" s="234"/>
      <c r="CKK199" s="234"/>
      <c r="CKL199" s="234"/>
      <c r="CKM199" s="234"/>
      <c r="CKN199" s="234"/>
      <c r="CKO199" s="234"/>
      <c r="CKP199" s="234"/>
      <c r="CKQ199" s="234"/>
      <c r="CKR199" s="234"/>
      <c r="CKS199" s="234"/>
      <c r="CKT199" s="234"/>
      <c r="CKU199" s="234"/>
      <c r="CKV199" s="234"/>
      <c r="CKW199" s="234"/>
      <c r="CKX199" s="234"/>
      <c r="CKY199" s="234"/>
      <c r="CKZ199" s="234"/>
      <c r="CLA199" s="234"/>
      <c r="CLB199" s="234"/>
      <c r="CLC199" s="234"/>
      <c r="CLD199" s="234"/>
      <c r="CLE199" s="234"/>
      <c r="CLF199" s="234"/>
      <c r="CLG199" s="234"/>
      <c r="CLH199" s="234"/>
      <c r="CLI199" s="234"/>
      <c r="CLJ199" s="234"/>
      <c r="CLK199" s="234"/>
      <c r="CLL199" s="234"/>
      <c r="CLM199" s="234"/>
      <c r="CLN199" s="234"/>
      <c r="CLO199" s="234"/>
      <c r="CLP199" s="234"/>
      <c r="CLQ199" s="234"/>
      <c r="CLR199" s="234"/>
      <c r="CLS199" s="234"/>
      <c r="CLT199" s="234"/>
      <c r="CLU199" s="234"/>
      <c r="CLV199" s="234"/>
      <c r="CLW199" s="234"/>
      <c r="CLX199" s="234"/>
      <c r="CLY199" s="234"/>
      <c r="CLZ199" s="234"/>
      <c r="CMA199" s="234"/>
      <c r="CMB199" s="234"/>
      <c r="CMC199" s="234"/>
      <c r="CMD199" s="234"/>
      <c r="CME199" s="234"/>
      <c r="CMF199" s="234"/>
      <c r="CMG199" s="234"/>
      <c r="CMH199" s="234"/>
      <c r="CMI199" s="234"/>
      <c r="CMJ199" s="234"/>
      <c r="CMK199" s="234"/>
      <c r="CML199" s="234"/>
      <c r="CMM199" s="234"/>
      <c r="CMN199" s="234"/>
      <c r="CMO199" s="234"/>
      <c r="CMP199" s="234"/>
      <c r="CMQ199" s="234"/>
      <c r="CMR199" s="234"/>
      <c r="CMS199" s="234"/>
      <c r="CMT199" s="234"/>
      <c r="CMU199" s="234"/>
      <c r="CMV199" s="234"/>
      <c r="CMW199" s="234"/>
      <c r="CMX199" s="234"/>
      <c r="CMY199" s="234"/>
      <c r="CMZ199" s="234"/>
      <c r="CNA199" s="234"/>
      <c r="CNB199" s="234"/>
      <c r="CNC199" s="234"/>
      <c r="CND199" s="234"/>
      <c r="CNE199" s="234"/>
      <c r="CNF199" s="234"/>
      <c r="CNG199" s="234"/>
      <c r="CNH199" s="234"/>
      <c r="CNI199" s="234"/>
      <c r="CNJ199" s="234"/>
      <c r="CNK199" s="234"/>
      <c r="CNL199" s="234"/>
      <c r="CNM199" s="234"/>
      <c r="CNN199" s="234"/>
      <c r="CNO199" s="234"/>
      <c r="CNP199" s="234"/>
      <c r="CNQ199" s="234"/>
      <c r="CNR199" s="234"/>
      <c r="CNS199" s="234"/>
      <c r="CNT199" s="234"/>
      <c r="CNU199" s="234"/>
      <c r="CNV199" s="234"/>
      <c r="CNW199" s="234"/>
      <c r="CNX199" s="234"/>
      <c r="CNY199" s="234"/>
      <c r="CNZ199" s="234"/>
      <c r="COA199" s="234"/>
      <c r="COB199" s="234"/>
      <c r="COC199" s="234"/>
      <c r="COD199" s="234"/>
      <c r="COE199" s="234"/>
      <c r="COF199" s="234"/>
      <c r="COG199" s="234"/>
      <c r="COH199" s="234"/>
      <c r="COI199" s="234"/>
      <c r="COJ199" s="234"/>
      <c r="COK199" s="234"/>
      <c r="COL199" s="234"/>
      <c r="COM199" s="234"/>
      <c r="CON199" s="234"/>
      <c r="COO199" s="234"/>
      <c r="COP199" s="234"/>
      <c r="COQ199" s="234"/>
      <c r="COR199" s="234"/>
      <c r="COS199" s="234"/>
      <c r="COT199" s="234"/>
      <c r="COU199" s="234"/>
      <c r="COV199" s="234"/>
      <c r="COW199" s="234"/>
      <c r="COX199" s="234"/>
      <c r="COY199" s="234"/>
      <c r="COZ199" s="234"/>
      <c r="CPA199" s="234"/>
      <c r="CPB199" s="234"/>
      <c r="CPC199" s="234"/>
      <c r="CPD199" s="234"/>
      <c r="CPE199" s="234"/>
      <c r="CPF199" s="234"/>
      <c r="CPG199" s="234"/>
      <c r="CPH199" s="234"/>
      <c r="CPI199" s="234"/>
      <c r="CPJ199" s="234"/>
      <c r="CPK199" s="234"/>
      <c r="CPL199" s="234"/>
      <c r="CPM199" s="234"/>
      <c r="CPN199" s="234"/>
      <c r="CPO199" s="234"/>
      <c r="CPP199" s="234"/>
      <c r="CPQ199" s="234"/>
      <c r="CPR199" s="234"/>
      <c r="CPS199" s="234"/>
      <c r="CPT199" s="234"/>
      <c r="CPU199" s="234"/>
      <c r="CPV199" s="234"/>
      <c r="CPW199" s="234"/>
      <c r="CPX199" s="234"/>
      <c r="CPY199" s="234"/>
      <c r="CPZ199" s="234"/>
      <c r="CQA199" s="234"/>
      <c r="CQB199" s="234"/>
      <c r="CQC199" s="234"/>
      <c r="CQD199" s="234"/>
      <c r="CQE199" s="234"/>
      <c r="CQF199" s="234"/>
      <c r="CQG199" s="234"/>
      <c r="CQH199" s="234"/>
      <c r="CQI199" s="234"/>
      <c r="CQJ199" s="234"/>
      <c r="CQK199" s="234"/>
      <c r="CQL199" s="234"/>
      <c r="CQM199" s="234"/>
      <c r="CQN199" s="234"/>
      <c r="CQO199" s="234"/>
      <c r="CQP199" s="234"/>
      <c r="CQQ199" s="234"/>
      <c r="CQR199" s="234"/>
      <c r="CQS199" s="234"/>
      <c r="CQT199" s="234"/>
      <c r="CQU199" s="234"/>
      <c r="CQV199" s="234"/>
      <c r="CQW199" s="234"/>
      <c r="CQX199" s="234"/>
      <c r="CQY199" s="234"/>
      <c r="CQZ199" s="234"/>
      <c r="CRA199" s="234"/>
      <c r="CRB199" s="234"/>
      <c r="CRC199" s="234"/>
      <c r="CRD199" s="234"/>
      <c r="CRE199" s="234"/>
      <c r="CRF199" s="234"/>
      <c r="CRG199" s="234"/>
      <c r="CRH199" s="234"/>
      <c r="CRI199" s="234"/>
      <c r="CRJ199" s="234"/>
      <c r="CRK199" s="234"/>
      <c r="CRL199" s="234"/>
      <c r="CRM199" s="234"/>
      <c r="CRN199" s="234"/>
      <c r="CRO199" s="234"/>
      <c r="CRP199" s="234"/>
      <c r="CRQ199" s="234"/>
      <c r="CRR199" s="234"/>
      <c r="CRS199" s="234"/>
      <c r="CRT199" s="234"/>
      <c r="CRU199" s="234"/>
      <c r="CRV199" s="234"/>
      <c r="CRW199" s="234"/>
      <c r="CRX199" s="234"/>
      <c r="CRY199" s="234"/>
      <c r="CRZ199" s="234"/>
      <c r="CSA199" s="234"/>
      <c r="CSB199" s="234"/>
      <c r="CSC199" s="234"/>
      <c r="CSD199" s="234"/>
      <c r="CSE199" s="234"/>
      <c r="CSF199" s="234"/>
      <c r="CSG199" s="234"/>
      <c r="CSH199" s="234"/>
      <c r="CSI199" s="234"/>
      <c r="CSJ199" s="234"/>
      <c r="CSK199" s="234"/>
      <c r="CSL199" s="234"/>
      <c r="CSM199" s="234"/>
      <c r="CSN199" s="234"/>
      <c r="CSO199" s="234"/>
      <c r="CSP199" s="234"/>
      <c r="CSQ199" s="234"/>
      <c r="CSR199" s="234"/>
      <c r="CSS199" s="234"/>
      <c r="CST199" s="234"/>
      <c r="CSU199" s="234"/>
      <c r="CSV199" s="234"/>
      <c r="CSW199" s="234"/>
      <c r="CSX199" s="234"/>
      <c r="CSY199" s="234"/>
      <c r="CSZ199" s="234"/>
      <c r="CTA199" s="234"/>
      <c r="CTB199" s="234"/>
      <c r="CTC199" s="234"/>
      <c r="CTD199" s="234"/>
      <c r="CTE199" s="234"/>
      <c r="CTF199" s="234"/>
      <c r="CTG199" s="234"/>
      <c r="CTH199" s="234"/>
      <c r="CTI199" s="234"/>
      <c r="CTJ199" s="234"/>
      <c r="CTK199" s="234"/>
      <c r="CTL199" s="234"/>
      <c r="CTM199" s="234"/>
      <c r="CTN199" s="234"/>
      <c r="CTO199" s="234"/>
      <c r="CTP199" s="234"/>
      <c r="CTQ199" s="234"/>
      <c r="CTR199" s="234"/>
      <c r="CTS199" s="234"/>
      <c r="CTT199" s="234"/>
      <c r="CTU199" s="234"/>
      <c r="CTV199" s="234"/>
      <c r="CTW199" s="234"/>
      <c r="CTX199" s="234"/>
      <c r="CTY199" s="234"/>
      <c r="CTZ199" s="234"/>
      <c r="CUA199" s="234"/>
      <c r="CUB199" s="234"/>
      <c r="CUC199" s="234"/>
      <c r="CUD199" s="234"/>
      <c r="CUE199" s="234"/>
      <c r="CUF199" s="234"/>
      <c r="CUG199" s="234"/>
      <c r="CUH199" s="234"/>
      <c r="CUI199" s="234"/>
      <c r="CUJ199" s="234"/>
      <c r="CUK199" s="234"/>
      <c r="CUL199" s="234"/>
      <c r="CUM199" s="234"/>
      <c r="CUN199" s="234"/>
      <c r="CUO199" s="234"/>
      <c r="CUP199" s="234"/>
      <c r="CUQ199" s="234"/>
      <c r="CUR199" s="234"/>
      <c r="CUS199" s="234"/>
      <c r="CUT199" s="234"/>
      <c r="CUU199" s="234"/>
      <c r="CUV199" s="234"/>
      <c r="CUW199" s="234"/>
      <c r="CUX199" s="234"/>
      <c r="CUY199" s="234"/>
      <c r="CUZ199" s="234"/>
      <c r="CVA199" s="234"/>
      <c r="CVB199" s="234"/>
      <c r="CVC199" s="234"/>
      <c r="CVD199" s="234"/>
      <c r="CVE199" s="234"/>
      <c r="CVF199" s="234"/>
      <c r="CVG199" s="234"/>
      <c r="CVH199" s="234"/>
      <c r="CVI199" s="234"/>
      <c r="CVJ199" s="234"/>
      <c r="CVK199" s="234"/>
      <c r="CVL199" s="234"/>
      <c r="CVM199" s="234"/>
      <c r="CVN199" s="234"/>
      <c r="CVO199" s="234"/>
      <c r="CVP199" s="234"/>
      <c r="CVQ199" s="234"/>
      <c r="CVR199" s="234"/>
      <c r="CVS199" s="234"/>
      <c r="CVT199" s="234"/>
      <c r="CVU199" s="234"/>
      <c r="CVV199" s="234"/>
      <c r="CVW199" s="234"/>
      <c r="CVX199" s="234"/>
      <c r="CVY199" s="234"/>
      <c r="CVZ199" s="234"/>
      <c r="CWA199" s="234"/>
      <c r="CWB199" s="234"/>
      <c r="CWC199" s="234"/>
      <c r="CWD199" s="234"/>
      <c r="CWE199" s="234"/>
      <c r="CWF199" s="234"/>
      <c r="CWG199" s="234"/>
      <c r="CWH199" s="234"/>
      <c r="CWI199" s="234"/>
      <c r="CWJ199" s="234"/>
      <c r="CWK199" s="234"/>
      <c r="CWL199" s="234"/>
      <c r="CWM199" s="234"/>
      <c r="CWN199" s="234"/>
      <c r="CWO199" s="234"/>
      <c r="CWP199" s="234"/>
      <c r="CWQ199" s="234"/>
      <c r="CWR199" s="234"/>
      <c r="CWS199" s="234"/>
      <c r="CWT199" s="234"/>
      <c r="CWU199" s="234"/>
      <c r="CWV199" s="234"/>
      <c r="CWW199" s="234"/>
      <c r="CWX199" s="234"/>
      <c r="CWY199" s="234"/>
      <c r="CWZ199" s="234"/>
      <c r="CXA199" s="234"/>
      <c r="CXB199" s="234"/>
      <c r="CXC199" s="234"/>
      <c r="CXD199" s="234"/>
      <c r="CXE199" s="234"/>
      <c r="CXF199" s="234"/>
      <c r="CXG199" s="234"/>
      <c r="CXH199" s="234"/>
      <c r="CXI199" s="234"/>
      <c r="CXJ199" s="234"/>
      <c r="CXK199" s="234"/>
      <c r="CXL199" s="234"/>
      <c r="CXM199" s="234"/>
      <c r="CXN199" s="234"/>
      <c r="CXO199" s="234"/>
      <c r="CXP199" s="234"/>
      <c r="CXQ199" s="234"/>
      <c r="CXR199" s="234"/>
      <c r="CXS199" s="234"/>
      <c r="CXT199" s="234"/>
      <c r="CXU199" s="234"/>
      <c r="CXV199" s="234"/>
      <c r="CXW199" s="234"/>
      <c r="CXX199" s="234"/>
      <c r="CXY199" s="234"/>
      <c r="CXZ199" s="234"/>
      <c r="CYA199" s="234"/>
      <c r="CYB199" s="234"/>
      <c r="CYC199" s="234"/>
      <c r="CYD199" s="234"/>
      <c r="CYE199" s="234"/>
      <c r="CYF199" s="234"/>
      <c r="CYG199" s="234"/>
      <c r="CYH199" s="234"/>
      <c r="CYI199" s="234"/>
      <c r="CYJ199" s="234"/>
      <c r="CYK199" s="234"/>
      <c r="CYL199" s="234"/>
      <c r="CYM199" s="234"/>
      <c r="CYN199" s="234"/>
      <c r="CYO199" s="234"/>
      <c r="CYP199" s="234"/>
      <c r="CYQ199" s="234"/>
      <c r="CYR199" s="234"/>
      <c r="CYS199" s="234"/>
      <c r="CYT199" s="234"/>
      <c r="CYU199" s="234"/>
      <c r="CYV199" s="234"/>
      <c r="CYW199" s="234"/>
      <c r="CYX199" s="234"/>
      <c r="CYY199" s="234"/>
      <c r="CYZ199" s="234"/>
      <c r="CZA199" s="234"/>
      <c r="CZB199" s="234"/>
      <c r="CZC199" s="234"/>
      <c r="CZD199" s="234"/>
      <c r="CZE199" s="234"/>
      <c r="CZF199" s="234"/>
      <c r="CZG199" s="234"/>
      <c r="CZH199" s="234"/>
      <c r="CZI199" s="234"/>
      <c r="CZJ199" s="234"/>
      <c r="CZK199" s="234"/>
      <c r="CZL199" s="234"/>
      <c r="CZM199" s="234"/>
      <c r="CZN199" s="234"/>
      <c r="CZO199" s="234"/>
      <c r="CZP199" s="234"/>
      <c r="CZQ199" s="234"/>
      <c r="CZR199" s="234"/>
      <c r="CZS199" s="234"/>
      <c r="CZT199" s="234"/>
      <c r="CZU199" s="234"/>
      <c r="CZV199" s="234"/>
      <c r="CZW199" s="234"/>
      <c r="CZX199" s="234"/>
      <c r="CZY199" s="234"/>
      <c r="CZZ199" s="234"/>
      <c r="DAA199" s="234"/>
      <c r="DAB199" s="234"/>
      <c r="DAC199" s="234"/>
      <c r="DAD199" s="234"/>
      <c r="DAE199" s="234"/>
      <c r="DAF199" s="234"/>
      <c r="DAG199" s="234"/>
      <c r="DAH199" s="234"/>
      <c r="DAI199" s="234"/>
      <c r="DAJ199" s="234"/>
      <c r="DAK199" s="234"/>
      <c r="DAL199" s="234"/>
      <c r="DAM199" s="234"/>
      <c r="DAN199" s="234"/>
      <c r="DAO199" s="234"/>
      <c r="DAP199" s="234"/>
      <c r="DAQ199" s="234"/>
      <c r="DAR199" s="234"/>
      <c r="DAS199" s="234"/>
      <c r="DAT199" s="234"/>
      <c r="DAU199" s="234"/>
      <c r="DAV199" s="234"/>
      <c r="DAW199" s="234"/>
      <c r="DAX199" s="234"/>
      <c r="DAY199" s="234"/>
      <c r="DAZ199" s="234"/>
      <c r="DBA199" s="234"/>
      <c r="DBB199" s="234"/>
      <c r="DBC199" s="234"/>
      <c r="DBD199" s="234"/>
      <c r="DBE199" s="234"/>
      <c r="DBF199" s="234"/>
      <c r="DBG199" s="234"/>
      <c r="DBH199" s="234"/>
      <c r="DBI199" s="234"/>
      <c r="DBJ199" s="234"/>
      <c r="DBK199" s="234"/>
      <c r="DBL199" s="234"/>
      <c r="DBM199" s="234"/>
      <c r="DBN199" s="234"/>
      <c r="DBO199" s="234"/>
      <c r="DBP199" s="234"/>
      <c r="DBQ199" s="234"/>
      <c r="DBR199" s="234"/>
      <c r="DBS199" s="234"/>
      <c r="DBT199" s="234"/>
      <c r="DBU199" s="234"/>
      <c r="DBV199" s="234"/>
      <c r="DBW199" s="234"/>
      <c r="DBX199" s="234"/>
      <c r="DBY199" s="234"/>
      <c r="DBZ199" s="234"/>
      <c r="DCA199" s="234"/>
      <c r="DCB199" s="234"/>
      <c r="DCC199" s="234"/>
      <c r="DCD199" s="234"/>
      <c r="DCE199" s="234"/>
      <c r="DCF199" s="234"/>
      <c r="DCG199" s="234"/>
      <c r="DCH199" s="234"/>
      <c r="DCI199" s="234"/>
      <c r="DCJ199" s="234"/>
      <c r="DCK199" s="234"/>
      <c r="DCL199" s="234"/>
      <c r="DCM199" s="234"/>
      <c r="DCN199" s="234"/>
      <c r="DCO199" s="234"/>
      <c r="DCP199" s="234"/>
      <c r="DCQ199" s="234"/>
      <c r="DCR199" s="234"/>
      <c r="DCS199" s="234"/>
      <c r="DCT199" s="234"/>
      <c r="DCU199" s="234"/>
      <c r="DCV199" s="234"/>
      <c r="DCW199" s="234"/>
      <c r="DCX199" s="234"/>
      <c r="DCY199" s="234"/>
      <c r="DCZ199" s="234"/>
      <c r="DDA199" s="234"/>
      <c r="DDB199" s="234"/>
      <c r="DDC199" s="234"/>
      <c r="DDD199" s="234"/>
      <c r="DDE199" s="234"/>
      <c r="DDF199" s="234"/>
      <c r="DDG199" s="234"/>
      <c r="DDH199" s="234"/>
      <c r="DDI199" s="234"/>
      <c r="DDJ199" s="234"/>
      <c r="DDK199" s="234"/>
      <c r="DDL199" s="234"/>
      <c r="DDM199" s="234"/>
      <c r="DDN199" s="234"/>
      <c r="DDO199" s="234"/>
      <c r="DDP199" s="234"/>
      <c r="DDQ199" s="234"/>
      <c r="DDR199" s="234"/>
      <c r="DDS199" s="234"/>
      <c r="DDT199" s="234"/>
      <c r="DDU199" s="234"/>
      <c r="DDV199" s="234"/>
      <c r="DDW199" s="234"/>
      <c r="DDX199" s="234"/>
      <c r="DDY199" s="234"/>
      <c r="DDZ199" s="234"/>
      <c r="DEA199" s="234"/>
      <c r="DEB199" s="234"/>
      <c r="DEC199" s="234"/>
      <c r="DED199" s="234"/>
      <c r="DEE199" s="234"/>
      <c r="DEF199" s="234"/>
      <c r="DEG199" s="234"/>
      <c r="DEH199" s="234"/>
      <c r="DEI199" s="234"/>
      <c r="DEJ199" s="234"/>
      <c r="DEK199" s="234"/>
      <c r="DEL199" s="234"/>
      <c r="DEM199" s="234"/>
      <c r="DEN199" s="234"/>
      <c r="DEO199" s="234"/>
      <c r="DEP199" s="234"/>
      <c r="DEQ199" s="234"/>
      <c r="DER199" s="234"/>
      <c r="DES199" s="234"/>
      <c r="DET199" s="234"/>
      <c r="DEU199" s="234"/>
      <c r="DEV199" s="234"/>
      <c r="DEW199" s="234"/>
      <c r="DEX199" s="234"/>
      <c r="DEY199" s="234"/>
      <c r="DEZ199" s="234"/>
      <c r="DFA199" s="234"/>
      <c r="DFB199" s="234"/>
      <c r="DFC199" s="234"/>
      <c r="DFD199" s="234"/>
      <c r="DFE199" s="234"/>
      <c r="DFF199" s="234"/>
      <c r="DFG199" s="234"/>
      <c r="DFH199" s="234"/>
      <c r="DFI199" s="234"/>
      <c r="DFJ199" s="234"/>
      <c r="DFK199" s="234"/>
      <c r="DFL199" s="234"/>
      <c r="DFM199" s="234"/>
      <c r="DFN199" s="234"/>
      <c r="DFO199" s="234"/>
      <c r="DFP199" s="234"/>
      <c r="DFQ199" s="234"/>
      <c r="DFR199" s="234"/>
      <c r="DFS199" s="234"/>
      <c r="DFT199" s="234"/>
      <c r="DFU199" s="234"/>
      <c r="DFV199" s="234"/>
      <c r="DFW199" s="234"/>
      <c r="DFX199" s="234"/>
      <c r="DFY199" s="234"/>
      <c r="DFZ199" s="234"/>
      <c r="DGA199" s="234"/>
      <c r="DGB199" s="234"/>
      <c r="DGC199" s="234"/>
      <c r="DGD199" s="234"/>
      <c r="DGE199" s="234"/>
      <c r="DGF199" s="234"/>
      <c r="DGG199" s="234"/>
      <c r="DGH199" s="234"/>
      <c r="DGI199" s="234"/>
      <c r="DGJ199" s="234"/>
      <c r="DGK199" s="234"/>
      <c r="DGL199" s="234"/>
      <c r="DGM199" s="234"/>
      <c r="DGN199" s="234"/>
      <c r="DGO199" s="234"/>
      <c r="DGP199" s="234"/>
      <c r="DGQ199" s="234"/>
      <c r="DGR199" s="234"/>
      <c r="DGS199" s="234"/>
      <c r="DGT199" s="234"/>
      <c r="DGU199" s="234"/>
      <c r="DGV199" s="234"/>
      <c r="DGW199" s="234"/>
      <c r="DGX199" s="234"/>
      <c r="DGY199" s="234"/>
      <c r="DGZ199" s="234"/>
      <c r="DHA199" s="234"/>
      <c r="DHB199" s="234"/>
      <c r="DHC199" s="234"/>
      <c r="DHD199" s="234"/>
      <c r="DHE199" s="234"/>
      <c r="DHF199" s="234"/>
      <c r="DHG199" s="234"/>
      <c r="DHH199" s="234"/>
      <c r="DHI199" s="234"/>
      <c r="DHJ199" s="234"/>
      <c r="DHK199" s="234"/>
      <c r="DHL199" s="234"/>
      <c r="DHM199" s="234"/>
      <c r="DHN199" s="234"/>
      <c r="DHO199" s="234"/>
      <c r="DHP199" s="234"/>
      <c r="DHQ199" s="234"/>
      <c r="DHR199" s="234"/>
      <c r="DHS199" s="234"/>
      <c r="DHT199" s="234"/>
      <c r="DHU199" s="234"/>
      <c r="DHV199" s="234"/>
      <c r="DHW199" s="234"/>
      <c r="DHX199" s="234"/>
      <c r="DHY199" s="234"/>
      <c r="DHZ199" s="234"/>
      <c r="DIA199" s="234"/>
      <c r="DIB199" s="234"/>
      <c r="DIC199" s="234"/>
      <c r="DID199" s="234"/>
      <c r="DIE199" s="234"/>
      <c r="DIF199" s="234"/>
      <c r="DIG199" s="234"/>
      <c r="DIH199" s="234"/>
      <c r="DII199" s="234"/>
      <c r="DIJ199" s="234"/>
      <c r="DIK199" s="234"/>
      <c r="DIL199" s="234"/>
      <c r="DIM199" s="234"/>
      <c r="DIN199" s="234"/>
      <c r="DIO199" s="234"/>
      <c r="DIP199" s="234"/>
      <c r="DIQ199" s="234"/>
      <c r="DIR199" s="234"/>
      <c r="DIS199" s="234"/>
      <c r="DIT199" s="234"/>
      <c r="DIU199" s="234"/>
      <c r="DIV199" s="234"/>
      <c r="DIW199" s="234"/>
      <c r="DIX199" s="234"/>
      <c r="DIY199" s="234"/>
      <c r="DIZ199" s="234"/>
      <c r="DJA199" s="234"/>
      <c r="DJB199" s="234"/>
      <c r="DJC199" s="234"/>
      <c r="DJD199" s="234"/>
      <c r="DJE199" s="234"/>
      <c r="DJF199" s="234"/>
      <c r="DJG199" s="234"/>
      <c r="DJH199" s="234"/>
      <c r="DJI199" s="234"/>
      <c r="DJJ199" s="234"/>
      <c r="DJK199" s="234"/>
      <c r="DJL199" s="234"/>
      <c r="DJM199" s="234"/>
      <c r="DJN199" s="234"/>
      <c r="DJO199" s="234"/>
      <c r="DJP199" s="234"/>
      <c r="DJQ199" s="234"/>
      <c r="DJR199" s="234"/>
      <c r="DJS199" s="234"/>
      <c r="DJT199" s="234"/>
      <c r="DJU199" s="234"/>
      <c r="DJV199" s="234"/>
      <c r="DJW199" s="234"/>
      <c r="DJX199" s="234"/>
      <c r="DJY199" s="234"/>
      <c r="DJZ199" s="234"/>
      <c r="DKA199" s="234"/>
      <c r="DKB199" s="234"/>
      <c r="DKC199" s="234"/>
      <c r="DKD199" s="234"/>
      <c r="DKE199" s="234"/>
      <c r="DKF199" s="234"/>
      <c r="DKG199" s="234"/>
      <c r="DKH199" s="234"/>
      <c r="DKI199" s="234"/>
      <c r="DKJ199" s="234"/>
      <c r="DKK199" s="234"/>
      <c r="DKL199" s="234"/>
      <c r="DKM199" s="234"/>
      <c r="DKN199" s="234"/>
      <c r="DKO199" s="234"/>
      <c r="DKP199" s="234"/>
      <c r="DKQ199" s="234"/>
      <c r="DKR199" s="234"/>
      <c r="DKS199" s="234"/>
      <c r="DKT199" s="234"/>
      <c r="DKU199" s="234"/>
      <c r="DKV199" s="234"/>
      <c r="DKW199" s="234"/>
      <c r="DKX199" s="234"/>
      <c r="DKY199" s="234"/>
      <c r="DKZ199" s="234"/>
      <c r="DLA199" s="234"/>
      <c r="DLB199" s="234"/>
      <c r="DLC199" s="234"/>
      <c r="DLD199" s="234"/>
      <c r="DLE199" s="234"/>
      <c r="DLF199" s="234"/>
      <c r="DLG199" s="234"/>
      <c r="DLH199" s="234"/>
      <c r="DLI199" s="234"/>
      <c r="DLJ199" s="234"/>
      <c r="DLK199" s="234"/>
      <c r="DLL199" s="234"/>
      <c r="DLM199" s="234"/>
      <c r="DLN199" s="234"/>
      <c r="DLO199" s="234"/>
      <c r="DLP199" s="234"/>
      <c r="DLQ199" s="234"/>
      <c r="DLR199" s="234"/>
      <c r="DLS199" s="234"/>
      <c r="DLT199" s="234"/>
      <c r="DLU199" s="234"/>
      <c r="DLV199" s="234"/>
      <c r="DLW199" s="234"/>
      <c r="DLX199" s="234"/>
      <c r="DLY199" s="234"/>
      <c r="DLZ199" s="234"/>
      <c r="DMA199" s="234"/>
      <c r="DMB199" s="234"/>
      <c r="DMC199" s="234"/>
      <c r="DMD199" s="234"/>
      <c r="DME199" s="234"/>
      <c r="DMF199" s="234"/>
      <c r="DMG199" s="234"/>
      <c r="DMH199" s="234"/>
      <c r="DMI199" s="234"/>
      <c r="DMJ199" s="234"/>
      <c r="DMK199" s="234"/>
      <c r="DML199" s="234"/>
      <c r="DMM199" s="234"/>
      <c r="DMN199" s="234"/>
      <c r="DMO199" s="234"/>
      <c r="DMP199" s="234"/>
      <c r="DMQ199" s="234"/>
      <c r="DMR199" s="234"/>
      <c r="DMS199" s="234"/>
      <c r="DMT199" s="234"/>
      <c r="DMU199" s="234"/>
      <c r="DMV199" s="234"/>
      <c r="DMW199" s="234"/>
      <c r="DMX199" s="234"/>
      <c r="DMY199" s="234"/>
      <c r="DMZ199" s="234"/>
      <c r="DNA199" s="234"/>
      <c r="DNB199" s="234"/>
      <c r="DNC199" s="234"/>
      <c r="DND199" s="234"/>
      <c r="DNE199" s="234"/>
      <c r="DNF199" s="234"/>
      <c r="DNG199" s="234"/>
      <c r="DNH199" s="234"/>
      <c r="DNI199" s="234"/>
      <c r="DNJ199" s="234"/>
      <c r="DNK199" s="234"/>
      <c r="DNL199" s="234"/>
      <c r="DNM199" s="234"/>
      <c r="DNN199" s="234"/>
      <c r="DNO199" s="234"/>
      <c r="DNP199" s="234"/>
      <c r="DNQ199" s="234"/>
      <c r="DNR199" s="234"/>
      <c r="DNS199" s="234"/>
      <c r="DNT199" s="234"/>
      <c r="DNU199" s="234"/>
      <c r="DNV199" s="234"/>
      <c r="DNW199" s="234"/>
      <c r="DNX199" s="234"/>
      <c r="DNY199" s="234"/>
      <c r="DNZ199" s="234"/>
      <c r="DOA199" s="234"/>
      <c r="DOB199" s="234"/>
      <c r="DOC199" s="234"/>
      <c r="DOD199" s="234"/>
      <c r="DOE199" s="234"/>
      <c r="DOF199" s="234"/>
      <c r="DOG199" s="234"/>
      <c r="DOH199" s="234"/>
      <c r="DOI199" s="234"/>
      <c r="DOJ199" s="234"/>
      <c r="DOK199" s="234"/>
      <c r="DOL199" s="234"/>
      <c r="DOM199" s="234"/>
      <c r="DON199" s="234"/>
      <c r="DOO199" s="234"/>
      <c r="DOP199" s="234"/>
      <c r="DOQ199" s="234"/>
      <c r="DOR199" s="234"/>
      <c r="DOS199" s="234"/>
      <c r="DOT199" s="234"/>
      <c r="DOU199" s="234"/>
      <c r="DOV199" s="234"/>
      <c r="DOW199" s="234"/>
      <c r="DOX199" s="234"/>
      <c r="DOY199" s="234"/>
      <c r="DOZ199" s="234"/>
      <c r="DPA199" s="234"/>
      <c r="DPB199" s="234"/>
      <c r="DPC199" s="234"/>
      <c r="DPD199" s="234"/>
      <c r="DPE199" s="234"/>
      <c r="DPF199" s="234"/>
      <c r="DPG199" s="234"/>
      <c r="DPH199" s="234"/>
      <c r="DPI199" s="234"/>
      <c r="DPJ199" s="234"/>
      <c r="DPK199" s="234"/>
      <c r="DPL199" s="234"/>
      <c r="DPM199" s="234"/>
      <c r="DPN199" s="234"/>
      <c r="DPO199" s="234"/>
      <c r="DPP199" s="234"/>
      <c r="DPQ199" s="234"/>
      <c r="DPR199" s="234"/>
      <c r="DPS199" s="234"/>
      <c r="DPT199" s="234"/>
      <c r="DPU199" s="234"/>
      <c r="DPV199" s="234"/>
      <c r="DPW199" s="234"/>
      <c r="DPX199" s="234"/>
      <c r="DPY199" s="234"/>
      <c r="DPZ199" s="234"/>
      <c r="DQA199" s="234"/>
      <c r="DQB199" s="234"/>
      <c r="DQC199" s="234"/>
      <c r="DQD199" s="234"/>
      <c r="DQE199" s="234"/>
      <c r="DQF199" s="234"/>
      <c r="DQG199" s="234"/>
      <c r="DQH199" s="234"/>
      <c r="DQI199" s="234"/>
      <c r="DQJ199" s="234"/>
      <c r="DQK199" s="234"/>
      <c r="DQL199" s="234"/>
      <c r="DQM199" s="234"/>
      <c r="DQN199" s="234"/>
      <c r="DQO199" s="234"/>
      <c r="DQP199" s="234"/>
      <c r="DQQ199" s="234"/>
      <c r="DQR199" s="234"/>
      <c r="DQS199" s="234"/>
      <c r="DQT199" s="234"/>
      <c r="DQU199" s="234"/>
      <c r="DQV199" s="234"/>
      <c r="DQW199" s="234"/>
      <c r="DQX199" s="234"/>
      <c r="DQY199" s="234"/>
      <c r="DQZ199" s="234"/>
      <c r="DRA199" s="234"/>
      <c r="DRB199" s="234"/>
      <c r="DRC199" s="234"/>
      <c r="DRD199" s="234"/>
      <c r="DRE199" s="234"/>
      <c r="DRF199" s="234"/>
      <c r="DRG199" s="234"/>
      <c r="DRH199" s="234"/>
      <c r="DRI199" s="234"/>
      <c r="DRJ199" s="234"/>
      <c r="DRK199" s="234"/>
      <c r="DRL199" s="234"/>
      <c r="DRM199" s="234"/>
      <c r="DRN199" s="234"/>
      <c r="DRO199" s="234"/>
      <c r="DRP199" s="234"/>
      <c r="DRQ199" s="234"/>
      <c r="DRR199" s="234"/>
      <c r="DRS199" s="234"/>
      <c r="DRT199" s="234"/>
      <c r="DRU199" s="234"/>
      <c r="DRV199" s="234"/>
      <c r="DRW199" s="234"/>
      <c r="DRX199" s="234"/>
      <c r="DRY199" s="234"/>
      <c r="DRZ199" s="234"/>
      <c r="DSA199" s="234"/>
      <c r="DSB199" s="234"/>
      <c r="DSC199" s="234"/>
      <c r="DSD199" s="234"/>
      <c r="DSE199" s="234"/>
      <c r="DSF199" s="234"/>
      <c r="DSG199" s="234"/>
      <c r="DSH199" s="234"/>
      <c r="DSI199" s="234"/>
      <c r="DSJ199" s="234"/>
      <c r="DSK199" s="234"/>
      <c r="DSL199" s="234"/>
      <c r="DSM199" s="234"/>
      <c r="DSN199" s="234"/>
      <c r="DSO199" s="234"/>
      <c r="DSP199" s="234"/>
      <c r="DSQ199" s="234"/>
      <c r="DSR199" s="234"/>
      <c r="DSS199" s="234"/>
      <c r="DST199" s="234"/>
      <c r="DSU199" s="234"/>
      <c r="DSV199" s="234"/>
      <c r="DSW199" s="234"/>
      <c r="DSX199" s="234"/>
      <c r="DSY199" s="234"/>
      <c r="DSZ199" s="234"/>
      <c r="DTA199" s="234"/>
      <c r="DTB199" s="234"/>
      <c r="DTC199" s="234"/>
      <c r="DTD199" s="234"/>
      <c r="DTE199" s="234"/>
      <c r="DTF199" s="234"/>
      <c r="DTG199" s="234"/>
      <c r="DTH199" s="234"/>
      <c r="DTI199" s="234"/>
      <c r="DTJ199" s="234"/>
      <c r="DTK199" s="234"/>
      <c r="DTL199" s="234"/>
      <c r="DTM199" s="234"/>
      <c r="DTN199" s="234"/>
      <c r="DTO199" s="234"/>
      <c r="DTP199" s="234"/>
      <c r="DTQ199" s="234"/>
      <c r="DTR199" s="234"/>
      <c r="DTS199" s="234"/>
      <c r="DTT199" s="234"/>
      <c r="DTU199" s="234"/>
      <c r="DTV199" s="234"/>
      <c r="DTW199" s="234"/>
      <c r="DTX199" s="234"/>
      <c r="DTY199" s="234"/>
      <c r="DTZ199" s="234"/>
      <c r="DUA199" s="234"/>
      <c r="DUB199" s="234"/>
      <c r="DUC199" s="234"/>
      <c r="DUD199" s="234"/>
      <c r="DUE199" s="234"/>
      <c r="DUF199" s="234"/>
      <c r="DUG199" s="234"/>
      <c r="DUH199" s="234"/>
      <c r="DUI199" s="234"/>
      <c r="DUJ199" s="234"/>
      <c r="DUK199" s="234"/>
      <c r="DUL199" s="234"/>
      <c r="DUM199" s="234"/>
      <c r="DUN199" s="234"/>
      <c r="DUO199" s="234"/>
      <c r="DUP199" s="234"/>
      <c r="DUQ199" s="234"/>
      <c r="DUR199" s="234"/>
      <c r="DUS199" s="234"/>
      <c r="DUT199" s="234"/>
      <c r="DUU199" s="234"/>
      <c r="DUV199" s="234"/>
      <c r="DUW199" s="234"/>
      <c r="DUX199" s="234"/>
      <c r="DUY199" s="234"/>
      <c r="DUZ199" s="234"/>
      <c r="DVA199" s="234"/>
      <c r="DVB199" s="234"/>
      <c r="DVC199" s="234"/>
      <c r="DVD199" s="234"/>
      <c r="DVE199" s="234"/>
      <c r="DVF199" s="234"/>
      <c r="DVG199" s="234"/>
      <c r="DVH199" s="234"/>
      <c r="DVI199" s="234"/>
      <c r="DVJ199" s="234"/>
      <c r="DVK199" s="234"/>
      <c r="DVL199" s="234"/>
      <c r="DVM199" s="234"/>
      <c r="DVN199" s="234"/>
      <c r="DVO199" s="234"/>
      <c r="DVP199" s="234"/>
      <c r="DVQ199" s="234"/>
      <c r="DVR199" s="234"/>
      <c r="DVS199" s="234"/>
      <c r="DVT199" s="234"/>
      <c r="DVU199" s="234"/>
      <c r="DVV199" s="234"/>
      <c r="DVW199" s="234"/>
      <c r="DVX199" s="234"/>
      <c r="DVY199" s="234"/>
      <c r="DVZ199" s="234"/>
      <c r="DWA199" s="234"/>
      <c r="DWB199" s="234"/>
      <c r="DWC199" s="234"/>
      <c r="DWD199" s="234"/>
      <c r="DWE199" s="234"/>
      <c r="DWF199" s="234"/>
      <c r="DWG199" s="234"/>
      <c r="DWH199" s="234"/>
      <c r="DWI199" s="234"/>
      <c r="DWJ199" s="234"/>
      <c r="DWK199" s="234"/>
      <c r="DWL199" s="234"/>
      <c r="DWM199" s="234"/>
      <c r="DWN199" s="234"/>
      <c r="DWO199" s="234"/>
      <c r="DWP199" s="234"/>
      <c r="DWQ199" s="234"/>
      <c r="DWR199" s="234"/>
      <c r="DWS199" s="234"/>
      <c r="DWT199" s="234"/>
      <c r="DWU199" s="234"/>
      <c r="DWV199" s="234"/>
      <c r="DWW199" s="234"/>
      <c r="DWX199" s="234"/>
      <c r="DWY199" s="234"/>
      <c r="DWZ199" s="234"/>
      <c r="DXA199" s="234"/>
      <c r="DXB199" s="234"/>
      <c r="DXC199" s="234"/>
      <c r="DXD199" s="234"/>
      <c r="DXE199" s="234"/>
      <c r="DXF199" s="234"/>
      <c r="DXG199" s="234"/>
      <c r="DXH199" s="234"/>
      <c r="DXI199" s="234"/>
      <c r="DXJ199" s="234"/>
      <c r="DXK199" s="234"/>
      <c r="DXL199" s="234"/>
      <c r="DXM199" s="234"/>
      <c r="DXN199" s="234"/>
      <c r="DXO199" s="234"/>
      <c r="DXP199" s="234"/>
      <c r="DXQ199" s="234"/>
      <c r="DXR199" s="234"/>
      <c r="DXS199" s="234"/>
      <c r="DXT199" s="234"/>
      <c r="DXU199" s="234"/>
      <c r="DXV199" s="234"/>
      <c r="DXW199" s="234"/>
      <c r="DXX199" s="234"/>
      <c r="DXY199" s="234"/>
      <c r="DXZ199" s="234"/>
      <c r="DYA199" s="234"/>
      <c r="DYB199" s="234"/>
      <c r="DYC199" s="234"/>
      <c r="DYD199" s="234"/>
      <c r="DYE199" s="234"/>
      <c r="DYF199" s="234"/>
      <c r="DYG199" s="234"/>
      <c r="DYH199" s="234"/>
      <c r="DYI199" s="234"/>
      <c r="DYJ199" s="234"/>
      <c r="DYK199" s="234"/>
      <c r="DYL199" s="234"/>
      <c r="DYM199" s="234"/>
      <c r="DYN199" s="234"/>
      <c r="DYO199" s="234"/>
      <c r="DYP199" s="234"/>
      <c r="DYQ199" s="234"/>
      <c r="DYR199" s="234"/>
      <c r="DYS199" s="234"/>
      <c r="DYT199" s="234"/>
      <c r="DYU199" s="234"/>
      <c r="DYV199" s="234"/>
      <c r="DYW199" s="234"/>
      <c r="DYX199" s="234"/>
      <c r="DYY199" s="234"/>
      <c r="DYZ199" s="234"/>
      <c r="DZA199" s="234"/>
      <c r="DZB199" s="234"/>
      <c r="DZC199" s="234"/>
      <c r="DZD199" s="234"/>
      <c r="DZE199" s="234"/>
      <c r="DZF199" s="234"/>
      <c r="DZG199" s="234"/>
      <c r="DZH199" s="234"/>
      <c r="DZI199" s="234"/>
      <c r="DZJ199" s="234"/>
      <c r="DZK199" s="234"/>
      <c r="DZL199" s="234"/>
      <c r="DZM199" s="234"/>
      <c r="DZN199" s="234"/>
      <c r="DZO199" s="234"/>
      <c r="DZP199" s="234"/>
      <c r="DZQ199" s="234"/>
      <c r="DZR199" s="234"/>
      <c r="DZS199" s="234"/>
      <c r="DZT199" s="234"/>
      <c r="DZU199" s="234"/>
      <c r="DZV199" s="234"/>
      <c r="DZW199" s="234"/>
      <c r="DZX199" s="234"/>
      <c r="DZY199" s="234"/>
      <c r="DZZ199" s="234"/>
      <c r="EAA199" s="234"/>
      <c r="EAB199" s="234"/>
      <c r="EAC199" s="234"/>
      <c r="EAD199" s="234"/>
      <c r="EAE199" s="234"/>
      <c r="EAF199" s="234"/>
      <c r="EAG199" s="234"/>
      <c r="EAH199" s="234"/>
      <c r="EAI199" s="234"/>
      <c r="EAJ199" s="234"/>
      <c r="EAK199" s="234"/>
      <c r="EAL199" s="234"/>
      <c r="EAM199" s="234"/>
      <c r="EAN199" s="234"/>
      <c r="EAO199" s="234"/>
      <c r="EAP199" s="234"/>
      <c r="EAQ199" s="234"/>
      <c r="EAR199" s="234"/>
      <c r="EAS199" s="234"/>
      <c r="EAT199" s="234"/>
      <c r="EAU199" s="234"/>
      <c r="EAV199" s="234"/>
      <c r="EAW199" s="234"/>
      <c r="EAX199" s="234"/>
      <c r="EAY199" s="234"/>
      <c r="EAZ199" s="234"/>
      <c r="EBA199" s="234"/>
      <c r="EBB199" s="234"/>
      <c r="EBC199" s="234"/>
      <c r="EBD199" s="234"/>
      <c r="EBE199" s="234"/>
      <c r="EBF199" s="234"/>
      <c r="EBG199" s="234"/>
      <c r="EBH199" s="234"/>
      <c r="EBI199" s="234"/>
      <c r="EBJ199" s="234"/>
      <c r="EBK199" s="234"/>
      <c r="EBL199" s="234"/>
      <c r="EBM199" s="234"/>
      <c r="EBN199" s="234"/>
      <c r="EBO199" s="234"/>
      <c r="EBP199" s="234"/>
      <c r="EBQ199" s="234"/>
      <c r="EBR199" s="234"/>
      <c r="EBS199" s="234"/>
      <c r="EBT199" s="234"/>
      <c r="EBU199" s="234"/>
      <c r="EBV199" s="234"/>
      <c r="EBW199" s="234"/>
      <c r="EBX199" s="234"/>
      <c r="EBY199" s="234"/>
      <c r="EBZ199" s="234"/>
      <c r="ECA199" s="234"/>
      <c r="ECB199" s="234"/>
      <c r="ECC199" s="234"/>
      <c r="ECD199" s="234"/>
      <c r="ECE199" s="234"/>
      <c r="ECF199" s="234"/>
      <c r="ECG199" s="234"/>
      <c r="ECH199" s="234"/>
      <c r="ECI199" s="234"/>
      <c r="ECJ199" s="234"/>
      <c r="ECK199" s="234"/>
      <c r="ECL199" s="234"/>
      <c r="ECM199" s="234"/>
      <c r="ECN199" s="234"/>
      <c r="ECO199" s="234"/>
      <c r="ECP199" s="234"/>
      <c r="ECQ199" s="234"/>
      <c r="ECR199" s="234"/>
      <c r="ECS199" s="234"/>
      <c r="ECT199" s="234"/>
      <c r="ECU199" s="234"/>
      <c r="ECV199" s="234"/>
      <c r="ECW199" s="234"/>
      <c r="ECX199" s="234"/>
      <c r="ECY199" s="234"/>
      <c r="ECZ199" s="234"/>
      <c r="EDA199" s="234"/>
      <c r="EDB199" s="234"/>
      <c r="EDC199" s="234"/>
      <c r="EDD199" s="234"/>
      <c r="EDE199" s="234"/>
      <c r="EDF199" s="234"/>
      <c r="EDG199" s="234"/>
      <c r="EDH199" s="234"/>
      <c r="EDI199" s="234"/>
      <c r="EDJ199" s="234"/>
      <c r="EDK199" s="234"/>
      <c r="EDL199" s="234"/>
      <c r="EDM199" s="234"/>
      <c r="EDN199" s="234"/>
      <c r="EDO199" s="234"/>
      <c r="EDP199" s="234"/>
      <c r="EDQ199" s="234"/>
      <c r="EDR199" s="234"/>
      <c r="EDS199" s="234"/>
      <c r="EDT199" s="234"/>
      <c r="EDU199" s="234"/>
      <c r="EDV199" s="234"/>
      <c r="EDW199" s="234"/>
      <c r="EDX199" s="234"/>
      <c r="EDY199" s="234"/>
      <c r="EDZ199" s="234"/>
      <c r="EEA199" s="234"/>
      <c r="EEB199" s="234"/>
      <c r="EEC199" s="234"/>
      <c r="EED199" s="234"/>
      <c r="EEE199" s="234"/>
      <c r="EEF199" s="234"/>
      <c r="EEG199" s="234"/>
      <c r="EEH199" s="234"/>
      <c r="EEI199" s="234"/>
      <c r="EEJ199" s="234"/>
      <c r="EEK199" s="234"/>
      <c r="EEL199" s="234"/>
      <c r="EEM199" s="234"/>
      <c r="EEN199" s="234"/>
      <c r="EEO199" s="234"/>
      <c r="EEP199" s="234"/>
      <c r="EEQ199" s="234"/>
      <c r="EER199" s="234"/>
      <c r="EES199" s="234"/>
      <c r="EET199" s="234"/>
      <c r="EEU199" s="234"/>
      <c r="EEV199" s="234"/>
      <c r="EEW199" s="234"/>
      <c r="EEX199" s="234"/>
      <c r="EEY199" s="234"/>
      <c r="EEZ199" s="234"/>
      <c r="EFA199" s="234"/>
      <c r="EFB199" s="234"/>
      <c r="EFC199" s="234"/>
      <c r="EFD199" s="234"/>
      <c r="EFE199" s="234"/>
      <c r="EFF199" s="234"/>
      <c r="EFG199" s="234"/>
      <c r="EFH199" s="234"/>
      <c r="EFI199" s="234"/>
      <c r="EFJ199" s="234"/>
      <c r="EFK199" s="234"/>
      <c r="EFL199" s="234"/>
      <c r="EFM199" s="234"/>
      <c r="EFN199" s="234"/>
      <c r="EFO199" s="234"/>
      <c r="EFP199" s="234"/>
      <c r="EFQ199" s="234"/>
      <c r="EFR199" s="234"/>
      <c r="EFS199" s="234"/>
      <c r="EFT199" s="234"/>
      <c r="EFU199" s="234"/>
      <c r="EFV199" s="234"/>
      <c r="EFW199" s="234"/>
      <c r="EFX199" s="234"/>
      <c r="EFY199" s="234"/>
      <c r="EFZ199" s="234"/>
      <c r="EGA199" s="234"/>
      <c r="EGB199" s="234"/>
      <c r="EGC199" s="234"/>
      <c r="EGD199" s="234"/>
      <c r="EGE199" s="234"/>
      <c r="EGF199" s="234"/>
      <c r="EGG199" s="234"/>
      <c r="EGH199" s="234"/>
      <c r="EGI199" s="234"/>
      <c r="EGJ199" s="234"/>
      <c r="EGK199" s="234"/>
      <c r="EGL199" s="234"/>
      <c r="EGM199" s="234"/>
      <c r="EGN199" s="234"/>
      <c r="EGO199" s="234"/>
      <c r="EGP199" s="234"/>
      <c r="EGQ199" s="234"/>
      <c r="EGR199" s="234"/>
      <c r="EGS199" s="234"/>
      <c r="EGT199" s="234"/>
      <c r="EGU199" s="234"/>
      <c r="EGV199" s="234"/>
      <c r="EGW199" s="234"/>
      <c r="EGX199" s="234"/>
      <c r="EGY199" s="234"/>
      <c r="EGZ199" s="234"/>
      <c r="EHA199" s="234"/>
      <c r="EHB199" s="234"/>
      <c r="EHC199" s="234"/>
      <c r="EHD199" s="234"/>
      <c r="EHE199" s="234"/>
      <c r="EHF199" s="234"/>
      <c r="EHG199" s="234"/>
      <c r="EHH199" s="234"/>
      <c r="EHI199" s="234"/>
      <c r="EHJ199" s="234"/>
      <c r="EHK199" s="234"/>
      <c r="EHL199" s="234"/>
      <c r="EHM199" s="234"/>
      <c r="EHN199" s="234"/>
      <c r="EHO199" s="234"/>
      <c r="EHP199" s="234"/>
      <c r="EHQ199" s="234"/>
      <c r="EHR199" s="234"/>
      <c r="EHS199" s="234"/>
      <c r="EHT199" s="234"/>
      <c r="EHU199" s="234"/>
      <c r="EHV199" s="234"/>
      <c r="EHW199" s="234"/>
      <c r="EHX199" s="234"/>
      <c r="EHY199" s="234"/>
      <c r="EHZ199" s="234"/>
      <c r="EIA199" s="234"/>
      <c r="EIB199" s="234"/>
      <c r="EIC199" s="234"/>
      <c r="EID199" s="234"/>
      <c r="EIE199" s="234"/>
      <c r="EIF199" s="234"/>
      <c r="EIG199" s="234"/>
      <c r="EIH199" s="234"/>
      <c r="EII199" s="234"/>
      <c r="EIJ199" s="234"/>
      <c r="EIK199" s="234"/>
      <c r="EIL199" s="234"/>
      <c r="EIM199" s="234"/>
      <c r="EIN199" s="234"/>
      <c r="EIO199" s="234"/>
      <c r="EIP199" s="234"/>
      <c r="EIQ199" s="234"/>
      <c r="EIR199" s="234"/>
      <c r="EIS199" s="234"/>
      <c r="EIT199" s="234"/>
      <c r="EIU199" s="234"/>
      <c r="EIV199" s="234"/>
      <c r="EIW199" s="234"/>
      <c r="EIX199" s="234"/>
      <c r="EIY199" s="234"/>
      <c r="EIZ199" s="234"/>
      <c r="EJA199" s="234"/>
      <c r="EJB199" s="234"/>
      <c r="EJC199" s="234"/>
      <c r="EJD199" s="234"/>
      <c r="EJE199" s="234"/>
      <c r="EJF199" s="234"/>
      <c r="EJG199" s="234"/>
      <c r="EJH199" s="234"/>
      <c r="EJI199" s="234"/>
      <c r="EJJ199" s="234"/>
      <c r="EJK199" s="234"/>
      <c r="EJL199" s="234"/>
      <c r="EJM199" s="234"/>
      <c r="EJN199" s="234"/>
      <c r="EJO199" s="234"/>
      <c r="EJP199" s="234"/>
      <c r="EJQ199" s="234"/>
      <c r="EJR199" s="234"/>
      <c r="EJS199" s="234"/>
      <c r="EJT199" s="234"/>
      <c r="EJU199" s="234"/>
      <c r="EJV199" s="234"/>
      <c r="EJW199" s="234"/>
      <c r="EJX199" s="234"/>
      <c r="EJY199" s="234"/>
      <c r="EJZ199" s="234"/>
      <c r="EKA199" s="234"/>
      <c r="EKB199" s="234"/>
      <c r="EKC199" s="234"/>
      <c r="EKD199" s="234"/>
      <c r="EKE199" s="234"/>
      <c r="EKF199" s="234"/>
      <c r="EKG199" s="234"/>
      <c r="EKH199" s="234"/>
      <c r="EKI199" s="234"/>
      <c r="EKJ199" s="234"/>
      <c r="EKK199" s="234"/>
      <c r="EKL199" s="234"/>
      <c r="EKM199" s="234"/>
      <c r="EKN199" s="234"/>
      <c r="EKO199" s="234"/>
      <c r="EKP199" s="234"/>
      <c r="EKQ199" s="234"/>
      <c r="EKR199" s="234"/>
      <c r="EKS199" s="234"/>
      <c r="EKT199" s="234"/>
      <c r="EKU199" s="234"/>
      <c r="EKV199" s="234"/>
      <c r="EKW199" s="234"/>
      <c r="EKX199" s="234"/>
      <c r="EKY199" s="234"/>
      <c r="EKZ199" s="234"/>
      <c r="ELA199" s="234"/>
      <c r="ELB199" s="234"/>
      <c r="ELC199" s="234"/>
      <c r="ELD199" s="234"/>
      <c r="ELE199" s="234"/>
      <c r="ELF199" s="234"/>
      <c r="ELG199" s="234"/>
      <c r="ELH199" s="234"/>
      <c r="ELI199" s="234"/>
      <c r="ELJ199" s="234"/>
      <c r="ELK199" s="234"/>
      <c r="ELL199" s="234"/>
      <c r="ELM199" s="234"/>
      <c r="ELN199" s="234"/>
      <c r="ELO199" s="234"/>
      <c r="ELP199" s="234"/>
      <c r="ELQ199" s="234"/>
      <c r="ELR199" s="234"/>
      <c r="ELS199" s="234"/>
      <c r="ELT199" s="234"/>
      <c r="ELU199" s="234"/>
      <c r="ELV199" s="234"/>
      <c r="ELW199" s="234"/>
      <c r="ELX199" s="234"/>
      <c r="ELY199" s="234"/>
      <c r="ELZ199" s="234"/>
      <c r="EMA199" s="234"/>
      <c r="EMB199" s="234"/>
      <c r="EMC199" s="234"/>
      <c r="EMD199" s="234"/>
      <c r="EME199" s="234"/>
      <c r="EMF199" s="234"/>
      <c r="EMG199" s="234"/>
      <c r="EMH199" s="234"/>
      <c r="EMI199" s="234"/>
      <c r="EMJ199" s="234"/>
      <c r="EMK199" s="234"/>
      <c r="EML199" s="234"/>
      <c r="EMM199" s="234"/>
      <c r="EMN199" s="234"/>
      <c r="EMO199" s="234"/>
      <c r="EMP199" s="234"/>
      <c r="EMQ199" s="234"/>
      <c r="EMR199" s="234"/>
      <c r="EMS199" s="234"/>
      <c r="EMT199" s="234"/>
      <c r="EMU199" s="234"/>
      <c r="EMV199" s="234"/>
      <c r="EMW199" s="234"/>
      <c r="EMX199" s="234"/>
      <c r="EMY199" s="234"/>
      <c r="EMZ199" s="234"/>
      <c r="ENA199" s="234"/>
      <c r="ENB199" s="234"/>
      <c r="ENC199" s="234"/>
      <c r="END199" s="234"/>
      <c r="ENE199" s="234"/>
      <c r="ENF199" s="234"/>
      <c r="ENG199" s="234"/>
      <c r="ENH199" s="234"/>
      <c r="ENI199" s="234"/>
      <c r="ENJ199" s="234"/>
      <c r="ENK199" s="234"/>
      <c r="ENL199" s="234"/>
      <c r="ENM199" s="234"/>
      <c r="ENN199" s="234"/>
      <c r="ENO199" s="234"/>
      <c r="ENP199" s="234"/>
      <c r="ENQ199" s="234"/>
      <c r="ENR199" s="234"/>
      <c r="ENS199" s="234"/>
      <c r="ENT199" s="234"/>
      <c r="ENU199" s="234"/>
      <c r="ENV199" s="234"/>
      <c r="ENW199" s="234"/>
      <c r="ENX199" s="234"/>
      <c r="ENY199" s="234"/>
      <c r="ENZ199" s="234"/>
      <c r="EOA199" s="234"/>
      <c r="EOB199" s="234"/>
      <c r="EOC199" s="234"/>
      <c r="EOD199" s="234"/>
      <c r="EOE199" s="234"/>
      <c r="EOF199" s="234"/>
      <c r="EOG199" s="234"/>
      <c r="EOH199" s="234"/>
      <c r="EOI199" s="234"/>
      <c r="EOJ199" s="234"/>
      <c r="EOK199" s="234"/>
      <c r="EOL199" s="234"/>
      <c r="EOM199" s="234"/>
      <c r="EON199" s="234"/>
      <c r="EOO199" s="234"/>
      <c r="EOP199" s="234"/>
      <c r="EOQ199" s="234"/>
      <c r="EOR199" s="234"/>
      <c r="EOS199" s="234"/>
      <c r="EOT199" s="234"/>
      <c r="EOU199" s="234"/>
      <c r="EOV199" s="234"/>
      <c r="EOW199" s="234"/>
      <c r="EOX199" s="234"/>
      <c r="EOY199" s="234"/>
      <c r="EOZ199" s="234"/>
      <c r="EPA199" s="234"/>
      <c r="EPB199" s="234"/>
      <c r="EPC199" s="234"/>
      <c r="EPD199" s="234"/>
      <c r="EPE199" s="234"/>
      <c r="EPF199" s="234"/>
      <c r="EPG199" s="234"/>
      <c r="EPH199" s="234"/>
      <c r="EPI199" s="234"/>
      <c r="EPJ199" s="234"/>
      <c r="EPK199" s="234"/>
      <c r="EPL199" s="234"/>
      <c r="EPM199" s="234"/>
      <c r="EPN199" s="234"/>
      <c r="EPO199" s="234"/>
      <c r="EPP199" s="234"/>
      <c r="EPQ199" s="234"/>
      <c r="EPR199" s="234"/>
      <c r="EPS199" s="234"/>
      <c r="EPT199" s="234"/>
      <c r="EPU199" s="234"/>
      <c r="EPV199" s="234"/>
      <c r="EPW199" s="234"/>
      <c r="EPX199" s="234"/>
      <c r="EPY199" s="234"/>
      <c r="EPZ199" s="234"/>
      <c r="EQA199" s="234"/>
      <c r="EQB199" s="234"/>
      <c r="EQC199" s="234"/>
      <c r="EQD199" s="234"/>
      <c r="EQE199" s="234"/>
      <c r="EQF199" s="234"/>
      <c r="EQG199" s="234"/>
      <c r="EQH199" s="234"/>
      <c r="EQI199" s="234"/>
      <c r="EQJ199" s="234"/>
      <c r="EQK199" s="234"/>
      <c r="EQL199" s="234"/>
      <c r="EQM199" s="234"/>
      <c r="EQN199" s="234"/>
      <c r="EQO199" s="234"/>
      <c r="EQP199" s="234"/>
      <c r="EQQ199" s="234"/>
      <c r="EQR199" s="234"/>
      <c r="EQS199" s="234"/>
      <c r="EQT199" s="234"/>
      <c r="EQU199" s="234"/>
      <c r="EQV199" s="234"/>
      <c r="EQW199" s="234"/>
      <c r="EQX199" s="234"/>
      <c r="EQY199" s="234"/>
      <c r="EQZ199" s="234"/>
      <c r="ERA199" s="234"/>
      <c r="ERB199" s="234"/>
      <c r="ERC199" s="234"/>
      <c r="ERD199" s="234"/>
      <c r="ERE199" s="234"/>
      <c r="ERF199" s="234"/>
      <c r="ERG199" s="234"/>
      <c r="ERH199" s="234"/>
      <c r="ERI199" s="234"/>
      <c r="ERJ199" s="234"/>
      <c r="ERK199" s="234"/>
      <c r="ERL199" s="234"/>
      <c r="ERM199" s="234"/>
      <c r="ERN199" s="234"/>
      <c r="ERO199" s="234"/>
      <c r="ERP199" s="234"/>
      <c r="ERQ199" s="234"/>
      <c r="ERR199" s="234"/>
      <c r="ERS199" s="234"/>
      <c r="ERT199" s="234"/>
      <c r="ERU199" s="234"/>
      <c r="ERV199" s="234"/>
      <c r="ERW199" s="234"/>
      <c r="ERX199" s="234"/>
      <c r="ERY199" s="234"/>
      <c r="ERZ199" s="234"/>
      <c r="ESA199" s="234"/>
      <c r="ESB199" s="234"/>
      <c r="ESC199" s="234"/>
      <c r="ESD199" s="234"/>
      <c r="ESE199" s="234"/>
      <c r="ESF199" s="234"/>
      <c r="ESG199" s="234"/>
      <c r="ESH199" s="234"/>
      <c r="ESI199" s="234"/>
      <c r="ESJ199" s="234"/>
      <c r="ESK199" s="234"/>
      <c r="ESL199" s="234"/>
      <c r="ESM199" s="234"/>
      <c r="ESN199" s="234"/>
      <c r="ESO199" s="234"/>
      <c r="ESP199" s="234"/>
      <c r="ESQ199" s="234"/>
      <c r="ESR199" s="234"/>
      <c r="ESS199" s="234"/>
      <c r="EST199" s="234"/>
      <c r="ESU199" s="234"/>
      <c r="ESV199" s="234"/>
      <c r="ESW199" s="234"/>
      <c r="ESX199" s="234"/>
      <c r="ESY199" s="234"/>
      <c r="ESZ199" s="234"/>
      <c r="ETA199" s="234"/>
      <c r="ETB199" s="234"/>
      <c r="ETC199" s="234"/>
      <c r="ETD199" s="234"/>
      <c r="ETE199" s="234"/>
      <c r="ETF199" s="234"/>
      <c r="ETG199" s="234"/>
      <c r="ETH199" s="234"/>
      <c r="ETI199" s="234"/>
      <c r="ETJ199" s="234"/>
      <c r="ETK199" s="234"/>
      <c r="ETL199" s="234"/>
      <c r="ETM199" s="234"/>
      <c r="ETN199" s="234"/>
      <c r="ETO199" s="234"/>
      <c r="ETP199" s="234"/>
      <c r="ETQ199" s="234"/>
      <c r="ETR199" s="234"/>
      <c r="ETS199" s="234"/>
      <c r="ETT199" s="234"/>
      <c r="ETU199" s="234"/>
      <c r="ETV199" s="234"/>
      <c r="ETW199" s="234"/>
      <c r="ETX199" s="234"/>
      <c r="ETY199" s="234"/>
      <c r="ETZ199" s="234"/>
      <c r="EUA199" s="234"/>
      <c r="EUB199" s="234"/>
      <c r="EUC199" s="234"/>
      <c r="EUD199" s="234"/>
      <c r="EUE199" s="234"/>
      <c r="EUF199" s="234"/>
      <c r="EUG199" s="234"/>
      <c r="EUH199" s="234"/>
      <c r="EUI199" s="234"/>
      <c r="EUJ199" s="234"/>
      <c r="EUK199" s="234"/>
      <c r="EUL199" s="234"/>
      <c r="EUM199" s="234"/>
      <c r="EUN199" s="234"/>
      <c r="EUO199" s="234"/>
      <c r="EUP199" s="234"/>
      <c r="EUQ199" s="234"/>
      <c r="EUR199" s="234"/>
      <c r="EUS199" s="234"/>
      <c r="EUT199" s="234"/>
      <c r="EUU199" s="234"/>
      <c r="EUV199" s="234"/>
      <c r="EUW199" s="234"/>
      <c r="EUX199" s="234"/>
      <c r="EUY199" s="234"/>
      <c r="EUZ199" s="234"/>
      <c r="EVA199" s="234"/>
      <c r="EVB199" s="234"/>
      <c r="EVC199" s="234"/>
      <c r="EVD199" s="234"/>
      <c r="EVE199" s="234"/>
      <c r="EVF199" s="234"/>
      <c r="EVG199" s="234"/>
      <c r="EVH199" s="234"/>
      <c r="EVI199" s="234"/>
      <c r="EVJ199" s="234"/>
      <c r="EVK199" s="234"/>
      <c r="EVL199" s="234"/>
      <c r="EVM199" s="234"/>
      <c r="EVN199" s="234"/>
      <c r="EVO199" s="234"/>
      <c r="EVP199" s="234"/>
      <c r="EVQ199" s="234"/>
      <c r="EVR199" s="234"/>
      <c r="EVS199" s="234"/>
      <c r="EVT199" s="234"/>
      <c r="EVU199" s="234"/>
      <c r="EVV199" s="234"/>
      <c r="EVW199" s="234"/>
      <c r="EVX199" s="234"/>
      <c r="EVY199" s="234"/>
      <c r="EVZ199" s="234"/>
      <c r="EWA199" s="234"/>
      <c r="EWB199" s="234"/>
      <c r="EWC199" s="234"/>
      <c r="EWD199" s="234"/>
      <c r="EWE199" s="234"/>
      <c r="EWF199" s="234"/>
      <c r="EWG199" s="234"/>
      <c r="EWH199" s="234"/>
      <c r="EWI199" s="234"/>
      <c r="EWJ199" s="234"/>
      <c r="EWK199" s="234"/>
      <c r="EWL199" s="234"/>
      <c r="EWM199" s="234"/>
      <c r="EWN199" s="234"/>
      <c r="EWO199" s="234"/>
      <c r="EWP199" s="234"/>
      <c r="EWQ199" s="234"/>
      <c r="EWR199" s="234"/>
      <c r="EWS199" s="234"/>
      <c r="EWT199" s="234"/>
      <c r="EWU199" s="234"/>
      <c r="EWV199" s="234"/>
      <c r="EWW199" s="234"/>
      <c r="EWX199" s="234"/>
      <c r="EWY199" s="234"/>
      <c r="EWZ199" s="234"/>
      <c r="EXA199" s="234"/>
      <c r="EXB199" s="234"/>
      <c r="EXC199" s="234"/>
      <c r="EXD199" s="234"/>
      <c r="EXE199" s="234"/>
      <c r="EXF199" s="234"/>
      <c r="EXG199" s="234"/>
      <c r="EXH199" s="234"/>
      <c r="EXI199" s="234"/>
      <c r="EXJ199" s="234"/>
      <c r="EXK199" s="234"/>
      <c r="EXL199" s="234"/>
      <c r="EXM199" s="234"/>
      <c r="EXN199" s="234"/>
      <c r="EXO199" s="234"/>
      <c r="EXP199" s="234"/>
      <c r="EXQ199" s="234"/>
      <c r="EXR199" s="234"/>
      <c r="EXS199" s="234"/>
      <c r="EXT199" s="234"/>
      <c r="EXU199" s="234"/>
      <c r="EXV199" s="234"/>
      <c r="EXW199" s="234"/>
      <c r="EXX199" s="234"/>
      <c r="EXY199" s="234"/>
      <c r="EXZ199" s="234"/>
      <c r="EYA199" s="234"/>
      <c r="EYB199" s="234"/>
      <c r="EYC199" s="234"/>
      <c r="EYD199" s="234"/>
      <c r="EYE199" s="234"/>
      <c r="EYF199" s="234"/>
      <c r="EYG199" s="234"/>
      <c r="EYH199" s="234"/>
      <c r="EYI199" s="234"/>
      <c r="EYJ199" s="234"/>
      <c r="EYK199" s="234"/>
      <c r="EYL199" s="234"/>
      <c r="EYM199" s="234"/>
      <c r="EYN199" s="234"/>
      <c r="EYO199" s="234"/>
      <c r="EYP199" s="234"/>
      <c r="EYQ199" s="234"/>
      <c r="EYR199" s="234"/>
      <c r="EYS199" s="234"/>
      <c r="EYT199" s="234"/>
      <c r="EYU199" s="234"/>
      <c r="EYV199" s="234"/>
      <c r="EYW199" s="234"/>
      <c r="EYX199" s="234"/>
      <c r="EYY199" s="234"/>
      <c r="EYZ199" s="234"/>
      <c r="EZA199" s="234"/>
      <c r="EZB199" s="234"/>
      <c r="EZC199" s="234"/>
      <c r="EZD199" s="234"/>
      <c r="EZE199" s="234"/>
      <c r="EZF199" s="234"/>
      <c r="EZG199" s="234"/>
      <c r="EZH199" s="234"/>
      <c r="EZI199" s="234"/>
      <c r="EZJ199" s="234"/>
      <c r="EZK199" s="234"/>
      <c r="EZL199" s="234"/>
      <c r="EZM199" s="234"/>
      <c r="EZN199" s="234"/>
      <c r="EZO199" s="234"/>
      <c r="EZP199" s="234"/>
      <c r="EZQ199" s="234"/>
      <c r="EZR199" s="234"/>
      <c r="EZS199" s="234"/>
      <c r="EZT199" s="234"/>
      <c r="EZU199" s="234"/>
      <c r="EZV199" s="234"/>
      <c r="EZW199" s="234"/>
      <c r="EZX199" s="234"/>
      <c r="EZY199" s="234"/>
      <c r="EZZ199" s="234"/>
      <c r="FAA199" s="234"/>
      <c r="FAB199" s="234"/>
      <c r="FAC199" s="234"/>
      <c r="FAD199" s="234"/>
      <c r="FAE199" s="234"/>
      <c r="FAF199" s="234"/>
      <c r="FAG199" s="234"/>
      <c r="FAH199" s="234"/>
      <c r="FAI199" s="234"/>
      <c r="FAJ199" s="234"/>
      <c r="FAK199" s="234"/>
      <c r="FAL199" s="234"/>
      <c r="FAM199" s="234"/>
      <c r="FAN199" s="234"/>
      <c r="FAO199" s="234"/>
      <c r="FAP199" s="234"/>
      <c r="FAQ199" s="234"/>
      <c r="FAR199" s="234"/>
      <c r="FAS199" s="234"/>
      <c r="FAT199" s="234"/>
      <c r="FAU199" s="234"/>
      <c r="FAV199" s="234"/>
      <c r="FAW199" s="234"/>
      <c r="FAX199" s="234"/>
      <c r="FAY199" s="234"/>
      <c r="FAZ199" s="234"/>
      <c r="FBA199" s="234"/>
      <c r="FBB199" s="234"/>
      <c r="FBC199" s="234"/>
      <c r="FBD199" s="234"/>
      <c r="FBE199" s="234"/>
      <c r="FBF199" s="234"/>
      <c r="FBG199" s="234"/>
      <c r="FBH199" s="234"/>
      <c r="FBI199" s="234"/>
      <c r="FBJ199" s="234"/>
      <c r="FBK199" s="234"/>
      <c r="FBL199" s="234"/>
      <c r="FBM199" s="234"/>
      <c r="FBN199" s="234"/>
      <c r="FBO199" s="234"/>
      <c r="FBP199" s="234"/>
      <c r="FBQ199" s="234"/>
      <c r="FBR199" s="234"/>
      <c r="FBS199" s="234"/>
      <c r="FBT199" s="234"/>
      <c r="FBU199" s="234"/>
      <c r="FBV199" s="234"/>
      <c r="FBW199" s="234"/>
      <c r="FBX199" s="234"/>
      <c r="FBY199" s="234"/>
      <c r="FBZ199" s="234"/>
      <c r="FCA199" s="234"/>
      <c r="FCB199" s="234"/>
      <c r="FCC199" s="234"/>
      <c r="FCD199" s="234"/>
      <c r="FCE199" s="234"/>
      <c r="FCF199" s="234"/>
      <c r="FCG199" s="234"/>
      <c r="FCH199" s="234"/>
      <c r="FCI199" s="234"/>
      <c r="FCJ199" s="234"/>
      <c r="FCK199" s="234"/>
      <c r="FCL199" s="234"/>
      <c r="FCM199" s="234"/>
      <c r="FCN199" s="234"/>
      <c r="FCO199" s="234"/>
      <c r="FCP199" s="234"/>
      <c r="FCQ199" s="234"/>
      <c r="FCR199" s="234"/>
      <c r="FCS199" s="234"/>
      <c r="FCT199" s="234"/>
      <c r="FCU199" s="234"/>
      <c r="FCV199" s="234"/>
      <c r="FCW199" s="234"/>
      <c r="FCX199" s="234"/>
      <c r="FCY199" s="234"/>
      <c r="FCZ199" s="234"/>
      <c r="FDA199" s="234"/>
      <c r="FDB199" s="234"/>
      <c r="FDC199" s="234"/>
      <c r="FDD199" s="234"/>
      <c r="FDE199" s="234"/>
      <c r="FDF199" s="234"/>
      <c r="FDG199" s="234"/>
      <c r="FDH199" s="234"/>
      <c r="FDI199" s="234"/>
      <c r="FDJ199" s="234"/>
      <c r="FDK199" s="234"/>
      <c r="FDL199" s="234"/>
      <c r="FDM199" s="234"/>
      <c r="FDN199" s="234"/>
      <c r="FDO199" s="234"/>
      <c r="FDP199" s="234"/>
      <c r="FDQ199" s="234"/>
      <c r="FDR199" s="234"/>
      <c r="FDS199" s="234"/>
      <c r="FDT199" s="234"/>
      <c r="FDU199" s="234"/>
      <c r="FDV199" s="234"/>
      <c r="FDW199" s="234"/>
      <c r="FDX199" s="234"/>
      <c r="FDY199" s="234"/>
      <c r="FDZ199" s="234"/>
      <c r="FEA199" s="234"/>
      <c r="FEB199" s="234"/>
      <c r="FEC199" s="234"/>
      <c r="FED199" s="234"/>
      <c r="FEE199" s="234"/>
      <c r="FEF199" s="234"/>
      <c r="FEG199" s="234"/>
      <c r="FEH199" s="234"/>
      <c r="FEI199" s="234"/>
      <c r="FEJ199" s="234"/>
      <c r="FEK199" s="234"/>
      <c r="FEL199" s="234"/>
      <c r="FEM199" s="234"/>
      <c r="FEN199" s="234"/>
      <c r="FEO199" s="234"/>
      <c r="FEP199" s="234"/>
      <c r="FEQ199" s="234"/>
      <c r="FER199" s="234"/>
      <c r="FES199" s="234"/>
      <c r="FET199" s="234"/>
      <c r="FEU199" s="234"/>
      <c r="FEV199" s="234"/>
      <c r="FEW199" s="234"/>
      <c r="FEX199" s="234"/>
      <c r="FEY199" s="234"/>
      <c r="FEZ199" s="234"/>
      <c r="FFA199" s="234"/>
      <c r="FFB199" s="234"/>
      <c r="FFC199" s="234"/>
      <c r="FFD199" s="234"/>
      <c r="FFE199" s="234"/>
      <c r="FFF199" s="234"/>
      <c r="FFG199" s="234"/>
      <c r="FFH199" s="234"/>
      <c r="FFI199" s="234"/>
      <c r="FFJ199" s="234"/>
      <c r="FFK199" s="234"/>
      <c r="FFL199" s="234"/>
      <c r="FFM199" s="234"/>
      <c r="FFN199" s="234"/>
      <c r="FFO199" s="234"/>
      <c r="FFP199" s="234"/>
      <c r="FFQ199" s="234"/>
      <c r="FFR199" s="234"/>
      <c r="FFS199" s="234"/>
      <c r="FFT199" s="234"/>
      <c r="FFU199" s="234"/>
      <c r="FFV199" s="234"/>
      <c r="FFW199" s="234"/>
      <c r="FFX199" s="234"/>
      <c r="FFY199" s="234"/>
      <c r="FFZ199" s="234"/>
      <c r="FGA199" s="234"/>
      <c r="FGB199" s="234"/>
      <c r="FGC199" s="234"/>
      <c r="FGD199" s="234"/>
      <c r="FGE199" s="234"/>
      <c r="FGF199" s="234"/>
      <c r="FGG199" s="234"/>
      <c r="FGH199" s="234"/>
      <c r="FGI199" s="234"/>
      <c r="FGJ199" s="234"/>
      <c r="FGK199" s="234"/>
      <c r="FGL199" s="234"/>
      <c r="FGM199" s="234"/>
      <c r="FGN199" s="234"/>
      <c r="FGO199" s="234"/>
      <c r="FGP199" s="234"/>
      <c r="FGQ199" s="234"/>
      <c r="FGR199" s="234"/>
      <c r="FGS199" s="234"/>
      <c r="FGT199" s="234"/>
      <c r="FGU199" s="234"/>
      <c r="FGV199" s="234"/>
      <c r="FGW199" s="234"/>
      <c r="FGX199" s="234"/>
      <c r="FGY199" s="234"/>
      <c r="FGZ199" s="234"/>
      <c r="FHA199" s="234"/>
      <c r="FHB199" s="234"/>
      <c r="FHC199" s="234"/>
      <c r="FHD199" s="234"/>
      <c r="FHE199" s="234"/>
      <c r="FHF199" s="234"/>
      <c r="FHG199" s="234"/>
      <c r="FHH199" s="234"/>
      <c r="FHI199" s="234"/>
      <c r="FHJ199" s="234"/>
      <c r="FHK199" s="234"/>
      <c r="FHL199" s="234"/>
      <c r="FHM199" s="234"/>
      <c r="FHN199" s="234"/>
      <c r="FHO199" s="234"/>
      <c r="FHP199" s="234"/>
      <c r="FHQ199" s="234"/>
      <c r="FHR199" s="234"/>
      <c r="FHS199" s="234"/>
      <c r="FHT199" s="234"/>
      <c r="FHU199" s="234"/>
      <c r="FHV199" s="234"/>
      <c r="FHW199" s="234"/>
      <c r="FHX199" s="234"/>
      <c r="FHY199" s="234"/>
      <c r="FHZ199" s="234"/>
      <c r="FIA199" s="234"/>
      <c r="FIB199" s="234"/>
      <c r="FIC199" s="234"/>
      <c r="FID199" s="234"/>
      <c r="FIE199" s="234"/>
      <c r="FIF199" s="234"/>
      <c r="FIG199" s="234"/>
      <c r="FIH199" s="234"/>
      <c r="FII199" s="234"/>
      <c r="FIJ199" s="234"/>
      <c r="FIK199" s="234"/>
      <c r="FIL199" s="234"/>
      <c r="FIM199" s="234"/>
      <c r="FIN199" s="234"/>
      <c r="FIO199" s="234"/>
      <c r="FIP199" s="234"/>
      <c r="FIQ199" s="234"/>
      <c r="FIR199" s="234"/>
      <c r="FIS199" s="234"/>
      <c r="FIT199" s="234"/>
      <c r="FIU199" s="234"/>
      <c r="FIV199" s="234"/>
      <c r="FIW199" s="234"/>
      <c r="FIX199" s="234"/>
      <c r="FIY199" s="234"/>
      <c r="FIZ199" s="234"/>
      <c r="FJA199" s="234"/>
      <c r="FJB199" s="234"/>
      <c r="FJC199" s="234"/>
      <c r="FJD199" s="234"/>
      <c r="FJE199" s="234"/>
      <c r="FJF199" s="234"/>
      <c r="FJG199" s="234"/>
      <c r="FJH199" s="234"/>
      <c r="FJI199" s="234"/>
      <c r="FJJ199" s="234"/>
      <c r="FJK199" s="234"/>
      <c r="FJL199" s="234"/>
      <c r="FJM199" s="234"/>
      <c r="FJN199" s="234"/>
      <c r="FJO199" s="234"/>
      <c r="FJP199" s="234"/>
      <c r="FJQ199" s="234"/>
      <c r="FJR199" s="234"/>
      <c r="FJS199" s="234"/>
      <c r="FJT199" s="234"/>
      <c r="FJU199" s="234"/>
      <c r="FJV199" s="234"/>
      <c r="FJW199" s="234"/>
      <c r="FJX199" s="234"/>
      <c r="FJY199" s="234"/>
      <c r="FJZ199" s="234"/>
      <c r="FKA199" s="234"/>
      <c r="FKB199" s="234"/>
      <c r="FKC199" s="234"/>
      <c r="FKD199" s="234"/>
      <c r="FKE199" s="234"/>
      <c r="FKF199" s="234"/>
      <c r="FKG199" s="234"/>
      <c r="FKH199" s="234"/>
      <c r="FKI199" s="234"/>
      <c r="FKJ199" s="234"/>
      <c r="FKK199" s="234"/>
      <c r="FKL199" s="234"/>
      <c r="FKM199" s="234"/>
      <c r="FKN199" s="234"/>
      <c r="FKO199" s="234"/>
      <c r="FKP199" s="234"/>
      <c r="FKQ199" s="234"/>
      <c r="FKR199" s="234"/>
      <c r="FKS199" s="234"/>
      <c r="FKT199" s="234"/>
      <c r="FKU199" s="234"/>
      <c r="FKV199" s="234"/>
      <c r="FKW199" s="234"/>
      <c r="FKX199" s="234"/>
      <c r="FKY199" s="234"/>
      <c r="FKZ199" s="234"/>
      <c r="FLA199" s="234"/>
      <c r="FLB199" s="234"/>
      <c r="FLC199" s="234"/>
      <c r="FLD199" s="234"/>
      <c r="FLE199" s="234"/>
      <c r="FLF199" s="234"/>
      <c r="FLG199" s="234"/>
      <c r="FLH199" s="234"/>
      <c r="FLI199" s="234"/>
      <c r="FLJ199" s="234"/>
      <c r="FLK199" s="234"/>
      <c r="FLL199" s="234"/>
      <c r="FLM199" s="234"/>
      <c r="FLN199" s="234"/>
      <c r="FLO199" s="234"/>
      <c r="FLP199" s="234"/>
      <c r="FLQ199" s="234"/>
      <c r="FLR199" s="234"/>
      <c r="FLS199" s="234"/>
      <c r="FLT199" s="234"/>
      <c r="FLU199" s="234"/>
      <c r="FLV199" s="234"/>
      <c r="FLW199" s="234"/>
      <c r="FLX199" s="234"/>
      <c r="FLY199" s="234"/>
      <c r="FLZ199" s="234"/>
      <c r="FMA199" s="234"/>
      <c r="FMB199" s="234"/>
      <c r="FMC199" s="234"/>
      <c r="FMD199" s="234"/>
      <c r="FME199" s="234"/>
      <c r="FMF199" s="234"/>
      <c r="FMG199" s="234"/>
      <c r="FMH199" s="234"/>
      <c r="FMI199" s="234"/>
      <c r="FMJ199" s="234"/>
      <c r="FMK199" s="234"/>
      <c r="FML199" s="234"/>
      <c r="FMM199" s="234"/>
      <c r="FMN199" s="234"/>
      <c r="FMO199" s="234"/>
      <c r="FMP199" s="234"/>
      <c r="FMQ199" s="234"/>
      <c r="FMR199" s="234"/>
      <c r="FMS199" s="234"/>
      <c r="FMT199" s="234"/>
      <c r="FMU199" s="234"/>
      <c r="FMV199" s="234"/>
      <c r="FMW199" s="234"/>
      <c r="FMX199" s="234"/>
      <c r="FMY199" s="234"/>
      <c r="FMZ199" s="234"/>
      <c r="FNA199" s="234"/>
      <c r="FNB199" s="234"/>
      <c r="FNC199" s="234"/>
      <c r="FND199" s="234"/>
      <c r="FNE199" s="234"/>
      <c r="FNF199" s="234"/>
      <c r="FNG199" s="234"/>
      <c r="FNH199" s="234"/>
      <c r="FNI199" s="234"/>
      <c r="FNJ199" s="234"/>
      <c r="FNK199" s="234"/>
      <c r="FNL199" s="234"/>
      <c r="FNM199" s="234"/>
      <c r="FNN199" s="234"/>
      <c r="FNO199" s="234"/>
      <c r="FNP199" s="234"/>
      <c r="FNQ199" s="234"/>
      <c r="FNR199" s="234"/>
      <c r="FNS199" s="234"/>
      <c r="FNT199" s="234"/>
      <c r="FNU199" s="234"/>
      <c r="FNV199" s="234"/>
      <c r="FNW199" s="234"/>
      <c r="FNX199" s="234"/>
      <c r="FNY199" s="234"/>
      <c r="FNZ199" s="234"/>
      <c r="FOA199" s="234"/>
      <c r="FOB199" s="234"/>
      <c r="FOC199" s="234"/>
      <c r="FOD199" s="234"/>
      <c r="FOE199" s="234"/>
      <c r="FOF199" s="234"/>
      <c r="FOG199" s="234"/>
      <c r="FOH199" s="234"/>
      <c r="FOI199" s="234"/>
      <c r="FOJ199" s="234"/>
      <c r="FOK199" s="234"/>
      <c r="FOL199" s="234"/>
      <c r="FOM199" s="234"/>
      <c r="FON199" s="234"/>
      <c r="FOO199" s="234"/>
      <c r="FOP199" s="234"/>
      <c r="FOQ199" s="234"/>
      <c r="FOR199" s="234"/>
      <c r="FOS199" s="234"/>
      <c r="FOT199" s="234"/>
      <c r="FOU199" s="234"/>
      <c r="FOV199" s="234"/>
      <c r="FOW199" s="234"/>
      <c r="FOX199" s="234"/>
      <c r="FOY199" s="234"/>
      <c r="FOZ199" s="234"/>
      <c r="FPA199" s="234"/>
      <c r="FPB199" s="234"/>
      <c r="FPC199" s="234"/>
      <c r="FPD199" s="234"/>
      <c r="FPE199" s="234"/>
      <c r="FPF199" s="234"/>
      <c r="FPG199" s="234"/>
      <c r="FPH199" s="234"/>
      <c r="FPI199" s="234"/>
      <c r="FPJ199" s="234"/>
      <c r="FPK199" s="234"/>
      <c r="FPL199" s="234"/>
      <c r="FPM199" s="234"/>
      <c r="FPN199" s="234"/>
      <c r="FPO199" s="234"/>
      <c r="FPP199" s="234"/>
      <c r="FPQ199" s="234"/>
      <c r="FPR199" s="234"/>
      <c r="FPS199" s="234"/>
      <c r="FPT199" s="234"/>
      <c r="FPU199" s="234"/>
      <c r="FPV199" s="234"/>
      <c r="FPW199" s="234"/>
      <c r="FPX199" s="234"/>
      <c r="FPY199" s="234"/>
      <c r="FPZ199" s="234"/>
      <c r="FQA199" s="234"/>
      <c r="FQB199" s="234"/>
      <c r="FQC199" s="234"/>
      <c r="FQD199" s="234"/>
      <c r="FQE199" s="234"/>
      <c r="FQF199" s="234"/>
      <c r="FQG199" s="234"/>
      <c r="FQH199" s="234"/>
      <c r="FQI199" s="234"/>
      <c r="FQJ199" s="234"/>
      <c r="FQK199" s="234"/>
      <c r="FQL199" s="234"/>
      <c r="FQM199" s="234"/>
      <c r="FQN199" s="234"/>
      <c r="FQO199" s="234"/>
      <c r="FQP199" s="234"/>
      <c r="FQQ199" s="234"/>
      <c r="FQR199" s="234"/>
      <c r="FQS199" s="234"/>
      <c r="FQT199" s="234"/>
      <c r="FQU199" s="234"/>
      <c r="FQV199" s="234"/>
      <c r="FQW199" s="234"/>
      <c r="FQX199" s="234"/>
      <c r="FQY199" s="234"/>
      <c r="FQZ199" s="234"/>
      <c r="FRA199" s="234"/>
      <c r="FRB199" s="234"/>
      <c r="FRC199" s="234"/>
      <c r="FRD199" s="234"/>
      <c r="FRE199" s="234"/>
      <c r="FRF199" s="234"/>
      <c r="FRG199" s="234"/>
      <c r="FRH199" s="234"/>
      <c r="FRI199" s="234"/>
      <c r="FRJ199" s="234"/>
      <c r="FRK199" s="234"/>
      <c r="FRL199" s="234"/>
      <c r="FRM199" s="234"/>
      <c r="FRN199" s="234"/>
      <c r="FRO199" s="234"/>
      <c r="FRP199" s="234"/>
      <c r="FRQ199" s="234"/>
      <c r="FRR199" s="234"/>
      <c r="FRS199" s="234"/>
      <c r="FRT199" s="234"/>
      <c r="FRU199" s="234"/>
      <c r="FRV199" s="234"/>
      <c r="FRW199" s="234"/>
      <c r="FRX199" s="234"/>
      <c r="FRY199" s="234"/>
      <c r="FRZ199" s="234"/>
      <c r="FSA199" s="234"/>
      <c r="FSB199" s="234"/>
      <c r="FSC199" s="234"/>
      <c r="FSD199" s="234"/>
      <c r="FSE199" s="234"/>
      <c r="FSF199" s="234"/>
      <c r="FSG199" s="234"/>
      <c r="FSH199" s="234"/>
      <c r="FSI199" s="234"/>
      <c r="FSJ199" s="234"/>
      <c r="FSK199" s="234"/>
      <c r="FSL199" s="234"/>
      <c r="FSM199" s="234"/>
      <c r="FSN199" s="234"/>
      <c r="FSO199" s="234"/>
      <c r="FSP199" s="234"/>
      <c r="FSQ199" s="234"/>
      <c r="FSR199" s="234"/>
      <c r="FSS199" s="234"/>
      <c r="FST199" s="234"/>
      <c r="FSU199" s="234"/>
      <c r="FSV199" s="234"/>
      <c r="FSW199" s="234"/>
      <c r="FSX199" s="234"/>
      <c r="FSY199" s="234"/>
      <c r="FSZ199" s="234"/>
      <c r="FTA199" s="234"/>
      <c r="FTB199" s="234"/>
      <c r="FTC199" s="234"/>
      <c r="FTD199" s="234"/>
      <c r="FTE199" s="234"/>
      <c r="FTF199" s="234"/>
      <c r="FTG199" s="234"/>
      <c r="FTH199" s="234"/>
      <c r="FTI199" s="234"/>
      <c r="FTJ199" s="234"/>
      <c r="FTK199" s="234"/>
      <c r="FTL199" s="234"/>
      <c r="FTM199" s="234"/>
      <c r="FTN199" s="234"/>
      <c r="FTO199" s="234"/>
      <c r="FTP199" s="234"/>
      <c r="FTQ199" s="234"/>
      <c r="FTR199" s="234"/>
      <c r="FTS199" s="234"/>
      <c r="FTT199" s="234"/>
      <c r="FTU199" s="234"/>
      <c r="FTV199" s="234"/>
      <c r="FTW199" s="234"/>
      <c r="FTX199" s="234"/>
      <c r="FTY199" s="234"/>
      <c r="FTZ199" s="234"/>
      <c r="FUA199" s="234"/>
      <c r="FUB199" s="234"/>
      <c r="FUC199" s="234"/>
      <c r="FUD199" s="234"/>
      <c r="FUE199" s="234"/>
      <c r="FUF199" s="234"/>
      <c r="FUG199" s="234"/>
      <c r="FUH199" s="234"/>
      <c r="FUI199" s="234"/>
      <c r="FUJ199" s="234"/>
      <c r="FUK199" s="234"/>
      <c r="FUL199" s="234"/>
      <c r="FUM199" s="234"/>
      <c r="FUN199" s="234"/>
      <c r="FUO199" s="234"/>
      <c r="FUP199" s="234"/>
      <c r="FUQ199" s="234"/>
      <c r="FUR199" s="234"/>
      <c r="FUS199" s="234"/>
      <c r="FUT199" s="234"/>
      <c r="FUU199" s="234"/>
      <c r="FUV199" s="234"/>
      <c r="FUW199" s="234"/>
      <c r="FUX199" s="234"/>
      <c r="FUY199" s="234"/>
      <c r="FUZ199" s="234"/>
      <c r="FVA199" s="234"/>
      <c r="FVB199" s="234"/>
      <c r="FVC199" s="234"/>
      <c r="FVD199" s="234"/>
      <c r="FVE199" s="234"/>
      <c r="FVF199" s="234"/>
      <c r="FVG199" s="234"/>
      <c r="FVH199" s="234"/>
      <c r="FVI199" s="234"/>
      <c r="FVJ199" s="234"/>
      <c r="FVK199" s="234"/>
      <c r="FVL199" s="234"/>
      <c r="FVM199" s="234"/>
      <c r="FVN199" s="234"/>
      <c r="FVO199" s="234"/>
      <c r="FVP199" s="234"/>
      <c r="FVQ199" s="234"/>
      <c r="FVR199" s="234"/>
      <c r="FVS199" s="234"/>
      <c r="FVT199" s="234"/>
      <c r="FVU199" s="234"/>
      <c r="FVV199" s="234"/>
      <c r="FVW199" s="234"/>
      <c r="FVX199" s="234"/>
      <c r="FVY199" s="234"/>
      <c r="FVZ199" s="234"/>
      <c r="FWA199" s="234"/>
      <c r="FWB199" s="234"/>
      <c r="FWC199" s="234"/>
      <c r="FWD199" s="234"/>
      <c r="FWE199" s="234"/>
      <c r="FWF199" s="234"/>
      <c r="FWG199" s="234"/>
      <c r="FWH199" s="234"/>
      <c r="FWI199" s="234"/>
      <c r="FWJ199" s="234"/>
      <c r="FWK199" s="234"/>
      <c r="FWL199" s="234"/>
      <c r="FWM199" s="234"/>
      <c r="FWN199" s="234"/>
      <c r="FWO199" s="234"/>
      <c r="FWP199" s="234"/>
      <c r="FWQ199" s="234"/>
      <c r="FWR199" s="234"/>
      <c r="FWS199" s="234"/>
      <c r="FWT199" s="234"/>
      <c r="FWU199" s="234"/>
      <c r="FWV199" s="234"/>
      <c r="FWW199" s="234"/>
      <c r="FWX199" s="234"/>
      <c r="FWY199" s="234"/>
      <c r="FWZ199" s="234"/>
      <c r="FXA199" s="234"/>
      <c r="FXB199" s="234"/>
      <c r="FXC199" s="234"/>
      <c r="FXD199" s="234"/>
      <c r="FXE199" s="234"/>
      <c r="FXF199" s="234"/>
      <c r="FXG199" s="234"/>
      <c r="FXH199" s="234"/>
      <c r="FXI199" s="234"/>
      <c r="FXJ199" s="234"/>
      <c r="FXK199" s="234"/>
      <c r="FXL199" s="234"/>
      <c r="FXM199" s="234"/>
      <c r="FXN199" s="234"/>
      <c r="FXO199" s="234"/>
      <c r="FXP199" s="234"/>
      <c r="FXQ199" s="234"/>
      <c r="FXR199" s="234"/>
      <c r="FXS199" s="234"/>
      <c r="FXT199" s="234"/>
      <c r="FXU199" s="234"/>
      <c r="FXV199" s="234"/>
      <c r="FXW199" s="234"/>
      <c r="FXX199" s="234"/>
      <c r="FXY199" s="234"/>
      <c r="FXZ199" s="234"/>
      <c r="FYA199" s="234"/>
      <c r="FYB199" s="234"/>
      <c r="FYC199" s="234"/>
      <c r="FYD199" s="234"/>
      <c r="FYE199" s="234"/>
      <c r="FYF199" s="234"/>
      <c r="FYG199" s="234"/>
      <c r="FYH199" s="234"/>
      <c r="FYI199" s="234"/>
      <c r="FYJ199" s="234"/>
      <c r="FYK199" s="234"/>
      <c r="FYL199" s="234"/>
      <c r="FYM199" s="234"/>
      <c r="FYN199" s="234"/>
      <c r="FYO199" s="234"/>
      <c r="FYP199" s="234"/>
      <c r="FYQ199" s="234"/>
      <c r="FYR199" s="234"/>
      <c r="FYS199" s="234"/>
      <c r="FYT199" s="234"/>
      <c r="FYU199" s="234"/>
      <c r="FYV199" s="234"/>
      <c r="FYW199" s="234"/>
      <c r="FYX199" s="234"/>
      <c r="FYY199" s="234"/>
      <c r="FYZ199" s="234"/>
      <c r="FZA199" s="234"/>
      <c r="FZB199" s="234"/>
      <c r="FZC199" s="234"/>
      <c r="FZD199" s="234"/>
      <c r="FZE199" s="234"/>
      <c r="FZF199" s="234"/>
      <c r="FZG199" s="234"/>
      <c r="FZH199" s="234"/>
      <c r="FZI199" s="234"/>
      <c r="FZJ199" s="234"/>
      <c r="FZK199" s="234"/>
      <c r="FZL199" s="234"/>
      <c r="FZM199" s="234"/>
      <c r="FZN199" s="234"/>
      <c r="FZO199" s="234"/>
      <c r="FZP199" s="234"/>
      <c r="FZQ199" s="234"/>
      <c r="FZR199" s="234"/>
      <c r="FZS199" s="234"/>
      <c r="FZT199" s="234"/>
      <c r="FZU199" s="234"/>
      <c r="FZV199" s="234"/>
      <c r="FZW199" s="234"/>
      <c r="FZX199" s="234"/>
      <c r="FZY199" s="234"/>
      <c r="FZZ199" s="234"/>
      <c r="GAA199" s="234"/>
      <c r="GAB199" s="234"/>
      <c r="GAC199" s="234"/>
      <c r="GAD199" s="234"/>
      <c r="GAE199" s="234"/>
      <c r="GAF199" s="234"/>
      <c r="GAG199" s="234"/>
      <c r="GAH199" s="234"/>
      <c r="GAI199" s="234"/>
      <c r="GAJ199" s="234"/>
      <c r="GAK199" s="234"/>
      <c r="GAL199" s="234"/>
      <c r="GAM199" s="234"/>
      <c r="GAN199" s="234"/>
      <c r="GAO199" s="234"/>
      <c r="GAP199" s="234"/>
      <c r="GAQ199" s="234"/>
      <c r="GAR199" s="234"/>
      <c r="GAS199" s="234"/>
      <c r="GAT199" s="234"/>
      <c r="GAU199" s="234"/>
      <c r="GAV199" s="234"/>
      <c r="GAW199" s="234"/>
      <c r="GAX199" s="234"/>
      <c r="GAY199" s="234"/>
      <c r="GAZ199" s="234"/>
      <c r="GBA199" s="234"/>
      <c r="GBB199" s="234"/>
      <c r="GBC199" s="234"/>
      <c r="GBD199" s="234"/>
      <c r="GBE199" s="234"/>
      <c r="GBF199" s="234"/>
      <c r="GBG199" s="234"/>
      <c r="GBH199" s="234"/>
      <c r="GBI199" s="234"/>
      <c r="GBJ199" s="234"/>
      <c r="GBK199" s="234"/>
      <c r="GBL199" s="234"/>
      <c r="GBM199" s="234"/>
      <c r="GBN199" s="234"/>
      <c r="GBO199" s="234"/>
      <c r="GBP199" s="234"/>
      <c r="GBQ199" s="234"/>
      <c r="GBR199" s="234"/>
      <c r="GBS199" s="234"/>
      <c r="GBT199" s="234"/>
      <c r="GBU199" s="234"/>
      <c r="GBV199" s="234"/>
      <c r="GBW199" s="234"/>
      <c r="GBX199" s="234"/>
      <c r="GBY199" s="234"/>
      <c r="GBZ199" s="234"/>
      <c r="GCA199" s="234"/>
      <c r="GCB199" s="234"/>
      <c r="GCC199" s="234"/>
      <c r="GCD199" s="234"/>
      <c r="GCE199" s="234"/>
      <c r="GCF199" s="234"/>
      <c r="GCG199" s="234"/>
      <c r="GCH199" s="234"/>
      <c r="GCI199" s="234"/>
      <c r="GCJ199" s="234"/>
      <c r="GCK199" s="234"/>
      <c r="GCL199" s="234"/>
      <c r="GCM199" s="234"/>
      <c r="GCN199" s="234"/>
      <c r="GCO199" s="234"/>
      <c r="GCP199" s="234"/>
      <c r="GCQ199" s="234"/>
      <c r="GCR199" s="234"/>
      <c r="GCS199" s="234"/>
      <c r="GCT199" s="234"/>
      <c r="GCU199" s="234"/>
      <c r="GCV199" s="234"/>
      <c r="GCW199" s="234"/>
      <c r="GCX199" s="234"/>
      <c r="GCY199" s="234"/>
      <c r="GCZ199" s="234"/>
      <c r="GDA199" s="234"/>
      <c r="GDB199" s="234"/>
      <c r="GDC199" s="234"/>
      <c r="GDD199" s="234"/>
      <c r="GDE199" s="234"/>
      <c r="GDF199" s="234"/>
      <c r="GDG199" s="234"/>
      <c r="GDH199" s="234"/>
      <c r="GDI199" s="234"/>
      <c r="GDJ199" s="234"/>
      <c r="GDK199" s="234"/>
      <c r="GDL199" s="234"/>
      <c r="GDM199" s="234"/>
      <c r="GDN199" s="234"/>
      <c r="GDO199" s="234"/>
      <c r="GDP199" s="234"/>
      <c r="GDQ199" s="234"/>
      <c r="GDR199" s="234"/>
      <c r="GDS199" s="234"/>
      <c r="GDT199" s="234"/>
      <c r="GDU199" s="234"/>
      <c r="GDV199" s="234"/>
      <c r="GDW199" s="234"/>
      <c r="GDX199" s="234"/>
      <c r="GDY199" s="234"/>
      <c r="GDZ199" s="234"/>
      <c r="GEA199" s="234"/>
      <c r="GEB199" s="234"/>
      <c r="GEC199" s="234"/>
      <c r="GED199" s="234"/>
      <c r="GEE199" s="234"/>
      <c r="GEF199" s="234"/>
      <c r="GEG199" s="234"/>
      <c r="GEH199" s="234"/>
      <c r="GEI199" s="234"/>
      <c r="GEJ199" s="234"/>
      <c r="GEK199" s="234"/>
      <c r="GEL199" s="234"/>
      <c r="GEM199" s="234"/>
      <c r="GEN199" s="234"/>
      <c r="GEO199" s="234"/>
      <c r="GEP199" s="234"/>
      <c r="GEQ199" s="234"/>
      <c r="GER199" s="234"/>
      <c r="GES199" s="234"/>
      <c r="GET199" s="234"/>
      <c r="GEU199" s="234"/>
      <c r="GEV199" s="234"/>
      <c r="GEW199" s="234"/>
      <c r="GEX199" s="234"/>
      <c r="GEY199" s="234"/>
      <c r="GEZ199" s="234"/>
      <c r="GFA199" s="234"/>
      <c r="GFB199" s="234"/>
      <c r="GFC199" s="234"/>
      <c r="GFD199" s="234"/>
      <c r="GFE199" s="234"/>
      <c r="GFF199" s="234"/>
      <c r="GFG199" s="234"/>
      <c r="GFH199" s="234"/>
      <c r="GFI199" s="234"/>
      <c r="GFJ199" s="234"/>
      <c r="GFK199" s="234"/>
      <c r="GFL199" s="234"/>
      <c r="GFM199" s="234"/>
      <c r="GFN199" s="234"/>
      <c r="GFO199" s="234"/>
      <c r="GFP199" s="234"/>
      <c r="GFQ199" s="234"/>
      <c r="GFR199" s="234"/>
      <c r="GFS199" s="234"/>
      <c r="GFT199" s="234"/>
      <c r="GFU199" s="234"/>
      <c r="GFV199" s="234"/>
      <c r="GFW199" s="234"/>
      <c r="GFX199" s="234"/>
      <c r="GFY199" s="234"/>
      <c r="GFZ199" s="234"/>
      <c r="GGA199" s="234"/>
      <c r="GGB199" s="234"/>
      <c r="GGC199" s="234"/>
      <c r="GGD199" s="234"/>
      <c r="GGE199" s="234"/>
      <c r="GGF199" s="234"/>
      <c r="GGG199" s="234"/>
      <c r="GGH199" s="234"/>
      <c r="GGI199" s="234"/>
      <c r="GGJ199" s="234"/>
      <c r="GGK199" s="234"/>
      <c r="GGL199" s="234"/>
      <c r="GGM199" s="234"/>
      <c r="GGN199" s="234"/>
      <c r="GGO199" s="234"/>
      <c r="GGP199" s="234"/>
      <c r="GGQ199" s="234"/>
      <c r="GGR199" s="234"/>
      <c r="GGS199" s="234"/>
      <c r="GGT199" s="234"/>
      <c r="GGU199" s="234"/>
      <c r="GGV199" s="234"/>
      <c r="GGW199" s="234"/>
      <c r="GGX199" s="234"/>
      <c r="GGY199" s="234"/>
      <c r="GGZ199" s="234"/>
      <c r="GHA199" s="234"/>
      <c r="GHB199" s="234"/>
      <c r="GHC199" s="234"/>
      <c r="GHD199" s="234"/>
      <c r="GHE199" s="234"/>
      <c r="GHF199" s="234"/>
      <c r="GHG199" s="234"/>
      <c r="GHH199" s="234"/>
      <c r="GHI199" s="234"/>
      <c r="GHJ199" s="234"/>
      <c r="GHK199" s="234"/>
      <c r="GHL199" s="234"/>
      <c r="GHM199" s="234"/>
      <c r="GHN199" s="234"/>
      <c r="GHO199" s="234"/>
      <c r="GHP199" s="234"/>
      <c r="GHQ199" s="234"/>
      <c r="GHR199" s="234"/>
      <c r="GHS199" s="234"/>
      <c r="GHT199" s="234"/>
      <c r="GHU199" s="234"/>
      <c r="GHV199" s="234"/>
      <c r="GHW199" s="234"/>
      <c r="GHX199" s="234"/>
      <c r="GHY199" s="234"/>
      <c r="GHZ199" s="234"/>
      <c r="GIA199" s="234"/>
      <c r="GIB199" s="234"/>
      <c r="GIC199" s="234"/>
      <c r="GID199" s="234"/>
      <c r="GIE199" s="234"/>
      <c r="GIF199" s="234"/>
      <c r="GIG199" s="234"/>
      <c r="GIH199" s="234"/>
      <c r="GII199" s="234"/>
      <c r="GIJ199" s="234"/>
      <c r="GIK199" s="234"/>
      <c r="GIL199" s="234"/>
      <c r="GIM199" s="234"/>
      <c r="GIN199" s="234"/>
      <c r="GIO199" s="234"/>
      <c r="GIP199" s="234"/>
      <c r="GIQ199" s="234"/>
      <c r="GIR199" s="234"/>
      <c r="GIS199" s="234"/>
      <c r="GIT199" s="234"/>
      <c r="GIU199" s="234"/>
      <c r="GIV199" s="234"/>
      <c r="GIW199" s="234"/>
      <c r="GIX199" s="234"/>
      <c r="GIY199" s="234"/>
      <c r="GIZ199" s="234"/>
      <c r="GJA199" s="234"/>
      <c r="GJB199" s="234"/>
      <c r="GJC199" s="234"/>
      <c r="GJD199" s="234"/>
      <c r="GJE199" s="234"/>
      <c r="GJF199" s="234"/>
      <c r="GJG199" s="234"/>
      <c r="GJH199" s="234"/>
      <c r="GJI199" s="234"/>
      <c r="GJJ199" s="234"/>
      <c r="GJK199" s="234"/>
      <c r="GJL199" s="234"/>
      <c r="GJM199" s="234"/>
      <c r="GJN199" s="234"/>
      <c r="GJO199" s="234"/>
      <c r="GJP199" s="234"/>
      <c r="GJQ199" s="234"/>
      <c r="GJR199" s="234"/>
      <c r="GJS199" s="234"/>
      <c r="GJT199" s="234"/>
      <c r="GJU199" s="234"/>
      <c r="GJV199" s="234"/>
      <c r="GJW199" s="234"/>
      <c r="GJX199" s="234"/>
      <c r="GJY199" s="234"/>
      <c r="GJZ199" s="234"/>
      <c r="GKA199" s="234"/>
      <c r="GKB199" s="234"/>
      <c r="GKC199" s="234"/>
      <c r="GKD199" s="234"/>
      <c r="GKE199" s="234"/>
      <c r="GKF199" s="234"/>
      <c r="GKG199" s="234"/>
      <c r="GKH199" s="234"/>
      <c r="GKI199" s="234"/>
      <c r="GKJ199" s="234"/>
      <c r="GKK199" s="234"/>
      <c r="GKL199" s="234"/>
      <c r="GKM199" s="234"/>
      <c r="GKN199" s="234"/>
      <c r="GKO199" s="234"/>
      <c r="GKP199" s="234"/>
      <c r="GKQ199" s="234"/>
      <c r="GKR199" s="234"/>
      <c r="GKS199" s="234"/>
      <c r="GKT199" s="234"/>
      <c r="GKU199" s="234"/>
      <c r="GKV199" s="234"/>
      <c r="GKW199" s="234"/>
      <c r="GKX199" s="234"/>
      <c r="GKY199" s="234"/>
      <c r="GKZ199" s="234"/>
      <c r="GLA199" s="234"/>
      <c r="GLB199" s="234"/>
      <c r="GLC199" s="234"/>
      <c r="GLD199" s="234"/>
      <c r="GLE199" s="234"/>
      <c r="GLF199" s="234"/>
      <c r="GLG199" s="234"/>
      <c r="GLH199" s="234"/>
      <c r="GLI199" s="234"/>
      <c r="GLJ199" s="234"/>
      <c r="GLK199" s="234"/>
      <c r="GLL199" s="234"/>
      <c r="GLM199" s="234"/>
      <c r="GLN199" s="234"/>
      <c r="GLO199" s="234"/>
      <c r="GLP199" s="234"/>
      <c r="GLQ199" s="234"/>
      <c r="GLR199" s="234"/>
      <c r="GLS199" s="234"/>
      <c r="GLT199" s="234"/>
      <c r="GLU199" s="234"/>
      <c r="GLV199" s="234"/>
      <c r="GLW199" s="234"/>
      <c r="GLX199" s="234"/>
      <c r="GLY199" s="234"/>
      <c r="GLZ199" s="234"/>
      <c r="GMA199" s="234"/>
      <c r="GMB199" s="234"/>
      <c r="GMC199" s="234"/>
      <c r="GMD199" s="234"/>
      <c r="GME199" s="234"/>
      <c r="GMF199" s="234"/>
      <c r="GMG199" s="234"/>
      <c r="GMH199" s="234"/>
      <c r="GMI199" s="234"/>
      <c r="GMJ199" s="234"/>
      <c r="GMK199" s="234"/>
      <c r="GML199" s="234"/>
      <c r="GMM199" s="234"/>
      <c r="GMN199" s="234"/>
      <c r="GMO199" s="234"/>
      <c r="GMP199" s="234"/>
      <c r="GMQ199" s="234"/>
      <c r="GMR199" s="234"/>
      <c r="GMS199" s="234"/>
      <c r="GMT199" s="234"/>
      <c r="GMU199" s="234"/>
      <c r="GMV199" s="234"/>
      <c r="GMW199" s="234"/>
      <c r="GMX199" s="234"/>
      <c r="GMY199" s="234"/>
      <c r="GMZ199" s="234"/>
      <c r="GNA199" s="234"/>
      <c r="GNB199" s="234"/>
      <c r="GNC199" s="234"/>
      <c r="GND199" s="234"/>
      <c r="GNE199" s="234"/>
      <c r="GNF199" s="234"/>
      <c r="GNG199" s="234"/>
      <c r="GNH199" s="234"/>
      <c r="GNI199" s="234"/>
      <c r="GNJ199" s="234"/>
      <c r="GNK199" s="234"/>
      <c r="GNL199" s="234"/>
      <c r="GNM199" s="234"/>
      <c r="GNN199" s="234"/>
      <c r="GNO199" s="234"/>
      <c r="GNP199" s="234"/>
      <c r="GNQ199" s="234"/>
      <c r="GNR199" s="234"/>
      <c r="GNS199" s="234"/>
      <c r="GNT199" s="234"/>
      <c r="GNU199" s="234"/>
      <c r="GNV199" s="234"/>
      <c r="GNW199" s="234"/>
      <c r="GNX199" s="234"/>
      <c r="GNY199" s="234"/>
      <c r="GNZ199" s="234"/>
      <c r="GOA199" s="234"/>
      <c r="GOB199" s="234"/>
      <c r="GOC199" s="234"/>
      <c r="GOD199" s="234"/>
      <c r="GOE199" s="234"/>
      <c r="GOF199" s="234"/>
      <c r="GOG199" s="234"/>
      <c r="GOH199" s="234"/>
      <c r="GOI199" s="234"/>
      <c r="GOJ199" s="234"/>
      <c r="GOK199" s="234"/>
      <c r="GOL199" s="234"/>
      <c r="GOM199" s="234"/>
      <c r="GON199" s="234"/>
      <c r="GOO199" s="234"/>
      <c r="GOP199" s="234"/>
      <c r="GOQ199" s="234"/>
      <c r="GOR199" s="234"/>
      <c r="GOS199" s="234"/>
      <c r="GOT199" s="234"/>
      <c r="GOU199" s="234"/>
      <c r="GOV199" s="234"/>
      <c r="GOW199" s="234"/>
      <c r="GOX199" s="234"/>
      <c r="GOY199" s="234"/>
      <c r="GOZ199" s="234"/>
      <c r="GPA199" s="234"/>
      <c r="GPB199" s="234"/>
      <c r="GPC199" s="234"/>
      <c r="GPD199" s="234"/>
      <c r="GPE199" s="234"/>
      <c r="GPF199" s="234"/>
      <c r="GPG199" s="234"/>
      <c r="GPH199" s="234"/>
      <c r="GPI199" s="234"/>
      <c r="GPJ199" s="234"/>
      <c r="GPK199" s="234"/>
      <c r="GPL199" s="234"/>
      <c r="GPM199" s="234"/>
      <c r="GPN199" s="234"/>
      <c r="GPO199" s="234"/>
      <c r="GPP199" s="234"/>
      <c r="GPQ199" s="234"/>
      <c r="GPR199" s="234"/>
      <c r="GPS199" s="234"/>
      <c r="GPT199" s="234"/>
      <c r="GPU199" s="234"/>
      <c r="GPV199" s="234"/>
      <c r="GPW199" s="234"/>
      <c r="GPX199" s="234"/>
      <c r="GPY199" s="234"/>
      <c r="GPZ199" s="234"/>
      <c r="GQA199" s="234"/>
      <c r="GQB199" s="234"/>
      <c r="GQC199" s="234"/>
      <c r="GQD199" s="234"/>
      <c r="GQE199" s="234"/>
      <c r="GQF199" s="234"/>
      <c r="GQG199" s="234"/>
      <c r="GQH199" s="234"/>
      <c r="GQI199" s="234"/>
      <c r="GQJ199" s="234"/>
      <c r="GQK199" s="234"/>
      <c r="GQL199" s="234"/>
      <c r="GQM199" s="234"/>
      <c r="GQN199" s="234"/>
      <c r="GQO199" s="234"/>
      <c r="GQP199" s="234"/>
      <c r="GQQ199" s="234"/>
      <c r="GQR199" s="234"/>
      <c r="GQS199" s="234"/>
      <c r="GQT199" s="234"/>
      <c r="GQU199" s="234"/>
      <c r="GQV199" s="234"/>
      <c r="GQW199" s="234"/>
      <c r="GQX199" s="234"/>
      <c r="GQY199" s="234"/>
      <c r="GQZ199" s="234"/>
      <c r="GRA199" s="234"/>
      <c r="GRB199" s="234"/>
      <c r="GRC199" s="234"/>
      <c r="GRD199" s="234"/>
      <c r="GRE199" s="234"/>
      <c r="GRF199" s="234"/>
      <c r="GRG199" s="234"/>
      <c r="GRH199" s="234"/>
      <c r="GRI199" s="234"/>
      <c r="GRJ199" s="234"/>
      <c r="GRK199" s="234"/>
      <c r="GRL199" s="234"/>
      <c r="GRM199" s="234"/>
      <c r="GRN199" s="234"/>
      <c r="GRO199" s="234"/>
      <c r="GRP199" s="234"/>
      <c r="GRQ199" s="234"/>
      <c r="GRR199" s="234"/>
      <c r="GRS199" s="234"/>
      <c r="GRT199" s="234"/>
      <c r="GRU199" s="234"/>
      <c r="GRV199" s="234"/>
      <c r="GRW199" s="234"/>
      <c r="GRX199" s="234"/>
      <c r="GRY199" s="234"/>
      <c r="GRZ199" s="234"/>
      <c r="GSA199" s="234"/>
      <c r="GSB199" s="234"/>
      <c r="GSC199" s="234"/>
      <c r="GSD199" s="234"/>
      <c r="GSE199" s="234"/>
      <c r="GSF199" s="234"/>
      <c r="GSG199" s="234"/>
      <c r="GSH199" s="234"/>
      <c r="GSI199" s="234"/>
      <c r="GSJ199" s="234"/>
      <c r="GSK199" s="234"/>
      <c r="GSL199" s="234"/>
      <c r="GSM199" s="234"/>
      <c r="GSN199" s="234"/>
      <c r="GSO199" s="234"/>
      <c r="GSP199" s="234"/>
      <c r="GSQ199" s="234"/>
      <c r="GSR199" s="234"/>
      <c r="GSS199" s="234"/>
      <c r="GST199" s="234"/>
      <c r="GSU199" s="234"/>
      <c r="GSV199" s="234"/>
      <c r="GSW199" s="234"/>
      <c r="GSX199" s="234"/>
      <c r="GSY199" s="234"/>
      <c r="GSZ199" s="234"/>
      <c r="GTA199" s="234"/>
      <c r="GTB199" s="234"/>
      <c r="GTC199" s="234"/>
      <c r="GTD199" s="234"/>
      <c r="GTE199" s="234"/>
      <c r="GTF199" s="234"/>
      <c r="GTG199" s="234"/>
      <c r="GTH199" s="234"/>
      <c r="GTI199" s="234"/>
      <c r="GTJ199" s="234"/>
      <c r="GTK199" s="234"/>
      <c r="GTL199" s="234"/>
      <c r="GTM199" s="234"/>
      <c r="GTN199" s="234"/>
      <c r="GTO199" s="234"/>
      <c r="GTP199" s="234"/>
      <c r="GTQ199" s="234"/>
      <c r="GTR199" s="234"/>
      <c r="GTS199" s="234"/>
      <c r="GTT199" s="234"/>
      <c r="GTU199" s="234"/>
      <c r="GTV199" s="234"/>
      <c r="GTW199" s="234"/>
      <c r="GTX199" s="234"/>
      <c r="GTY199" s="234"/>
      <c r="GTZ199" s="234"/>
      <c r="GUA199" s="234"/>
      <c r="GUB199" s="234"/>
      <c r="GUC199" s="234"/>
      <c r="GUD199" s="234"/>
      <c r="GUE199" s="234"/>
      <c r="GUF199" s="234"/>
      <c r="GUG199" s="234"/>
      <c r="GUH199" s="234"/>
      <c r="GUI199" s="234"/>
      <c r="GUJ199" s="234"/>
      <c r="GUK199" s="234"/>
      <c r="GUL199" s="234"/>
      <c r="GUM199" s="234"/>
      <c r="GUN199" s="234"/>
      <c r="GUO199" s="234"/>
      <c r="GUP199" s="234"/>
      <c r="GUQ199" s="234"/>
      <c r="GUR199" s="234"/>
      <c r="GUS199" s="234"/>
      <c r="GUT199" s="234"/>
      <c r="GUU199" s="234"/>
      <c r="GUV199" s="234"/>
      <c r="GUW199" s="234"/>
      <c r="GUX199" s="234"/>
      <c r="GUY199" s="234"/>
      <c r="GUZ199" s="234"/>
      <c r="GVA199" s="234"/>
      <c r="GVB199" s="234"/>
      <c r="GVC199" s="234"/>
      <c r="GVD199" s="234"/>
      <c r="GVE199" s="234"/>
      <c r="GVF199" s="234"/>
      <c r="GVG199" s="234"/>
      <c r="GVH199" s="234"/>
      <c r="GVI199" s="234"/>
      <c r="GVJ199" s="234"/>
      <c r="GVK199" s="234"/>
      <c r="GVL199" s="234"/>
      <c r="GVM199" s="234"/>
      <c r="GVN199" s="234"/>
      <c r="GVO199" s="234"/>
      <c r="GVP199" s="234"/>
      <c r="GVQ199" s="234"/>
      <c r="GVR199" s="234"/>
      <c r="GVS199" s="234"/>
      <c r="GVT199" s="234"/>
      <c r="GVU199" s="234"/>
      <c r="GVV199" s="234"/>
      <c r="GVW199" s="234"/>
      <c r="GVX199" s="234"/>
      <c r="GVY199" s="234"/>
      <c r="GVZ199" s="234"/>
      <c r="GWA199" s="234"/>
      <c r="GWB199" s="234"/>
      <c r="GWC199" s="234"/>
      <c r="GWD199" s="234"/>
      <c r="GWE199" s="234"/>
      <c r="GWF199" s="234"/>
      <c r="GWG199" s="234"/>
      <c r="GWH199" s="234"/>
      <c r="GWI199" s="234"/>
      <c r="GWJ199" s="234"/>
      <c r="GWK199" s="234"/>
      <c r="GWL199" s="234"/>
      <c r="GWM199" s="234"/>
      <c r="GWN199" s="234"/>
      <c r="GWO199" s="234"/>
      <c r="GWP199" s="234"/>
      <c r="GWQ199" s="234"/>
      <c r="GWR199" s="234"/>
      <c r="GWS199" s="234"/>
      <c r="GWT199" s="234"/>
      <c r="GWU199" s="234"/>
      <c r="GWV199" s="234"/>
      <c r="GWW199" s="234"/>
      <c r="GWX199" s="234"/>
      <c r="GWY199" s="234"/>
      <c r="GWZ199" s="234"/>
      <c r="GXA199" s="234"/>
      <c r="GXB199" s="234"/>
      <c r="GXC199" s="234"/>
      <c r="GXD199" s="234"/>
      <c r="GXE199" s="234"/>
      <c r="GXF199" s="234"/>
      <c r="GXG199" s="234"/>
      <c r="GXH199" s="234"/>
      <c r="GXI199" s="234"/>
      <c r="GXJ199" s="234"/>
      <c r="GXK199" s="234"/>
      <c r="GXL199" s="234"/>
      <c r="GXM199" s="234"/>
      <c r="GXN199" s="234"/>
      <c r="GXO199" s="234"/>
      <c r="GXP199" s="234"/>
      <c r="GXQ199" s="234"/>
      <c r="GXR199" s="234"/>
      <c r="GXS199" s="234"/>
      <c r="GXT199" s="234"/>
      <c r="GXU199" s="234"/>
      <c r="GXV199" s="234"/>
      <c r="GXW199" s="234"/>
      <c r="GXX199" s="234"/>
      <c r="GXY199" s="234"/>
      <c r="GXZ199" s="234"/>
      <c r="GYA199" s="234"/>
      <c r="GYB199" s="234"/>
      <c r="GYC199" s="234"/>
      <c r="GYD199" s="234"/>
      <c r="GYE199" s="234"/>
      <c r="GYF199" s="234"/>
      <c r="GYG199" s="234"/>
      <c r="GYH199" s="234"/>
      <c r="GYI199" s="234"/>
      <c r="GYJ199" s="234"/>
      <c r="GYK199" s="234"/>
      <c r="GYL199" s="234"/>
      <c r="GYM199" s="234"/>
      <c r="GYN199" s="234"/>
      <c r="GYO199" s="234"/>
      <c r="GYP199" s="234"/>
      <c r="GYQ199" s="234"/>
      <c r="GYR199" s="234"/>
      <c r="GYS199" s="234"/>
      <c r="GYT199" s="234"/>
      <c r="GYU199" s="234"/>
      <c r="GYV199" s="234"/>
      <c r="GYW199" s="234"/>
      <c r="GYX199" s="234"/>
      <c r="GYY199" s="234"/>
      <c r="GYZ199" s="234"/>
      <c r="GZA199" s="234"/>
      <c r="GZB199" s="234"/>
      <c r="GZC199" s="234"/>
      <c r="GZD199" s="234"/>
      <c r="GZE199" s="234"/>
      <c r="GZF199" s="234"/>
      <c r="GZG199" s="234"/>
      <c r="GZH199" s="234"/>
      <c r="GZI199" s="234"/>
      <c r="GZJ199" s="234"/>
      <c r="GZK199" s="234"/>
      <c r="GZL199" s="234"/>
      <c r="GZM199" s="234"/>
      <c r="GZN199" s="234"/>
      <c r="GZO199" s="234"/>
      <c r="GZP199" s="234"/>
      <c r="GZQ199" s="234"/>
      <c r="GZR199" s="234"/>
      <c r="GZS199" s="234"/>
      <c r="GZT199" s="234"/>
      <c r="GZU199" s="234"/>
      <c r="GZV199" s="234"/>
      <c r="GZW199" s="234"/>
      <c r="GZX199" s="234"/>
      <c r="GZY199" s="234"/>
      <c r="GZZ199" s="234"/>
      <c r="HAA199" s="234"/>
      <c r="HAB199" s="234"/>
      <c r="HAC199" s="234"/>
      <c r="HAD199" s="234"/>
      <c r="HAE199" s="234"/>
      <c r="HAF199" s="234"/>
      <c r="HAG199" s="234"/>
      <c r="HAH199" s="234"/>
      <c r="HAI199" s="234"/>
      <c r="HAJ199" s="234"/>
      <c r="HAK199" s="234"/>
      <c r="HAL199" s="234"/>
      <c r="HAM199" s="234"/>
      <c r="HAN199" s="234"/>
      <c r="HAO199" s="234"/>
      <c r="HAP199" s="234"/>
      <c r="HAQ199" s="234"/>
      <c r="HAR199" s="234"/>
      <c r="HAS199" s="234"/>
      <c r="HAT199" s="234"/>
      <c r="HAU199" s="234"/>
      <c r="HAV199" s="234"/>
      <c r="HAW199" s="234"/>
      <c r="HAX199" s="234"/>
      <c r="HAY199" s="234"/>
      <c r="HAZ199" s="234"/>
      <c r="HBA199" s="234"/>
      <c r="HBB199" s="234"/>
      <c r="HBC199" s="234"/>
      <c r="HBD199" s="234"/>
      <c r="HBE199" s="234"/>
      <c r="HBF199" s="234"/>
      <c r="HBG199" s="234"/>
      <c r="HBH199" s="234"/>
      <c r="HBI199" s="234"/>
      <c r="HBJ199" s="234"/>
      <c r="HBK199" s="234"/>
      <c r="HBL199" s="234"/>
      <c r="HBM199" s="234"/>
      <c r="HBN199" s="234"/>
      <c r="HBO199" s="234"/>
      <c r="HBP199" s="234"/>
      <c r="HBQ199" s="234"/>
      <c r="HBR199" s="234"/>
      <c r="HBS199" s="234"/>
      <c r="HBT199" s="234"/>
      <c r="HBU199" s="234"/>
      <c r="HBV199" s="234"/>
      <c r="HBW199" s="234"/>
      <c r="HBX199" s="234"/>
      <c r="HBY199" s="234"/>
      <c r="HBZ199" s="234"/>
      <c r="HCA199" s="234"/>
      <c r="HCB199" s="234"/>
      <c r="HCC199" s="234"/>
      <c r="HCD199" s="234"/>
      <c r="HCE199" s="234"/>
      <c r="HCF199" s="234"/>
      <c r="HCG199" s="234"/>
      <c r="HCH199" s="234"/>
      <c r="HCI199" s="234"/>
      <c r="HCJ199" s="234"/>
      <c r="HCK199" s="234"/>
      <c r="HCL199" s="234"/>
      <c r="HCM199" s="234"/>
      <c r="HCN199" s="234"/>
      <c r="HCO199" s="234"/>
      <c r="HCP199" s="234"/>
      <c r="HCQ199" s="234"/>
      <c r="HCR199" s="234"/>
      <c r="HCS199" s="234"/>
      <c r="HCT199" s="234"/>
      <c r="HCU199" s="234"/>
      <c r="HCV199" s="234"/>
      <c r="HCW199" s="234"/>
      <c r="HCX199" s="234"/>
      <c r="HCY199" s="234"/>
      <c r="HCZ199" s="234"/>
      <c r="HDA199" s="234"/>
      <c r="HDB199" s="234"/>
      <c r="HDC199" s="234"/>
      <c r="HDD199" s="234"/>
      <c r="HDE199" s="234"/>
      <c r="HDF199" s="234"/>
      <c r="HDG199" s="234"/>
      <c r="HDH199" s="234"/>
      <c r="HDI199" s="234"/>
      <c r="HDJ199" s="234"/>
      <c r="HDK199" s="234"/>
      <c r="HDL199" s="234"/>
      <c r="HDM199" s="234"/>
      <c r="HDN199" s="234"/>
      <c r="HDO199" s="234"/>
      <c r="HDP199" s="234"/>
      <c r="HDQ199" s="234"/>
      <c r="HDR199" s="234"/>
      <c r="HDS199" s="234"/>
      <c r="HDT199" s="234"/>
      <c r="HDU199" s="234"/>
      <c r="HDV199" s="234"/>
      <c r="HDW199" s="234"/>
      <c r="HDX199" s="234"/>
      <c r="HDY199" s="234"/>
      <c r="HDZ199" s="234"/>
      <c r="HEA199" s="234"/>
      <c r="HEB199" s="234"/>
      <c r="HEC199" s="234"/>
      <c r="HED199" s="234"/>
      <c r="HEE199" s="234"/>
      <c r="HEF199" s="234"/>
      <c r="HEG199" s="234"/>
      <c r="HEH199" s="234"/>
      <c r="HEI199" s="234"/>
      <c r="HEJ199" s="234"/>
      <c r="HEK199" s="234"/>
      <c r="HEL199" s="234"/>
      <c r="HEM199" s="234"/>
      <c r="HEN199" s="234"/>
      <c r="HEO199" s="234"/>
      <c r="HEP199" s="234"/>
      <c r="HEQ199" s="234"/>
      <c r="HER199" s="234"/>
      <c r="HES199" s="234"/>
      <c r="HET199" s="234"/>
      <c r="HEU199" s="234"/>
      <c r="HEV199" s="234"/>
      <c r="HEW199" s="234"/>
      <c r="HEX199" s="234"/>
      <c r="HEY199" s="234"/>
      <c r="HEZ199" s="234"/>
      <c r="HFA199" s="234"/>
      <c r="HFB199" s="234"/>
      <c r="HFC199" s="234"/>
      <c r="HFD199" s="234"/>
      <c r="HFE199" s="234"/>
      <c r="HFF199" s="234"/>
      <c r="HFG199" s="234"/>
      <c r="HFH199" s="234"/>
      <c r="HFI199" s="234"/>
      <c r="HFJ199" s="234"/>
      <c r="HFK199" s="234"/>
      <c r="HFL199" s="234"/>
      <c r="HFM199" s="234"/>
      <c r="HFN199" s="234"/>
      <c r="HFO199" s="234"/>
      <c r="HFP199" s="234"/>
      <c r="HFQ199" s="234"/>
      <c r="HFR199" s="234"/>
      <c r="HFS199" s="234"/>
      <c r="HFT199" s="234"/>
      <c r="HFU199" s="234"/>
      <c r="HFV199" s="234"/>
      <c r="HFW199" s="234"/>
      <c r="HFX199" s="234"/>
      <c r="HFY199" s="234"/>
      <c r="HFZ199" s="234"/>
      <c r="HGA199" s="234"/>
      <c r="HGB199" s="234"/>
      <c r="HGC199" s="234"/>
      <c r="HGD199" s="234"/>
      <c r="HGE199" s="234"/>
      <c r="HGF199" s="234"/>
      <c r="HGG199" s="234"/>
      <c r="HGH199" s="234"/>
      <c r="HGI199" s="234"/>
      <c r="HGJ199" s="234"/>
      <c r="HGK199" s="234"/>
      <c r="HGL199" s="234"/>
      <c r="HGM199" s="234"/>
      <c r="HGN199" s="234"/>
      <c r="HGO199" s="234"/>
      <c r="HGP199" s="234"/>
      <c r="HGQ199" s="234"/>
      <c r="HGR199" s="234"/>
      <c r="HGS199" s="234"/>
      <c r="HGT199" s="234"/>
      <c r="HGU199" s="234"/>
      <c r="HGV199" s="234"/>
      <c r="HGW199" s="234"/>
      <c r="HGX199" s="234"/>
      <c r="HGY199" s="234"/>
      <c r="HGZ199" s="234"/>
      <c r="HHA199" s="234"/>
      <c r="HHB199" s="234"/>
      <c r="HHC199" s="234"/>
      <c r="HHD199" s="234"/>
      <c r="HHE199" s="234"/>
      <c r="HHF199" s="234"/>
      <c r="HHG199" s="234"/>
      <c r="HHH199" s="234"/>
      <c r="HHI199" s="234"/>
      <c r="HHJ199" s="234"/>
      <c r="HHK199" s="234"/>
      <c r="HHL199" s="234"/>
      <c r="HHM199" s="234"/>
      <c r="HHN199" s="234"/>
      <c r="HHO199" s="234"/>
      <c r="HHP199" s="234"/>
      <c r="HHQ199" s="234"/>
      <c r="HHR199" s="234"/>
      <c r="HHS199" s="234"/>
      <c r="HHT199" s="234"/>
      <c r="HHU199" s="234"/>
      <c r="HHV199" s="234"/>
      <c r="HHW199" s="234"/>
      <c r="HHX199" s="234"/>
      <c r="HHY199" s="234"/>
      <c r="HHZ199" s="234"/>
      <c r="HIA199" s="234"/>
      <c r="HIB199" s="234"/>
      <c r="HIC199" s="234"/>
      <c r="HID199" s="234"/>
      <c r="HIE199" s="234"/>
      <c r="HIF199" s="234"/>
      <c r="HIG199" s="234"/>
      <c r="HIH199" s="234"/>
      <c r="HII199" s="234"/>
      <c r="HIJ199" s="234"/>
      <c r="HIK199" s="234"/>
      <c r="HIL199" s="234"/>
      <c r="HIM199" s="234"/>
      <c r="HIN199" s="234"/>
      <c r="HIO199" s="234"/>
      <c r="HIP199" s="234"/>
      <c r="HIQ199" s="234"/>
      <c r="HIR199" s="234"/>
      <c r="HIS199" s="234"/>
      <c r="HIT199" s="234"/>
      <c r="HIU199" s="234"/>
      <c r="HIV199" s="234"/>
      <c r="HIW199" s="234"/>
      <c r="HIX199" s="234"/>
      <c r="HIY199" s="234"/>
      <c r="HIZ199" s="234"/>
      <c r="HJA199" s="234"/>
      <c r="HJB199" s="234"/>
      <c r="HJC199" s="234"/>
      <c r="HJD199" s="234"/>
      <c r="HJE199" s="234"/>
      <c r="HJF199" s="234"/>
      <c r="HJG199" s="234"/>
      <c r="HJH199" s="234"/>
      <c r="HJI199" s="234"/>
      <c r="HJJ199" s="234"/>
      <c r="HJK199" s="234"/>
      <c r="HJL199" s="234"/>
      <c r="HJM199" s="234"/>
      <c r="HJN199" s="234"/>
      <c r="HJO199" s="234"/>
      <c r="HJP199" s="234"/>
      <c r="HJQ199" s="234"/>
      <c r="HJR199" s="234"/>
      <c r="HJS199" s="234"/>
      <c r="HJT199" s="234"/>
      <c r="HJU199" s="234"/>
      <c r="HJV199" s="234"/>
      <c r="HJW199" s="234"/>
      <c r="HJX199" s="234"/>
      <c r="HJY199" s="234"/>
      <c r="HJZ199" s="234"/>
      <c r="HKA199" s="234"/>
      <c r="HKB199" s="234"/>
      <c r="HKC199" s="234"/>
      <c r="HKD199" s="234"/>
      <c r="HKE199" s="234"/>
      <c r="HKF199" s="234"/>
      <c r="HKG199" s="234"/>
      <c r="HKH199" s="234"/>
      <c r="HKI199" s="234"/>
      <c r="HKJ199" s="234"/>
      <c r="HKK199" s="234"/>
      <c r="HKL199" s="234"/>
      <c r="HKM199" s="234"/>
      <c r="HKN199" s="234"/>
      <c r="HKO199" s="234"/>
      <c r="HKP199" s="234"/>
      <c r="HKQ199" s="234"/>
      <c r="HKR199" s="234"/>
      <c r="HKS199" s="234"/>
      <c r="HKT199" s="234"/>
      <c r="HKU199" s="234"/>
      <c r="HKV199" s="234"/>
      <c r="HKW199" s="234"/>
      <c r="HKX199" s="234"/>
      <c r="HKY199" s="234"/>
      <c r="HKZ199" s="234"/>
      <c r="HLA199" s="234"/>
      <c r="HLB199" s="234"/>
      <c r="HLC199" s="234"/>
      <c r="HLD199" s="234"/>
      <c r="HLE199" s="234"/>
      <c r="HLF199" s="234"/>
      <c r="HLG199" s="234"/>
      <c r="HLH199" s="234"/>
      <c r="HLI199" s="234"/>
      <c r="HLJ199" s="234"/>
      <c r="HLK199" s="234"/>
      <c r="HLL199" s="234"/>
      <c r="HLM199" s="234"/>
      <c r="HLN199" s="234"/>
      <c r="HLO199" s="234"/>
      <c r="HLP199" s="234"/>
      <c r="HLQ199" s="234"/>
      <c r="HLR199" s="234"/>
      <c r="HLS199" s="234"/>
      <c r="HLT199" s="234"/>
      <c r="HLU199" s="234"/>
      <c r="HLV199" s="234"/>
      <c r="HLW199" s="234"/>
      <c r="HLX199" s="234"/>
      <c r="HLY199" s="234"/>
      <c r="HLZ199" s="234"/>
      <c r="HMA199" s="234"/>
      <c r="HMB199" s="234"/>
      <c r="HMC199" s="234"/>
      <c r="HMD199" s="234"/>
      <c r="HME199" s="234"/>
      <c r="HMF199" s="234"/>
      <c r="HMG199" s="234"/>
      <c r="HMH199" s="234"/>
      <c r="HMI199" s="234"/>
      <c r="HMJ199" s="234"/>
      <c r="HMK199" s="234"/>
      <c r="HML199" s="234"/>
      <c r="HMM199" s="234"/>
      <c r="HMN199" s="234"/>
      <c r="HMO199" s="234"/>
      <c r="HMP199" s="234"/>
      <c r="HMQ199" s="234"/>
      <c r="HMR199" s="234"/>
      <c r="HMS199" s="234"/>
      <c r="HMT199" s="234"/>
      <c r="HMU199" s="234"/>
      <c r="HMV199" s="234"/>
      <c r="HMW199" s="234"/>
      <c r="HMX199" s="234"/>
      <c r="HMY199" s="234"/>
      <c r="HMZ199" s="234"/>
      <c r="HNA199" s="234"/>
      <c r="HNB199" s="234"/>
      <c r="HNC199" s="234"/>
      <c r="HND199" s="234"/>
      <c r="HNE199" s="234"/>
      <c r="HNF199" s="234"/>
      <c r="HNG199" s="234"/>
      <c r="HNH199" s="234"/>
      <c r="HNI199" s="234"/>
      <c r="HNJ199" s="234"/>
      <c r="HNK199" s="234"/>
      <c r="HNL199" s="234"/>
      <c r="HNM199" s="234"/>
      <c r="HNN199" s="234"/>
      <c r="HNO199" s="234"/>
      <c r="HNP199" s="234"/>
      <c r="HNQ199" s="234"/>
      <c r="HNR199" s="234"/>
      <c r="HNS199" s="234"/>
      <c r="HNT199" s="234"/>
      <c r="HNU199" s="234"/>
      <c r="HNV199" s="234"/>
      <c r="HNW199" s="234"/>
      <c r="HNX199" s="234"/>
      <c r="HNY199" s="234"/>
      <c r="HNZ199" s="234"/>
      <c r="HOA199" s="234"/>
      <c r="HOB199" s="234"/>
      <c r="HOC199" s="234"/>
      <c r="HOD199" s="234"/>
      <c r="HOE199" s="234"/>
      <c r="HOF199" s="234"/>
      <c r="HOG199" s="234"/>
      <c r="HOH199" s="234"/>
      <c r="HOI199" s="234"/>
      <c r="HOJ199" s="234"/>
      <c r="HOK199" s="234"/>
      <c r="HOL199" s="234"/>
      <c r="HOM199" s="234"/>
      <c r="HON199" s="234"/>
      <c r="HOO199" s="234"/>
      <c r="HOP199" s="234"/>
      <c r="HOQ199" s="234"/>
      <c r="HOR199" s="234"/>
      <c r="HOS199" s="234"/>
      <c r="HOT199" s="234"/>
      <c r="HOU199" s="234"/>
      <c r="HOV199" s="234"/>
      <c r="HOW199" s="234"/>
      <c r="HOX199" s="234"/>
      <c r="HOY199" s="234"/>
      <c r="HOZ199" s="234"/>
      <c r="HPA199" s="234"/>
      <c r="HPB199" s="234"/>
      <c r="HPC199" s="234"/>
      <c r="HPD199" s="234"/>
      <c r="HPE199" s="234"/>
      <c r="HPF199" s="234"/>
      <c r="HPG199" s="234"/>
      <c r="HPH199" s="234"/>
      <c r="HPI199" s="234"/>
      <c r="HPJ199" s="234"/>
      <c r="HPK199" s="234"/>
      <c r="HPL199" s="234"/>
      <c r="HPM199" s="234"/>
      <c r="HPN199" s="234"/>
      <c r="HPO199" s="234"/>
      <c r="HPP199" s="234"/>
      <c r="HPQ199" s="234"/>
      <c r="HPR199" s="234"/>
      <c r="HPS199" s="234"/>
      <c r="HPT199" s="234"/>
      <c r="HPU199" s="234"/>
      <c r="HPV199" s="234"/>
      <c r="HPW199" s="234"/>
      <c r="HPX199" s="234"/>
      <c r="HPY199" s="234"/>
      <c r="HPZ199" s="234"/>
      <c r="HQA199" s="234"/>
      <c r="HQB199" s="234"/>
      <c r="HQC199" s="234"/>
      <c r="HQD199" s="234"/>
      <c r="HQE199" s="234"/>
      <c r="HQF199" s="234"/>
      <c r="HQG199" s="234"/>
      <c r="HQH199" s="234"/>
      <c r="HQI199" s="234"/>
      <c r="HQJ199" s="234"/>
      <c r="HQK199" s="234"/>
      <c r="HQL199" s="234"/>
      <c r="HQM199" s="234"/>
      <c r="HQN199" s="234"/>
      <c r="HQO199" s="234"/>
      <c r="HQP199" s="234"/>
      <c r="HQQ199" s="234"/>
      <c r="HQR199" s="234"/>
      <c r="HQS199" s="234"/>
      <c r="HQT199" s="234"/>
      <c r="HQU199" s="234"/>
      <c r="HQV199" s="234"/>
      <c r="HQW199" s="234"/>
      <c r="HQX199" s="234"/>
      <c r="HQY199" s="234"/>
      <c r="HQZ199" s="234"/>
      <c r="HRA199" s="234"/>
      <c r="HRB199" s="234"/>
      <c r="HRC199" s="234"/>
      <c r="HRD199" s="234"/>
      <c r="HRE199" s="234"/>
      <c r="HRF199" s="234"/>
      <c r="HRG199" s="234"/>
      <c r="HRH199" s="234"/>
      <c r="HRI199" s="234"/>
      <c r="HRJ199" s="234"/>
      <c r="HRK199" s="234"/>
      <c r="HRL199" s="234"/>
      <c r="HRM199" s="234"/>
      <c r="HRN199" s="234"/>
      <c r="HRO199" s="234"/>
      <c r="HRP199" s="234"/>
      <c r="HRQ199" s="234"/>
      <c r="HRR199" s="234"/>
      <c r="HRS199" s="234"/>
      <c r="HRT199" s="234"/>
      <c r="HRU199" s="234"/>
      <c r="HRV199" s="234"/>
      <c r="HRW199" s="234"/>
      <c r="HRX199" s="234"/>
      <c r="HRY199" s="234"/>
      <c r="HRZ199" s="234"/>
      <c r="HSA199" s="234"/>
      <c r="HSB199" s="234"/>
      <c r="HSC199" s="234"/>
      <c r="HSD199" s="234"/>
      <c r="HSE199" s="234"/>
      <c r="HSF199" s="234"/>
      <c r="HSG199" s="234"/>
      <c r="HSH199" s="234"/>
      <c r="HSI199" s="234"/>
      <c r="HSJ199" s="234"/>
      <c r="HSK199" s="234"/>
      <c r="HSL199" s="234"/>
      <c r="HSM199" s="234"/>
      <c r="HSN199" s="234"/>
      <c r="HSO199" s="234"/>
      <c r="HSP199" s="234"/>
      <c r="HSQ199" s="234"/>
      <c r="HSR199" s="234"/>
      <c r="HSS199" s="234"/>
      <c r="HST199" s="234"/>
      <c r="HSU199" s="234"/>
      <c r="HSV199" s="234"/>
      <c r="HSW199" s="234"/>
      <c r="HSX199" s="234"/>
      <c r="HSY199" s="234"/>
      <c r="HSZ199" s="234"/>
      <c r="HTA199" s="234"/>
      <c r="HTB199" s="234"/>
      <c r="HTC199" s="234"/>
      <c r="HTD199" s="234"/>
      <c r="HTE199" s="234"/>
      <c r="HTF199" s="234"/>
      <c r="HTG199" s="234"/>
      <c r="HTH199" s="234"/>
      <c r="HTI199" s="234"/>
      <c r="HTJ199" s="234"/>
      <c r="HTK199" s="234"/>
      <c r="HTL199" s="234"/>
      <c r="HTM199" s="234"/>
      <c r="HTN199" s="234"/>
      <c r="HTO199" s="234"/>
      <c r="HTP199" s="234"/>
      <c r="HTQ199" s="234"/>
      <c r="HTR199" s="234"/>
      <c r="HTS199" s="234"/>
      <c r="HTT199" s="234"/>
      <c r="HTU199" s="234"/>
      <c r="HTV199" s="234"/>
      <c r="HTW199" s="234"/>
      <c r="HTX199" s="234"/>
      <c r="HTY199" s="234"/>
      <c r="HTZ199" s="234"/>
      <c r="HUA199" s="234"/>
      <c r="HUB199" s="234"/>
      <c r="HUC199" s="234"/>
      <c r="HUD199" s="234"/>
      <c r="HUE199" s="234"/>
      <c r="HUF199" s="234"/>
      <c r="HUG199" s="234"/>
      <c r="HUH199" s="234"/>
      <c r="HUI199" s="234"/>
      <c r="HUJ199" s="234"/>
      <c r="HUK199" s="234"/>
      <c r="HUL199" s="234"/>
      <c r="HUM199" s="234"/>
      <c r="HUN199" s="234"/>
      <c r="HUO199" s="234"/>
      <c r="HUP199" s="234"/>
      <c r="HUQ199" s="234"/>
      <c r="HUR199" s="234"/>
      <c r="HUS199" s="234"/>
      <c r="HUT199" s="234"/>
      <c r="HUU199" s="234"/>
      <c r="HUV199" s="234"/>
      <c r="HUW199" s="234"/>
      <c r="HUX199" s="234"/>
      <c r="HUY199" s="234"/>
      <c r="HUZ199" s="234"/>
      <c r="HVA199" s="234"/>
      <c r="HVB199" s="234"/>
      <c r="HVC199" s="234"/>
      <c r="HVD199" s="234"/>
      <c r="HVE199" s="234"/>
      <c r="HVF199" s="234"/>
      <c r="HVG199" s="234"/>
      <c r="HVH199" s="234"/>
      <c r="HVI199" s="234"/>
      <c r="HVJ199" s="234"/>
      <c r="HVK199" s="234"/>
      <c r="HVL199" s="234"/>
      <c r="HVM199" s="234"/>
      <c r="HVN199" s="234"/>
      <c r="HVO199" s="234"/>
      <c r="HVP199" s="234"/>
      <c r="HVQ199" s="234"/>
      <c r="HVR199" s="234"/>
      <c r="HVS199" s="234"/>
      <c r="HVT199" s="234"/>
      <c r="HVU199" s="234"/>
      <c r="HVV199" s="234"/>
      <c r="HVW199" s="234"/>
      <c r="HVX199" s="234"/>
      <c r="HVY199" s="234"/>
      <c r="HVZ199" s="234"/>
      <c r="HWA199" s="234"/>
      <c r="HWB199" s="234"/>
      <c r="HWC199" s="234"/>
      <c r="HWD199" s="234"/>
      <c r="HWE199" s="234"/>
      <c r="HWF199" s="234"/>
      <c r="HWG199" s="234"/>
      <c r="HWH199" s="234"/>
      <c r="HWI199" s="234"/>
      <c r="HWJ199" s="234"/>
      <c r="HWK199" s="234"/>
      <c r="HWL199" s="234"/>
      <c r="HWM199" s="234"/>
      <c r="HWN199" s="234"/>
      <c r="HWO199" s="234"/>
      <c r="HWP199" s="234"/>
      <c r="HWQ199" s="234"/>
      <c r="HWR199" s="234"/>
      <c r="HWS199" s="234"/>
      <c r="HWT199" s="234"/>
      <c r="HWU199" s="234"/>
      <c r="HWV199" s="234"/>
      <c r="HWW199" s="234"/>
      <c r="HWX199" s="234"/>
      <c r="HWY199" s="234"/>
      <c r="HWZ199" s="234"/>
      <c r="HXA199" s="234"/>
      <c r="HXB199" s="234"/>
      <c r="HXC199" s="234"/>
      <c r="HXD199" s="234"/>
      <c r="HXE199" s="234"/>
      <c r="HXF199" s="234"/>
      <c r="HXG199" s="234"/>
      <c r="HXH199" s="234"/>
      <c r="HXI199" s="234"/>
      <c r="HXJ199" s="234"/>
      <c r="HXK199" s="234"/>
      <c r="HXL199" s="234"/>
      <c r="HXM199" s="234"/>
      <c r="HXN199" s="234"/>
      <c r="HXO199" s="234"/>
      <c r="HXP199" s="234"/>
      <c r="HXQ199" s="234"/>
      <c r="HXR199" s="234"/>
      <c r="HXS199" s="234"/>
      <c r="HXT199" s="234"/>
      <c r="HXU199" s="234"/>
      <c r="HXV199" s="234"/>
      <c r="HXW199" s="234"/>
      <c r="HXX199" s="234"/>
      <c r="HXY199" s="234"/>
      <c r="HXZ199" s="234"/>
      <c r="HYA199" s="234"/>
      <c r="HYB199" s="234"/>
      <c r="HYC199" s="234"/>
      <c r="HYD199" s="234"/>
      <c r="HYE199" s="234"/>
      <c r="HYF199" s="234"/>
      <c r="HYG199" s="234"/>
      <c r="HYH199" s="234"/>
      <c r="HYI199" s="234"/>
      <c r="HYJ199" s="234"/>
      <c r="HYK199" s="234"/>
      <c r="HYL199" s="234"/>
      <c r="HYM199" s="234"/>
      <c r="HYN199" s="234"/>
      <c r="HYO199" s="234"/>
      <c r="HYP199" s="234"/>
      <c r="HYQ199" s="234"/>
      <c r="HYR199" s="234"/>
      <c r="HYS199" s="234"/>
      <c r="HYT199" s="234"/>
      <c r="HYU199" s="234"/>
      <c r="HYV199" s="234"/>
      <c r="HYW199" s="234"/>
      <c r="HYX199" s="234"/>
      <c r="HYY199" s="234"/>
      <c r="HYZ199" s="234"/>
      <c r="HZA199" s="234"/>
      <c r="HZB199" s="234"/>
      <c r="HZC199" s="234"/>
      <c r="HZD199" s="234"/>
      <c r="HZE199" s="234"/>
      <c r="HZF199" s="234"/>
      <c r="HZG199" s="234"/>
      <c r="HZH199" s="234"/>
      <c r="HZI199" s="234"/>
      <c r="HZJ199" s="234"/>
      <c r="HZK199" s="234"/>
      <c r="HZL199" s="234"/>
      <c r="HZM199" s="234"/>
      <c r="HZN199" s="234"/>
      <c r="HZO199" s="234"/>
      <c r="HZP199" s="234"/>
      <c r="HZQ199" s="234"/>
      <c r="HZR199" s="234"/>
      <c r="HZS199" s="234"/>
      <c r="HZT199" s="234"/>
      <c r="HZU199" s="234"/>
      <c r="HZV199" s="234"/>
      <c r="HZW199" s="234"/>
      <c r="HZX199" s="234"/>
      <c r="HZY199" s="234"/>
      <c r="HZZ199" s="234"/>
      <c r="IAA199" s="234"/>
      <c r="IAB199" s="234"/>
      <c r="IAC199" s="234"/>
      <c r="IAD199" s="234"/>
      <c r="IAE199" s="234"/>
      <c r="IAF199" s="234"/>
      <c r="IAG199" s="234"/>
      <c r="IAH199" s="234"/>
      <c r="IAI199" s="234"/>
      <c r="IAJ199" s="234"/>
      <c r="IAK199" s="234"/>
      <c r="IAL199" s="234"/>
      <c r="IAM199" s="234"/>
      <c r="IAN199" s="234"/>
      <c r="IAO199" s="234"/>
      <c r="IAP199" s="234"/>
      <c r="IAQ199" s="234"/>
      <c r="IAR199" s="234"/>
      <c r="IAS199" s="234"/>
      <c r="IAT199" s="234"/>
      <c r="IAU199" s="234"/>
      <c r="IAV199" s="234"/>
      <c r="IAW199" s="234"/>
      <c r="IAX199" s="234"/>
      <c r="IAY199" s="234"/>
      <c r="IAZ199" s="234"/>
      <c r="IBA199" s="234"/>
      <c r="IBB199" s="234"/>
      <c r="IBC199" s="234"/>
      <c r="IBD199" s="234"/>
      <c r="IBE199" s="234"/>
      <c r="IBF199" s="234"/>
      <c r="IBG199" s="234"/>
      <c r="IBH199" s="234"/>
      <c r="IBI199" s="234"/>
      <c r="IBJ199" s="234"/>
      <c r="IBK199" s="234"/>
      <c r="IBL199" s="234"/>
      <c r="IBM199" s="234"/>
      <c r="IBN199" s="234"/>
      <c r="IBO199" s="234"/>
      <c r="IBP199" s="234"/>
      <c r="IBQ199" s="234"/>
      <c r="IBR199" s="234"/>
      <c r="IBS199" s="234"/>
      <c r="IBT199" s="234"/>
      <c r="IBU199" s="234"/>
      <c r="IBV199" s="234"/>
      <c r="IBW199" s="234"/>
      <c r="IBX199" s="234"/>
      <c r="IBY199" s="234"/>
      <c r="IBZ199" s="234"/>
      <c r="ICA199" s="234"/>
      <c r="ICB199" s="234"/>
      <c r="ICC199" s="234"/>
      <c r="ICD199" s="234"/>
      <c r="ICE199" s="234"/>
      <c r="ICF199" s="234"/>
      <c r="ICG199" s="234"/>
      <c r="ICH199" s="234"/>
      <c r="ICI199" s="234"/>
      <c r="ICJ199" s="234"/>
      <c r="ICK199" s="234"/>
      <c r="ICL199" s="234"/>
      <c r="ICM199" s="234"/>
      <c r="ICN199" s="234"/>
      <c r="ICO199" s="234"/>
      <c r="ICP199" s="234"/>
      <c r="ICQ199" s="234"/>
      <c r="ICR199" s="234"/>
      <c r="ICS199" s="234"/>
      <c r="ICT199" s="234"/>
      <c r="ICU199" s="234"/>
      <c r="ICV199" s="234"/>
      <c r="ICW199" s="234"/>
      <c r="ICX199" s="234"/>
      <c r="ICY199" s="234"/>
      <c r="ICZ199" s="234"/>
      <c r="IDA199" s="234"/>
      <c r="IDB199" s="234"/>
      <c r="IDC199" s="234"/>
      <c r="IDD199" s="234"/>
      <c r="IDE199" s="234"/>
      <c r="IDF199" s="234"/>
      <c r="IDG199" s="234"/>
      <c r="IDH199" s="234"/>
      <c r="IDI199" s="234"/>
      <c r="IDJ199" s="234"/>
      <c r="IDK199" s="234"/>
      <c r="IDL199" s="234"/>
      <c r="IDM199" s="234"/>
      <c r="IDN199" s="234"/>
      <c r="IDO199" s="234"/>
      <c r="IDP199" s="234"/>
      <c r="IDQ199" s="234"/>
      <c r="IDR199" s="234"/>
      <c r="IDS199" s="234"/>
      <c r="IDT199" s="234"/>
      <c r="IDU199" s="234"/>
      <c r="IDV199" s="234"/>
      <c r="IDW199" s="234"/>
      <c r="IDX199" s="234"/>
      <c r="IDY199" s="234"/>
      <c r="IDZ199" s="234"/>
      <c r="IEA199" s="234"/>
      <c r="IEB199" s="234"/>
      <c r="IEC199" s="234"/>
      <c r="IED199" s="234"/>
      <c r="IEE199" s="234"/>
      <c r="IEF199" s="234"/>
      <c r="IEG199" s="234"/>
      <c r="IEH199" s="234"/>
      <c r="IEI199" s="234"/>
      <c r="IEJ199" s="234"/>
      <c r="IEK199" s="234"/>
      <c r="IEL199" s="234"/>
      <c r="IEM199" s="234"/>
      <c r="IEN199" s="234"/>
      <c r="IEO199" s="234"/>
      <c r="IEP199" s="234"/>
      <c r="IEQ199" s="234"/>
      <c r="IER199" s="234"/>
      <c r="IES199" s="234"/>
      <c r="IET199" s="234"/>
      <c r="IEU199" s="234"/>
      <c r="IEV199" s="234"/>
      <c r="IEW199" s="234"/>
      <c r="IEX199" s="234"/>
      <c r="IEY199" s="234"/>
      <c r="IEZ199" s="234"/>
      <c r="IFA199" s="234"/>
      <c r="IFB199" s="234"/>
      <c r="IFC199" s="234"/>
      <c r="IFD199" s="234"/>
      <c r="IFE199" s="234"/>
      <c r="IFF199" s="234"/>
      <c r="IFG199" s="234"/>
      <c r="IFH199" s="234"/>
      <c r="IFI199" s="234"/>
      <c r="IFJ199" s="234"/>
      <c r="IFK199" s="234"/>
      <c r="IFL199" s="234"/>
      <c r="IFM199" s="234"/>
      <c r="IFN199" s="234"/>
      <c r="IFO199" s="234"/>
      <c r="IFP199" s="234"/>
      <c r="IFQ199" s="234"/>
      <c r="IFR199" s="234"/>
      <c r="IFS199" s="234"/>
      <c r="IFT199" s="234"/>
      <c r="IFU199" s="234"/>
      <c r="IFV199" s="234"/>
      <c r="IFW199" s="234"/>
      <c r="IFX199" s="234"/>
      <c r="IFY199" s="234"/>
      <c r="IFZ199" s="234"/>
      <c r="IGA199" s="234"/>
      <c r="IGB199" s="234"/>
      <c r="IGC199" s="234"/>
      <c r="IGD199" s="234"/>
      <c r="IGE199" s="234"/>
      <c r="IGF199" s="234"/>
      <c r="IGG199" s="234"/>
      <c r="IGH199" s="234"/>
      <c r="IGI199" s="234"/>
      <c r="IGJ199" s="234"/>
      <c r="IGK199" s="234"/>
      <c r="IGL199" s="234"/>
      <c r="IGM199" s="234"/>
      <c r="IGN199" s="234"/>
      <c r="IGO199" s="234"/>
      <c r="IGP199" s="234"/>
      <c r="IGQ199" s="234"/>
      <c r="IGR199" s="234"/>
      <c r="IGS199" s="234"/>
      <c r="IGT199" s="234"/>
      <c r="IGU199" s="234"/>
      <c r="IGV199" s="234"/>
      <c r="IGW199" s="234"/>
      <c r="IGX199" s="234"/>
      <c r="IGY199" s="234"/>
      <c r="IGZ199" s="234"/>
      <c r="IHA199" s="234"/>
      <c r="IHB199" s="234"/>
      <c r="IHC199" s="234"/>
      <c r="IHD199" s="234"/>
      <c r="IHE199" s="234"/>
      <c r="IHF199" s="234"/>
      <c r="IHG199" s="234"/>
      <c r="IHH199" s="234"/>
      <c r="IHI199" s="234"/>
      <c r="IHJ199" s="234"/>
      <c r="IHK199" s="234"/>
      <c r="IHL199" s="234"/>
      <c r="IHM199" s="234"/>
      <c r="IHN199" s="234"/>
      <c r="IHO199" s="234"/>
      <c r="IHP199" s="234"/>
      <c r="IHQ199" s="234"/>
      <c r="IHR199" s="234"/>
      <c r="IHS199" s="234"/>
      <c r="IHT199" s="234"/>
      <c r="IHU199" s="234"/>
      <c r="IHV199" s="234"/>
      <c r="IHW199" s="234"/>
      <c r="IHX199" s="234"/>
      <c r="IHY199" s="234"/>
      <c r="IHZ199" s="234"/>
      <c r="IIA199" s="234"/>
      <c r="IIB199" s="234"/>
      <c r="IIC199" s="234"/>
      <c r="IID199" s="234"/>
      <c r="IIE199" s="234"/>
      <c r="IIF199" s="234"/>
      <c r="IIG199" s="234"/>
      <c r="IIH199" s="234"/>
      <c r="III199" s="234"/>
      <c r="IIJ199" s="234"/>
      <c r="IIK199" s="234"/>
      <c r="IIL199" s="234"/>
      <c r="IIM199" s="234"/>
      <c r="IIN199" s="234"/>
      <c r="IIO199" s="234"/>
      <c r="IIP199" s="234"/>
      <c r="IIQ199" s="234"/>
      <c r="IIR199" s="234"/>
      <c r="IIS199" s="234"/>
      <c r="IIT199" s="234"/>
      <c r="IIU199" s="234"/>
      <c r="IIV199" s="234"/>
      <c r="IIW199" s="234"/>
      <c r="IIX199" s="234"/>
      <c r="IIY199" s="234"/>
      <c r="IIZ199" s="234"/>
      <c r="IJA199" s="234"/>
      <c r="IJB199" s="234"/>
      <c r="IJC199" s="234"/>
      <c r="IJD199" s="234"/>
      <c r="IJE199" s="234"/>
      <c r="IJF199" s="234"/>
      <c r="IJG199" s="234"/>
      <c r="IJH199" s="234"/>
      <c r="IJI199" s="234"/>
      <c r="IJJ199" s="234"/>
      <c r="IJK199" s="234"/>
      <c r="IJL199" s="234"/>
      <c r="IJM199" s="234"/>
      <c r="IJN199" s="234"/>
      <c r="IJO199" s="234"/>
      <c r="IJP199" s="234"/>
      <c r="IJQ199" s="234"/>
      <c r="IJR199" s="234"/>
      <c r="IJS199" s="234"/>
      <c r="IJT199" s="234"/>
      <c r="IJU199" s="234"/>
      <c r="IJV199" s="234"/>
      <c r="IJW199" s="234"/>
      <c r="IJX199" s="234"/>
      <c r="IJY199" s="234"/>
      <c r="IJZ199" s="234"/>
      <c r="IKA199" s="234"/>
      <c r="IKB199" s="234"/>
      <c r="IKC199" s="234"/>
      <c r="IKD199" s="234"/>
      <c r="IKE199" s="234"/>
      <c r="IKF199" s="234"/>
      <c r="IKG199" s="234"/>
      <c r="IKH199" s="234"/>
      <c r="IKI199" s="234"/>
      <c r="IKJ199" s="234"/>
      <c r="IKK199" s="234"/>
      <c r="IKL199" s="234"/>
      <c r="IKM199" s="234"/>
      <c r="IKN199" s="234"/>
      <c r="IKO199" s="234"/>
      <c r="IKP199" s="234"/>
      <c r="IKQ199" s="234"/>
      <c r="IKR199" s="234"/>
      <c r="IKS199" s="234"/>
      <c r="IKT199" s="234"/>
      <c r="IKU199" s="234"/>
      <c r="IKV199" s="234"/>
      <c r="IKW199" s="234"/>
      <c r="IKX199" s="234"/>
      <c r="IKY199" s="234"/>
      <c r="IKZ199" s="234"/>
      <c r="ILA199" s="234"/>
      <c r="ILB199" s="234"/>
      <c r="ILC199" s="234"/>
      <c r="ILD199" s="234"/>
      <c r="ILE199" s="234"/>
      <c r="ILF199" s="234"/>
      <c r="ILG199" s="234"/>
      <c r="ILH199" s="234"/>
      <c r="ILI199" s="234"/>
      <c r="ILJ199" s="234"/>
      <c r="ILK199" s="234"/>
      <c r="ILL199" s="234"/>
      <c r="ILM199" s="234"/>
      <c r="ILN199" s="234"/>
      <c r="ILO199" s="234"/>
      <c r="ILP199" s="234"/>
      <c r="ILQ199" s="234"/>
      <c r="ILR199" s="234"/>
      <c r="ILS199" s="234"/>
      <c r="ILT199" s="234"/>
      <c r="ILU199" s="234"/>
      <c r="ILV199" s="234"/>
      <c r="ILW199" s="234"/>
      <c r="ILX199" s="234"/>
      <c r="ILY199" s="234"/>
      <c r="ILZ199" s="234"/>
      <c r="IMA199" s="234"/>
      <c r="IMB199" s="234"/>
      <c r="IMC199" s="234"/>
      <c r="IMD199" s="234"/>
      <c r="IME199" s="234"/>
      <c r="IMF199" s="234"/>
      <c r="IMG199" s="234"/>
      <c r="IMH199" s="234"/>
      <c r="IMI199" s="234"/>
      <c r="IMJ199" s="234"/>
      <c r="IMK199" s="234"/>
      <c r="IML199" s="234"/>
      <c r="IMM199" s="234"/>
      <c r="IMN199" s="234"/>
      <c r="IMO199" s="234"/>
      <c r="IMP199" s="234"/>
      <c r="IMQ199" s="234"/>
      <c r="IMR199" s="234"/>
      <c r="IMS199" s="234"/>
      <c r="IMT199" s="234"/>
      <c r="IMU199" s="234"/>
      <c r="IMV199" s="234"/>
      <c r="IMW199" s="234"/>
      <c r="IMX199" s="234"/>
      <c r="IMY199" s="234"/>
      <c r="IMZ199" s="234"/>
      <c r="INA199" s="234"/>
      <c r="INB199" s="234"/>
      <c r="INC199" s="234"/>
      <c r="IND199" s="234"/>
      <c r="INE199" s="234"/>
      <c r="INF199" s="234"/>
      <c r="ING199" s="234"/>
      <c r="INH199" s="234"/>
      <c r="INI199" s="234"/>
      <c r="INJ199" s="234"/>
      <c r="INK199" s="234"/>
      <c r="INL199" s="234"/>
      <c r="INM199" s="234"/>
      <c r="INN199" s="234"/>
      <c r="INO199" s="234"/>
      <c r="INP199" s="234"/>
      <c r="INQ199" s="234"/>
      <c r="INR199" s="234"/>
      <c r="INS199" s="234"/>
      <c r="INT199" s="234"/>
      <c r="INU199" s="234"/>
      <c r="INV199" s="234"/>
      <c r="INW199" s="234"/>
      <c r="INX199" s="234"/>
      <c r="INY199" s="234"/>
      <c r="INZ199" s="234"/>
      <c r="IOA199" s="234"/>
      <c r="IOB199" s="234"/>
      <c r="IOC199" s="234"/>
      <c r="IOD199" s="234"/>
      <c r="IOE199" s="234"/>
      <c r="IOF199" s="234"/>
      <c r="IOG199" s="234"/>
      <c r="IOH199" s="234"/>
      <c r="IOI199" s="234"/>
      <c r="IOJ199" s="234"/>
      <c r="IOK199" s="234"/>
      <c r="IOL199" s="234"/>
      <c r="IOM199" s="234"/>
      <c r="ION199" s="234"/>
      <c r="IOO199" s="234"/>
      <c r="IOP199" s="234"/>
      <c r="IOQ199" s="234"/>
      <c r="IOR199" s="234"/>
      <c r="IOS199" s="234"/>
      <c r="IOT199" s="234"/>
      <c r="IOU199" s="234"/>
      <c r="IOV199" s="234"/>
      <c r="IOW199" s="234"/>
      <c r="IOX199" s="234"/>
      <c r="IOY199" s="234"/>
      <c r="IOZ199" s="234"/>
      <c r="IPA199" s="234"/>
      <c r="IPB199" s="234"/>
      <c r="IPC199" s="234"/>
      <c r="IPD199" s="234"/>
      <c r="IPE199" s="234"/>
      <c r="IPF199" s="234"/>
      <c r="IPG199" s="234"/>
      <c r="IPH199" s="234"/>
      <c r="IPI199" s="234"/>
      <c r="IPJ199" s="234"/>
      <c r="IPK199" s="234"/>
      <c r="IPL199" s="234"/>
      <c r="IPM199" s="234"/>
      <c r="IPN199" s="234"/>
      <c r="IPO199" s="234"/>
      <c r="IPP199" s="234"/>
      <c r="IPQ199" s="234"/>
      <c r="IPR199" s="234"/>
      <c r="IPS199" s="234"/>
      <c r="IPT199" s="234"/>
      <c r="IPU199" s="234"/>
      <c r="IPV199" s="234"/>
      <c r="IPW199" s="234"/>
      <c r="IPX199" s="234"/>
      <c r="IPY199" s="234"/>
      <c r="IPZ199" s="234"/>
      <c r="IQA199" s="234"/>
      <c r="IQB199" s="234"/>
      <c r="IQC199" s="234"/>
      <c r="IQD199" s="234"/>
      <c r="IQE199" s="234"/>
      <c r="IQF199" s="234"/>
      <c r="IQG199" s="234"/>
      <c r="IQH199" s="234"/>
      <c r="IQI199" s="234"/>
      <c r="IQJ199" s="234"/>
      <c r="IQK199" s="234"/>
      <c r="IQL199" s="234"/>
      <c r="IQM199" s="234"/>
      <c r="IQN199" s="234"/>
      <c r="IQO199" s="234"/>
      <c r="IQP199" s="234"/>
      <c r="IQQ199" s="234"/>
      <c r="IQR199" s="234"/>
      <c r="IQS199" s="234"/>
      <c r="IQT199" s="234"/>
      <c r="IQU199" s="234"/>
      <c r="IQV199" s="234"/>
      <c r="IQW199" s="234"/>
      <c r="IQX199" s="234"/>
      <c r="IQY199" s="234"/>
      <c r="IQZ199" s="234"/>
      <c r="IRA199" s="234"/>
      <c r="IRB199" s="234"/>
      <c r="IRC199" s="234"/>
      <c r="IRD199" s="234"/>
      <c r="IRE199" s="234"/>
      <c r="IRF199" s="234"/>
      <c r="IRG199" s="234"/>
      <c r="IRH199" s="234"/>
      <c r="IRI199" s="234"/>
      <c r="IRJ199" s="234"/>
      <c r="IRK199" s="234"/>
      <c r="IRL199" s="234"/>
      <c r="IRM199" s="234"/>
      <c r="IRN199" s="234"/>
      <c r="IRO199" s="234"/>
      <c r="IRP199" s="234"/>
      <c r="IRQ199" s="234"/>
      <c r="IRR199" s="234"/>
      <c r="IRS199" s="234"/>
      <c r="IRT199" s="234"/>
      <c r="IRU199" s="234"/>
      <c r="IRV199" s="234"/>
      <c r="IRW199" s="234"/>
      <c r="IRX199" s="234"/>
      <c r="IRY199" s="234"/>
      <c r="IRZ199" s="234"/>
      <c r="ISA199" s="234"/>
      <c r="ISB199" s="234"/>
      <c r="ISC199" s="234"/>
      <c r="ISD199" s="234"/>
      <c r="ISE199" s="234"/>
      <c r="ISF199" s="234"/>
      <c r="ISG199" s="234"/>
      <c r="ISH199" s="234"/>
      <c r="ISI199" s="234"/>
      <c r="ISJ199" s="234"/>
      <c r="ISK199" s="234"/>
      <c r="ISL199" s="234"/>
      <c r="ISM199" s="234"/>
      <c r="ISN199" s="234"/>
      <c r="ISO199" s="234"/>
      <c r="ISP199" s="234"/>
      <c r="ISQ199" s="234"/>
      <c r="ISR199" s="234"/>
      <c r="ISS199" s="234"/>
      <c r="IST199" s="234"/>
      <c r="ISU199" s="234"/>
      <c r="ISV199" s="234"/>
      <c r="ISW199" s="234"/>
      <c r="ISX199" s="234"/>
      <c r="ISY199" s="234"/>
      <c r="ISZ199" s="234"/>
      <c r="ITA199" s="234"/>
      <c r="ITB199" s="234"/>
      <c r="ITC199" s="234"/>
      <c r="ITD199" s="234"/>
      <c r="ITE199" s="234"/>
      <c r="ITF199" s="234"/>
      <c r="ITG199" s="234"/>
      <c r="ITH199" s="234"/>
      <c r="ITI199" s="234"/>
      <c r="ITJ199" s="234"/>
      <c r="ITK199" s="234"/>
      <c r="ITL199" s="234"/>
      <c r="ITM199" s="234"/>
      <c r="ITN199" s="234"/>
      <c r="ITO199" s="234"/>
      <c r="ITP199" s="234"/>
      <c r="ITQ199" s="234"/>
      <c r="ITR199" s="234"/>
      <c r="ITS199" s="234"/>
      <c r="ITT199" s="234"/>
      <c r="ITU199" s="234"/>
      <c r="ITV199" s="234"/>
      <c r="ITW199" s="234"/>
      <c r="ITX199" s="234"/>
      <c r="ITY199" s="234"/>
      <c r="ITZ199" s="234"/>
      <c r="IUA199" s="234"/>
      <c r="IUB199" s="234"/>
      <c r="IUC199" s="234"/>
      <c r="IUD199" s="234"/>
      <c r="IUE199" s="234"/>
      <c r="IUF199" s="234"/>
      <c r="IUG199" s="234"/>
      <c r="IUH199" s="234"/>
      <c r="IUI199" s="234"/>
      <c r="IUJ199" s="234"/>
      <c r="IUK199" s="234"/>
      <c r="IUL199" s="234"/>
      <c r="IUM199" s="234"/>
      <c r="IUN199" s="234"/>
      <c r="IUO199" s="234"/>
      <c r="IUP199" s="234"/>
      <c r="IUQ199" s="234"/>
      <c r="IUR199" s="234"/>
      <c r="IUS199" s="234"/>
      <c r="IUT199" s="234"/>
      <c r="IUU199" s="234"/>
      <c r="IUV199" s="234"/>
      <c r="IUW199" s="234"/>
      <c r="IUX199" s="234"/>
      <c r="IUY199" s="234"/>
      <c r="IUZ199" s="234"/>
      <c r="IVA199" s="234"/>
      <c r="IVB199" s="234"/>
      <c r="IVC199" s="234"/>
      <c r="IVD199" s="234"/>
      <c r="IVE199" s="234"/>
      <c r="IVF199" s="234"/>
      <c r="IVG199" s="234"/>
      <c r="IVH199" s="234"/>
      <c r="IVI199" s="234"/>
      <c r="IVJ199" s="234"/>
      <c r="IVK199" s="234"/>
      <c r="IVL199" s="234"/>
      <c r="IVM199" s="234"/>
      <c r="IVN199" s="234"/>
      <c r="IVO199" s="234"/>
      <c r="IVP199" s="234"/>
      <c r="IVQ199" s="234"/>
      <c r="IVR199" s="234"/>
      <c r="IVS199" s="234"/>
      <c r="IVT199" s="234"/>
      <c r="IVU199" s="234"/>
      <c r="IVV199" s="234"/>
      <c r="IVW199" s="234"/>
      <c r="IVX199" s="234"/>
      <c r="IVY199" s="234"/>
      <c r="IVZ199" s="234"/>
      <c r="IWA199" s="234"/>
      <c r="IWB199" s="234"/>
      <c r="IWC199" s="234"/>
      <c r="IWD199" s="234"/>
      <c r="IWE199" s="234"/>
      <c r="IWF199" s="234"/>
      <c r="IWG199" s="234"/>
      <c r="IWH199" s="234"/>
      <c r="IWI199" s="234"/>
      <c r="IWJ199" s="234"/>
      <c r="IWK199" s="234"/>
      <c r="IWL199" s="234"/>
      <c r="IWM199" s="234"/>
      <c r="IWN199" s="234"/>
      <c r="IWO199" s="234"/>
      <c r="IWP199" s="234"/>
      <c r="IWQ199" s="234"/>
      <c r="IWR199" s="234"/>
      <c r="IWS199" s="234"/>
      <c r="IWT199" s="234"/>
      <c r="IWU199" s="234"/>
      <c r="IWV199" s="234"/>
      <c r="IWW199" s="234"/>
      <c r="IWX199" s="234"/>
      <c r="IWY199" s="234"/>
      <c r="IWZ199" s="234"/>
      <c r="IXA199" s="234"/>
      <c r="IXB199" s="234"/>
      <c r="IXC199" s="234"/>
      <c r="IXD199" s="234"/>
      <c r="IXE199" s="234"/>
      <c r="IXF199" s="234"/>
      <c r="IXG199" s="234"/>
      <c r="IXH199" s="234"/>
      <c r="IXI199" s="234"/>
      <c r="IXJ199" s="234"/>
      <c r="IXK199" s="234"/>
      <c r="IXL199" s="234"/>
      <c r="IXM199" s="234"/>
      <c r="IXN199" s="234"/>
      <c r="IXO199" s="234"/>
      <c r="IXP199" s="234"/>
      <c r="IXQ199" s="234"/>
      <c r="IXR199" s="234"/>
      <c r="IXS199" s="234"/>
      <c r="IXT199" s="234"/>
      <c r="IXU199" s="234"/>
      <c r="IXV199" s="234"/>
      <c r="IXW199" s="234"/>
      <c r="IXX199" s="234"/>
      <c r="IXY199" s="234"/>
      <c r="IXZ199" s="234"/>
      <c r="IYA199" s="234"/>
      <c r="IYB199" s="234"/>
      <c r="IYC199" s="234"/>
      <c r="IYD199" s="234"/>
      <c r="IYE199" s="234"/>
      <c r="IYF199" s="234"/>
      <c r="IYG199" s="234"/>
      <c r="IYH199" s="234"/>
      <c r="IYI199" s="234"/>
      <c r="IYJ199" s="234"/>
      <c r="IYK199" s="234"/>
      <c r="IYL199" s="234"/>
      <c r="IYM199" s="234"/>
      <c r="IYN199" s="234"/>
      <c r="IYO199" s="234"/>
      <c r="IYP199" s="234"/>
      <c r="IYQ199" s="234"/>
      <c r="IYR199" s="234"/>
      <c r="IYS199" s="234"/>
      <c r="IYT199" s="234"/>
      <c r="IYU199" s="234"/>
      <c r="IYV199" s="234"/>
      <c r="IYW199" s="234"/>
      <c r="IYX199" s="234"/>
      <c r="IYY199" s="234"/>
      <c r="IYZ199" s="234"/>
      <c r="IZA199" s="234"/>
      <c r="IZB199" s="234"/>
      <c r="IZC199" s="234"/>
      <c r="IZD199" s="234"/>
      <c r="IZE199" s="234"/>
      <c r="IZF199" s="234"/>
      <c r="IZG199" s="234"/>
      <c r="IZH199" s="234"/>
      <c r="IZI199" s="234"/>
      <c r="IZJ199" s="234"/>
      <c r="IZK199" s="234"/>
      <c r="IZL199" s="234"/>
      <c r="IZM199" s="234"/>
      <c r="IZN199" s="234"/>
      <c r="IZO199" s="234"/>
      <c r="IZP199" s="234"/>
      <c r="IZQ199" s="234"/>
      <c r="IZR199" s="234"/>
      <c r="IZS199" s="234"/>
      <c r="IZT199" s="234"/>
      <c r="IZU199" s="234"/>
      <c r="IZV199" s="234"/>
      <c r="IZW199" s="234"/>
      <c r="IZX199" s="234"/>
      <c r="IZY199" s="234"/>
      <c r="IZZ199" s="234"/>
      <c r="JAA199" s="234"/>
      <c r="JAB199" s="234"/>
      <c r="JAC199" s="234"/>
      <c r="JAD199" s="234"/>
      <c r="JAE199" s="234"/>
      <c r="JAF199" s="234"/>
      <c r="JAG199" s="234"/>
      <c r="JAH199" s="234"/>
      <c r="JAI199" s="234"/>
      <c r="JAJ199" s="234"/>
      <c r="JAK199" s="234"/>
      <c r="JAL199" s="234"/>
      <c r="JAM199" s="234"/>
      <c r="JAN199" s="234"/>
      <c r="JAO199" s="234"/>
      <c r="JAP199" s="234"/>
      <c r="JAQ199" s="234"/>
      <c r="JAR199" s="234"/>
      <c r="JAS199" s="234"/>
      <c r="JAT199" s="234"/>
      <c r="JAU199" s="234"/>
      <c r="JAV199" s="234"/>
      <c r="JAW199" s="234"/>
      <c r="JAX199" s="234"/>
      <c r="JAY199" s="234"/>
      <c r="JAZ199" s="234"/>
      <c r="JBA199" s="234"/>
      <c r="JBB199" s="234"/>
      <c r="JBC199" s="234"/>
      <c r="JBD199" s="234"/>
      <c r="JBE199" s="234"/>
      <c r="JBF199" s="234"/>
      <c r="JBG199" s="234"/>
      <c r="JBH199" s="234"/>
      <c r="JBI199" s="234"/>
      <c r="JBJ199" s="234"/>
      <c r="JBK199" s="234"/>
      <c r="JBL199" s="234"/>
      <c r="JBM199" s="234"/>
      <c r="JBN199" s="234"/>
      <c r="JBO199" s="234"/>
      <c r="JBP199" s="234"/>
      <c r="JBQ199" s="234"/>
      <c r="JBR199" s="234"/>
      <c r="JBS199" s="234"/>
      <c r="JBT199" s="234"/>
      <c r="JBU199" s="234"/>
      <c r="JBV199" s="234"/>
      <c r="JBW199" s="234"/>
      <c r="JBX199" s="234"/>
      <c r="JBY199" s="234"/>
      <c r="JBZ199" s="234"/>
      <c r="JCA199" s="234"/>
      <c r="JCB199" s="234"/>
      <c r="JCC199" s="234"/>
      <c r="JCD199" s="234"/>
      <c r="JCE199" s="234"/>
      <c r="JCF199" s="234"/>
      <c r="JCG199" s="234"/>
      <c r="JCH199" s="234"/>
      <c r="JCI199" s="234"/>
      <c r="JCJ199" s="234"/>
      <c r="JCK199" s="234"/>
      <c r="JCL199" s="234"/>
      <c r="JCM199" s="234"/>
      <c r="JCN199" s="234"/>
      <c r="JCO199" s="234"/>
      <c r="JCP199" s="234"/>
      <c r="JCQ199" s="234"/>
      <c r="JCR199" s="234"/>
      <c r="JCS199" s="234"/>
      <c r="JCT199" s="234"/>
      <c r="JCU199" s="234"/>
      <c r="JCV199" s="234"/>
      <c r="JCW199" s="234"/>
      <c r="JCX199" s="234"/>
      <c r="JCY199" s="234"/>
      <c r="JCZ199" s="234"/>
      <c r="JDA199" s="234"/>
      <c r="JDB199" s="234"/>
      <c r="JDC199" s="234"/>
      <c r="JDD199" s="234"/>
      <c r="JDE199" s="234"/>
      <c r="JDF199" s="234"/>
      <c r="JDG199" s="234"/>
      <c r="JDH199" s="234"/>
      <c r="JDI199" s="234"/>
      <c r="JDJ199" s="234"/>
      <c r="JDK199" s="234"/>
      <c r="JDL199" s="234"/>
      <c r="JDM199" s="234"/>
      <c r="JDN199" s="234"/>
      <c r="JDO199" s="234"/>
      <c r="JDP199" s="234"/>
      <c r="JDQ199" s="234"/>
      <c r="JDR199" s="234"/>
      <c r="JDS199" s="234"/>
      <c r="JDT199" s="234"/>
      <c r="JDU199" s="234"/>
      <c r="JDV199" s="234"/>
      <c r="JDW199" s="234"/>
      <c r="JDX199" s="234"/>
      <c r="JDY199" s="234"/>
      <c r="JDZ199" s="234"/>
      <c r="JEA199" s="234"/>
      <c r="JEB199" s="234"/>
      <c r="JEC199" s="234"/>
      <c r="JED199" s="234"/>
      <c r="JEE199" s="234"/>
      <c r="JEF199" s="234"/>
      <c r="JEG199" s="234"/>
      <c r="JEH199" s="234"/>
      <c r="JEI199" s="234"/>
      <c r="JEJ199" s="234"/>
      <c r="JEK199" s="234"/>
      <c r="JEL199" s="234"/>
      <c r="JEM199" s="234"/>
      <c r="JEN199" s="234"/>
      <c r="JEO199" s="234"/>
      <c r="JEP199" s="234"/>
      <c r="JEQ199" s="234"/>
      <c r="JER199" s="234"/>
      <c r="JES199" s="234"/>
      <c r="JET199" s="234"/>
      <c r="JEU199" s="234"/>
      <c r="JEV199" s="234"/>
      <c r="JEW199" s="234"/>
      <c r="JEX199" s="234"/>
      <c r="JEY199" s="234"/>
      <c r="JEZ199" s="234"/>
      <c r="JFA199" s="234"/>
      <c r="JFB199" s="234"/>
      <c r="JFC199" s="234"/>
      <c r="JFD199" s="234"/>
      <c r="JFE199" s="234"/>
      <c r="JFF199" s="234"/>
      <c r="JFG199" s="234"/>
      <c r="JFH199" s="234"/>
      <c r="JFI199" s="234"/>
      <c r="JFJ199" s="234"/>
      <c r="JFK199" s="234"/>
      <c r="JFL199" s="234"/>
      <c r="JFM199" s="234"/>
      <c r="JFN199" s="234"/>
      <c r="JFO199" s="234"/>
      <c r="JFP199" s="234"/>
      <c r="JFQ199" s="234"/>
      <c r="JFR199" s="234"/>
      <c r="JFS199" s="234"/>
      <c r="JFT199" s="234"/>
      <c r="JFU199" s="234"/>
      <c r="JFV199" s="234"/>
      <c r="JFW199" s="234"/>
      <c r="JFX199" s="234"/>
      <c r="JFY199" s="234"/>
      <c r="JFZ199" s="234"/>
      <c r="JGA199" s="234"/>
      <c r="JGB199" s="234"/>
      <c r="JGC199" s="234"/>
      <c r="JGD199" s="234"/>
      <c r="JGE199" s="234"/>
      <c r="JGF199" s="234"/>
      <c r="JGG199" s="234"/>
      <c r="JGH199" s="234"/>
      <c r="JGI199" s="234"/>
      <c r="JGJ199" s="234"/>
      <c r="JGK199" s="234"/>
      <c r="JGL199" s="234"/>
      <c r="JGM199" s="234"/>
      <c r="JGN199" s="234"/>
      <c r="JGO199" s="234"/>
      <c r="JGP199" s="234"/>
      <c r="JGQ199" s="234"/>
      <c r="JGR199" s="234"/>
      <c r="JGS199" s="234"/>
      <c r="JGT199" s="234"/>
      <c r="JGU199" s="234"/>
      <c r="JGV199" s="234"/>
      <c r="JGW199" s="234"/>
      <c r="JGX199" s="234"/>
      <c r="JGY199" s="234"/>
      <c r="JGZ199" s="234"/>
      <c r="JHA199" s="234"/>
      <c r="JHB199" s="234"/>
      <c r="JHC199" s="234"/>
      <c r="JHD199" s="234"/>
      <c r="JHE199" s="234"/>
      <c r="JHF199" s="234"/>
      <c r="JHG199" s="234"/>
      <c r="JHH199" s="234"/>
      <c r="JHI199" s="234"/>
      <c r="JHJ199" s="234"/>
      <c r="JHK199" s="234"/>
      <c r="JHL199" s="234"/>
      <c r="JHM199" s="234"/>
      <c r="JHN199" s="234"/>
      <c r="JHO199" s="234"/>
      <c r="JHP199" s="234"/>
      <c r="JHQ199" s="234"/>
      <c r="JHR199" s="234"/>
      <c r="JHS199" s="234"/>
      <c r="JHT199" s="234"/>
      <c r="JHU199" s="234"/>
      <c r="JHV199" s="234"/>
      <c r="JHW199" s="234"/>
      <c r="JHX199" s="234"/>
      <c r="JHY199" s="234"/>
      <c r="JHZ199" s="234"/>
      <c r="JIA199" s="234"/>
      <c r="JIB199" s="234"/>
      <c r="JIC199" s="234"/>
      <c r="JID199" s="234"/>
      <c r="JIE199" s="234"/>
      <c r="JIF199" s="234"/>
      <c r="JIG199" s="234"/>
      <c r="JIH199" s="234"/>
      <c r="JII199" s="234"/>
      <c r="JIJ199" s="234"/>
      <c r="JIK199" s="234"/>
      <c r="JIL199" s="234"/>
      <c r="JIM199" s="234"/>
      <c r="JIN199" s="234"/>
      <c r="JIO199" s="234"/>
      <c r="JIP199" s="234"/>
      <c r="JIQ199" s="234"/>
      <c r="JIR199" s="234"/>
      <c r="JIS199" s="234"/>
      <c r="JIT199" s="234"/>
      <c r="JIU199" s="234"/>
      <c r="JIV199" s="234"/>
      <c r="JIW199" s="234"/>
      <c r="JIX199" s="234"/>
      <c r="JIY199" s="234"/>
      <c r="JIZ199" s="234"/>
      <c r="JJA199" s="234"/>
      <c r="JJB199" s="234"/>
      <c r="JJC199" s="234"/>
      <c r="JJD199" s="234"/>
      <c r="JJE199" s="234"/>
      <c r="JJF199" s="234"/>
      <c r="JJG199" s="234"/>
      <c r="JJH199" s="234"/>
      <c r="JJI199" s="234"/>
      <c r="JJJ199" s="234"/>
      <c r="JJK199" s="234"/>
      <c r="JJL199" s="234"/>
      <c r="JJM199" s="234"/>
      <c r="JJN199" s="234"/>
      <c r="JJO199" s="234"/>
      <c r="JJP199" s="234"/>
      <c r="JJQ199" s="234"/>
      <c r="JJR199" s="234"/>
      <c r="JJS199" s="234"/>
      <c r="JJT199" s="234"/>
      <c r="JJU199" s="234"/>
      <c r="JJV199" s="234"/>
      <c r="JJW199" s="234"/>
      <c r="JJX199" s="234"/>
      <c r="JJY199" s="234"/>
      <c r="JJZ199" s="234"/>
      <c r="JKA199" s="234"/>
      <c r="JKB199" s="234"/>
      <c r="JKC199" s="234"/>
      <c r="JKD199" s="234"/>
      <c r="JKE199" s="234"/>
      <c r="JKF199" s="234"/>
      <c r="JKG199" s="234"/>
      <c r="JKH199" s="234"/>
      <c r="JKI199" s="234"/>
      <c r="JKJ199" s="234"/>
      <c r="JKK199" s="234"/>
      <c r="JKL199" s="234"/>
      <c r="JKM199" s="234"/>
      <c r="JKN199" s="234"/>
      <c r="JKO199" s="234"/>
      <c r="JKP199" s="234"/>
      <c r="JKQ199" s="234"/>
      <c r="JKR199" s="234"/>
      <c r="JKS199" s="234"/>
      <c r="JKT199" s="234"/>
      <c r="JKU199" s="234"/>
      <c r="JKV199" s="234"/>
      <c r="JKW199" s="234"/>
      <c r="JKX199" s="234"/>
      <c r="JKY199" s="234"/>
      <c r="JKZ199" s="234"/>
      <c r="JLA199" s="234"/>
      <c r="JLB199" s="234"/>
      <c r="JLC199" s="234"/>
      <c r="JLD199" s="234"/>
      <c r="JLE199" s="234"/>
      <c r="JLF199" s="234"/>
      <c r="JLG199" s="234"/>
      <c r="JLH199" s="234"/>
      <c r="JLI199" s="234"/>
      <c r="JLJ199" s="234"/>
      <c r="JLK199" s="234"/>
      <c r="JLL199" s="234"/>
      <c r="JLM199" s="234"/>
      <c r="JLN199" s="234"/>
      <c r="JLO199" s="234"/>
      <c r="JLP199" s="234"/>
      <c r="JLQ199" s="234"/>
      <c r="JLR199" s="234"/>
      <c r="JLS199" s="234"/>
      <c r="JLT199" s="234"/>
      <c r="JLU199" s="234"/>
      <c r="JLV199" s="234"/>
      <c r="JLW199" s="234"/>
      <c r="JLX199" s="234"/>
      <c r="JLY199" s="234"/>
      <c r="JLZ199" s="234"/>
      <c r="JMA199" s="234"/>
      <c r="JMB199" s="234"/>
      <c r="JMC199" s="234"/>
      <c r="JMD199" s="234"/>
      <c r="JME199" s="234"/>
      <c r="JMF199" s="234"/>
      <c r="JMG199" s="234"/>
      <c r="JMH199" s="234"/>
      <c r="JMI199" s="234"/>
      <c r="JMJ199" s="234"/>
      <c r="JMK199" s="234"/>
      <c r="JML199" s="234"/>
      <c r="JMM199" s="234"/>
      <c r="JMN199" s="234"/>
      <c r="JMO199" s="234"/>
      <c r="JMP199" s="234"/>
      <c r="JMQ199" s="234"/>
      <c r="JMR199" s="234"/>
      <c r="JMS199" s="234"/>
      <c r="JMT199" s="234"/>
      <c r="JMU199" s="234"/>
      <c r="JMV199" s="234"/>
      <c r="JMW199" s="234"/>
      <c r="JMX199" s="234"/>
      <c r="JMY199" s="234"/>
      <c r="JMZ199" s="234"/>
      <c r="JNA199" s="234"/>
      <c r="JNB199" s="234"/>
      <c r="JNC199" s="234"/>
      <c r="JND199" s="234"/>
      <c r="JNE199" s="234"/>
      <c r="JNF199" s="234"/>
      <c r="JNG199" s="234"/>
      <c r="JNH199" s="234"/>
      <c r="JNI199" s="234"/>
      <c r="JNJ199" s="234"/>
      <c r="JNK199" s="234"/>
      <c r="JNL199" s="234"/>
      <c r="JNM199" s="234"/>
      <c r="JNN199" s="234"/>
      <c r="JNO199" s="234"/>
      <c r="JNP199" s="234"/>
      <c r="JNQ199" s="234"/>
      <c r="JNR199" s="234"/>
      <c r="JNS199" s="234"/>
      <c r="JNT199" s="234"/>
      <c r="JNU199" s="234"/>
      <c r="JNV199" s="234"/>
      <c r="JNW199" s="234"/>
      <c r="JNX199" s="234"/>
      <c r="JNY199" s="234"/>
      <c r="JNZ199" s="234"/>
      <c r="JOA199" s="234"/>
      <c r="JOB199" s="234"/>
      <c r="JOC199" s="234"/>
      <c r="JOD199" s="234"/>
      <c r="JOE199" s="234"/>
      <c r="JOF199" s="234"/>
      <c r="JOG199" s="234"/>
      <c r="JOH199" s="234"/>
      <c r="JOI199" s="234"/>
      <c r="JOJ199" s="234"/>
      <c r="JOK199" s="234"/>
      <c r="JOL199" s="234"/>
      <c r="JOM199" s="234"/>
      <c r="JON199" s="234"/>
      <c r="JOO199" s="234"/>
      <c r="JOP199" s="234"/>
      <c r="JOQ199" s="234"/>
      <c r="JOR199" s="234"/>
      <c r="JOS199" s="234"/>
      <c r="JOT199" s="234"/>
      <c r="JOU199" s="234"/>
      <c r="JOV199" s="234"/>
      <c r="JOW199" s="234"/>
      <c r="JOX199" s="234"/>
      <c r="JOY199" s="234"/>
      <c r="JOZ199" s="234"/>
      <c r="JPA199" s="234"/>
      <c r="JPB199" s="234"/>
      <c r="JPC199" s="234"/>
      <c r="JPD199" s="234"/>
      <c r="JPE199" s="234"/>
      <c r="JPF199" s="234"/>
      <c r="JPG199" s="234"/>
      <c r="JPH199" s="234"/>
      <c r="JPI199" s="234"/>
      <c r="JPJ199" s="234"/>
      <c r="JPK199" s="234"/>
      <c r="JPL199" s="234"/>
      <c r="JPM199" s="234"/>
      <c r="JPN199" s="234"/>
      <c r="JPO199" s="234"/>
      <c r="JPP199" s="234"/>
      <c r="JPQ199" s="234"/>
      <c r="JPR199" s="234"/>
      <c r="JPS199" s="234"/>
      <c r="JPT199" s="234"/>
      <c r="JPU199" s="234"/>
      <c r="JPV199" s="234"/>
      <c r="JPW199" s="234"/>
      <c r="JPX199" s="234"/>
      <c r="JPY199" s="234"/>
      <c r="JPZ199" s="234"/>
      <c r="JQA199" s="234"/>
      <c r="JQB199" s="234"/>
      <c r="JQC199" s="234"/>
      <c r="JQD199" s="234"/>
      <c r="JQE199" s="234"/>
      <c r="JQF199" s="234"/>
      <c r="JQG199" s="234"/>
      <c r="JQH199" s="234"/>
      <c r="JQI199" s="234"/>
      <c r="JQJ199" s="234"/>
      <c r="JQK199" s="234"/>
      <c r="JQL199" s="234"/>
      <c r="JQM199" s="234"/>
      <c r="JQN199" s="234"/>
      <c r="JQO199" s="234"/>
      <c r="JQP199" s="234"/>
      <c r="JQQ199" s="234"/>
      <c r="JQR199" s="234"/>
      <c r="JQS199" s="234"/>
      <c r="JQT199" s="234"/>
      <c r="JQU199" s="234"/>
      <c r="JQV199" s="234"/>
      <c r="JQW199" s="234"/>
      <c r="JQX199" s="234"/>
      <c r="JQY199" s="234"/>
      <c r="JQZ199" s="234"/>
      <c r="JRA199" s="234"/>
      <c r="JRB199" s="234"/>
      <c r="JRC199" s="234"/>
      <c r="JRD199" s="234"/>
      <c r="JRE199" s="234"/>
      <c r="JRF199" s="234"/>
      <c r="JRG199" s="234"/>
      <c r="JRH199" s="234"/>
      <c r="JRI199" s="234"/>
      <c r="JRJ199" s="234"/>
      <c r="JRK199" s="234"/>
      <c r="JRL199" s="234"/>
      <c r="JRM199" s="234"/>
      <c r="JRN199" s="234"/>
      <c r="JRO199" s="234"/>
      <c r="JRP199" s="234"/>
      <c r="JRQ199" s="234"/>
      <c r="JRR199" s="234"/>
      <c r="JRS199" s="234"/>
      <c r="JRT199" s="234"/>
      <c r="JRU199" s="234"/>
      <c r="JRV199" s="234"/>
      <c r="JRW199" s="234"/>
      <c r="JRX199" s="234"/>
      <c r="JRY199" s="234"/>
      <c r="JRZ199" s="234"/>
      <c r="JSA199" s="234"/>
      <c r="JSB199" s="234"/>
      <c r="JSC199" s="234"/>
      <c r="JSD199" s="234"/>
      <c r="JSE199" s="234"/>
      <c r="JSF199" s="234"/>
      <c r="JSG199" s="234"/>
      <c r="JSH199" s="234"/>
      <c r="JSI199" s="234"/>
      <c r="JSJ199" s="234"/>
      <c r="JSK199" s="234"/>
      <c r="JSL199" s="234"/>
      <c r="JSM199" s="234"/>
      <c r="JSN199" s="234"/>
      <c r="JSO199" s="234"/>
      <c r="JSP199" s="234"/>
      <c r="JSQ199" s="234"/>
      <c r="JSR199" s="234"/>
      <c r="JSS199" s="234"/>
      <c r="JST199" s="234"/>
      <c r="JSU199" s="234"/>
      <c r="JSV199" s="234"/>
      <c r="JSW199" s="234"/>
      <c r="JSX199" s="234"/>
      <c r="JSY199" s="234"/>
      <c r="JSZ199" s="234"/>
      <c r="JTA199" s="234"/>
      <c r="JTB199" s="234"/>
      <c r="JTC199" s="234"/>
      <c r="JTD199" s="234"/>
      <c r="JTE199" s="234"/>
      <c r="JTF199" s="234"/>
      <c r="JTG199" s="234"/>
      <c r="JTH199" s="234"/>
      <c r="JTI199" s="234"/>
      <c r="JTJ199" s="234"/>
      <c r="JTK199" s="234"/>
      <c r="JTL199" s="234"/>
      <c r="JTM199" s="234"/>
      <c r="JTN199" s="234"/>
      <c r="JTO199" s="234"/>
      <c r="JTP199" s="234"/>
      <c r="JTQ199" s="234"/>
      <c r="JTR199" s="234"/>
      <c r="JTS199" s="234"/>
      <c r="JTT199" s="234"/>
      <c r="JTU199" s="234"/>
      <c r="JTV199" s="234"/>
      <c r="JTW199" s="234"/>
      <c r="JTX199" s="234"/>
      <c r="JTY199" s="234"/>
      <c r="JTZ199" s="234"/>
      <c r="JUA199" s="234"/>
      <c r="JUB199" s="234"/>
      <c r="JUC199" s="234"/>
      <c r="JUD199" s="234"/>
      <c r="JUE199" s="234"/>
      <c r="JUF199" s="234"/>
      <c r="JUG199" s="234"/>
      <c r="JUH199" s="234"/>
      <c r="JUI199" s="234"/>
      <c r="JUJ199" s="234"/>
      <c r="JUK199" s="234"/>
      <c r="JUL199" s="234"/>
      <c r="JUM199" s="234"/>
      <c r="JUN199" s="234"/>
      <c r="JUO199" s="234"/>
      <c r="JUP199" s="234"/>
      <c r="JUQ199" s="234"/>
      <c r="JUR199" s="234"/>
      <c r="JUS199" s="234"/>
      <c r="JUT199" s="234"/>
      <c r="JUU199" s="234"/>
      <c r="JUV199" s="234"/>
      <c r="JUW199" s="234"/>
      <c r="JUX199" s="234"/>
      <c r="JUY199" s="234"/>
      <c r="JUZ199" s="234"/>
      <c r="JVA199" s="234"/>
      <c r="JVB199" s="234"/>
      <c r="JVC199" s="234"/>
      <c r="JVD199" s="234"/>
      <c r="JVE199" s="234"/>
      <c r="JVF199" s="234"/>
      <c r="JVG199" s="234"/>
      <c r="JVH199" s="234"/>
      <c r="JVI199" s="234"/>
      <c r="JVJ199" s="234"/>
      <c r="JVK199" s="234"/>
      <c r="JVL199" s="234"/>
      <c r="JVM199" s="234"/>
      <c r="JVN199" s="234"/>
      <c r="JVO199" s="234"/>
      <c r="JVP199" s="234"/>
      <c r="JVQ199" s="234"/>
      <c r="JVR199" s="234"/>
      <c r="JVS199" s="234"/>
      <c r="JVT199" s="234"/>
      <c r="JVU199" s="234"/>
      <c r="JVV199" s="234"/>
      <c r="JVW199" s="234"/>
      <c r="JVX199" s="234"/>
      <c r="JVY199" s="234"/>
      <c r="JVZ199" s="234"/>
      <c r="JWA199" s="234"/>
      <c r="JWB199" s="234"/>
      <c r="JWC199" s="234"/>
      <c r="JWD199" s="234"/>
      <c r="JWE199" s="234"/>
      <c r="JWF199" s="234"/>
      <c r="JWG199" s="234"/>
      <c r="JWH199" s="234"/>
      <c r="JWI199" s="234"/>
      <c r="JWJ199" s="234"/>
      <c r="JWK199" s="234"/>
      <c r="JWL199" s="234"/>
      <c r="JWM199" s="234"/>
      <c r="JWN199" s="234"/>
      <c r="JWO199" s="234"/>
      <c r="JWP199" s="234"/>
      <c r="JWQ199" s="234"/>
      <c r="JWR199" s="234"/>
      <c r="JWS199" s="234"/>
      <c r="JWT199" s="234"/>
      <c r="JWU199" s="234"/>
      <c r="JWV199" s="234"/>
      <c r="JWW199" s="234"/>
      <c r="JWX199" s="234"/>
      <c r="JWY199" s="234"/>
      <c r="JWZ199" s="234"/>
      <c r="JXA199" s="234"/>
      <c r="JXB199" s="234"/>
      <c r="JXC199" s="234"/>
      <c r="JXD199" s="234"/>
      <c r="JXE199" s="234"/>
      <c r="JXF199" s="234"/>
      <c r="JXG199" s="234"/>
      <c r="JXH199" s="234"/>
      <c r="JXI199" s="234"/>
      <c r="JXJ199" s="234"/>
      <c r="JXK199" s="234"/>
      <c r="JXL199" s="234"/>
      <c r="JXM199" s="234"/>
      <c r="JXN199" s="234"/>
      <c r="JXO199" s="234"/>
      <c r="JXP199" s="234"/>
      <c r="JXQ199" s="234"/>
      <c r="JXR199" s="234"/>
      <c r="JXS199" s="234"/>
      <c r="JXT199" s="234"/>
      <c r="JXU199" s="234"/>
      <c r="JXV199" s="234"/>
      <c r="JXW199" s="234"/>
      <c r="JXX199" s="234"/>
      <c r="JXY199" s="234"/>
      <c r="JXZ199" s="234"/>
      <c r="JYA199" s="234"/>
      <c r="JYB199" s="234"/>
      <c r="JYC199" s="234"/>
      <c r="JYD199" s="234"/>
      <c r="JYE199" s="234"/>
      <c r="JYF199" s="234"/>
      <c r="JYG199" s="234"/>
      <c r="JYH199" s="234"/>
      <c r="JYI199" s="234"/>
      <c r="JYJ199" s="234"/>
      <c r="JYK199" s="234"/>
      <c r="JYL199" s="234"/>
      <c r="JYM199" s="234"/>
      <c r="JYN199" s="234"/>
      <c r="JYO199" s="234"/>
      <c r="JYP199" s="234"/>
      <c r="JYQ199" s="234"/>
      <c r="JYR199" s="234"/>
      <c r="JYS199" s="234"/>
      <c r="JYT199" s="234"/>
      <c r="JYU199" s="234"/>
      <c r="JYV199" s="234"/>
      <c r="JYW199" s="234"/>
      <c r="JYX199" s="234"/>
      <c r="JYY199" s="234"/>
      <c r="JYZ199" s="234"/>
      <c r="JZA199" s="234"/>
      <c r="JZB199" s="234"/>
      <c r="JZC199" s="234"/>
      <c r="JZD199" s="234"/>
      <c r="JZE199" s="234"/>
      <c r="JZF199" s="234"/>
      <c r="JZG199" s="234"/>
      <c r="JZH199" s="234"/>
      <c r="JZI199" s="234"/>
      <c r="JZJ199" s="234"/>
      <c r="JZK199" s="234"/>
      <c r="JZL199" s="234"/>
      <c r="JZM199" s="234"/>
      <c r="JZN199" s="234"/>
      <c r="JZO199" s="234"/>
      <c r="JZP199" s="234"/>
      <c r="JZQ199" s="234"/>
      <c r="JZR199" s="234"/>
      <c r="JZS199" s="234"/>
      <c r="JZT199" s="234"/>
      <c r="JZU199" s="234"/>
      <c r="JZV199" s="234"/>
      <c r="JZW199" s="234"/>
      <c r="JZX199" s="234"/>
      <c r="JZY199" s="234"/>
      <c r="JZZ199" s="234"/>
      <c r="KAA199" s="234"/>
      <c r="KAB199" s="234"/>
      <c r="KAC199" s="234"/>
      <c r="KAD199" s="234"/>
      <c r="KAE199" s="234"/>
      <c r="KAF199" s="234"/>
      <c r="KAG199" s="234"/>
      <c r="KAH199" s="234"/>
      <c r="KAI199" s="234"/>
      <c r="KAJ199" s="234"/>
      <c r="KAK199" s="234"/>
      <c r="KAL199" s="234"/>
      <c r="KAM199" s="234"/>
      <c r="KAN199" s="234"/>
      <c r="KAO199" s="234"/>
      <c r="KAP199" s="234"/>
      <c r="KAQ199" s="234"/>
      <c r="KAR199" s="234"/>
      <c r="KAS199" s="234"/>
      <c r="KAT199" s="234"/>
      <c r="KAU199" s="234"/>
      <c r="KAV199" s="234"/>
      <c r="KAW199" s="234"/>
      <c r="KAX199" s="234"/>
      <c r="KAY199" s="234"/>
      <c r="KAZ199" s="234"/>
      <c r="KBA199" s="234"/>
      <c r="KBB199" s="234"/>
      <c r="KBC199" s="234"/>
      <c r="KBD199" s="234"/>
      <c r="KBE199" s="234"/>
      <c r="KBF199" s="234"/>
      <c r="KBG199" s="234"/>
      <c r="KBH199" s="234"/>
      <c r="KBI199" s="234"/>
      <c r="KBJ199" s="234"/>
      <c r="KBK199" s="234"/>
      <c r="KBL199" s="234"/>
      <c r="KBM199" s="234"/>
      <c r="KBN199" s="234"/>
      <c r="KBO199" s="234"/>
      <c r="KBP199" s="234"/>
      <c r="KBQ199" s="234"/>
      <c r="KBR199" s="234"/>
      <c r="KBS199" s="234"/>
      <c r="KBT199" s="234"/>
      <c r="KBU199" s="234"/>
      <c r="KBV199" s="234"/>
      <c r="KBW199" s="234"/>
      <c r="KBX199" s="234"/>
      <c r="KBY199" s="234"/>
      <c r="KBZ199" s="234"/>
      <c r="KCA199" s="234"/>
      <c r="KCB199" s="234"/>
      <c r="KCC199" s="234"/>
      <c r="KCD199" s="234"/>
      <c r="KCE199" s="234"/>
      <c r="KCF199" s="234"/>
      <c r="KCG199" s="234"/>
      <c r="KCH199" s="234"/>
      <c r="KCI199" s="234"/>
      <c r="KCJ199" s="234"/>
      <c r="KCK199" s="234"/>
      <c r="KCL199" s="234"/>
      <c r="KCM199" s="234"/>
      <c r="KCN199" s="234"/>
      <c r="KCO199" s="234"/>
      <c r="KCP199" s="234"/>
      <c r="KCQ199" s="234"/>
      <c r="KCR199" s="234"/>
      <c r="KCS199" s="234"/>
      <c r="KCT199" s="234"/>
      <c r="KCU199" s="234"/>
      <c r="KCV199" s="234"/>
      <c r="KCW199" s="234"/>
      <c r="KCX199" s="234"/>
      <c r="KCY199" s="234"/>
      <c r="KCZ199" s="234"/>
      <c r="KDA199" s="234"/>
      <c r="KDB199" s="234"/>
      <c r="KDC199" s="234"/>
      <c r="KDD199" s="234"/>
      <c r="KDE199" s="234"/>
      <c r="KDF199" s="234"/>
      <c r="KDG199" s="234"/>
      <c r="KDH199" s="234"/>
      <c r="KDI199" s="234"/>
      <c r="KDJ199" s="234"/>
      <c r="KDK199" s="234"/>
      <c r="KDL199" s="234"/>
      <c r="KDM199" s="234"/>
      <c r="KDN199" s="234"/>
      <c r="KDO199" s="234"/>
      <c r="KDP199" s="234"/>
      <c r="KDQ199" s="234"/>
      <c r="KDR199" s="234"/>
      <c r="KDS199" s="234"/>
      <c r="KDT199" s="234"/>
      <c r="KDU199" s="234"/>
      <c r="KDV199" s="234"/>
      <c r="KDW199" s="234"/>
      <c r="KDX199" s="234"/>
      <c r="KDY199" s="234"/>
      <c r="KDZ199" s="234"/>
      <c r="KEA199" s="234"/>
      <c r="KEB199" s="234"/>
      <c r="KEC199" s="234"/>
      <c r="KED199" s="234"/>
      <c r="KEE199" s="234"/>
      <c r="KEF199" s="234"/>
      <c r="KEG199" s="234"/>
      <c r="KEH199" s="234"/>
      <c r="KEI199" s="234"/>
      <c r="KEJ199" s="234"/>
      <c r="KEK199" s="234"/>
      <c r="KEL199" s="234"/>
      <c r="KEM199" s="234"/>
      <c r="KEN199" s="234"/>
      <c r="KEO199" s="234"/>
      <c r="KEP199" s="234"/>
      <c r="KEQ199" s="234"/>
      <c r="KER199" s="234"/>
      <c r="KES199" s="234"/>
      <c r="KET199" s="234"/>
      <c r="KEU199" s="234"/>
      <c r="KEV199" s="234"/>
      <c r="KEW199" s="234"/>
      <c r="KEX199" s="234"/>
      <c r="KEY199" s="234"/>
      <c r="KEZ199" s="234"/>
      <c r="KFA199" s="234"/>
      <c r="KFB199" s="234"/>
      <c r="KFC199" s="234"/>
      <c r="KFD199" s="234"/>
      <c r="KFE199" s="234"/>
      <c r="KFF199" s="234"/>
      <c r="KFG199" s="234"/>
      <c r="KFH199" s="234"/>
      <c r="KFI199" s="234"/>
      <c r="KFJ199" s="234"/>
      <c r="KFK199" s="234"/>
      <c r="KFL199" s="234"/>
      <c r="KFM199" s="234"/>
      <c r="KFN199" s="234"/>
      <c r="KFO199" s="234"/>
      <c r="KFP199" s="234"/>
      <c r="KFQ199" s="234"/>
      <c r="KFR199" s="234"/>
      <c r="KFS199" s="234"/>
      <c r="KFT199" s="234"/>
      <c r="KFU199" s="234"/>
      <c r="KFV199" s="234"/>
      <c r="KFW199" s="234"/>
      <c r="KFX199" s="234"/>
      <c r="KFY199" s="234"/>
      <c r="KFZ199" s="234"/>
      <c r="KGA199" s="234"/>
      <c r="KGB199" s="234"/>
      <c r="KGC199" s="234"/>
      <c r="KGD199" s="234"/>
      <c r="KGE199" s="234"/>
      <c r="KGF199" s="234"/>
      <c r="KGG199" s="234"/>
      <c r="KGH199" s="234"/>
      <c r="KGI199" s="234"/>
      <c r="KGJ199" s="234"/>
      <c r="KGK199" s="234"/>
      <c r="KGL199" s="234"/>
      <c r="KGM199" s="234"/>
      <c r="KGN199" s="234"/>
      <c r="KGO199" s="234"/>
      <c r="KGP199" s="234"/>
      <c r="KGQ199" s="234"/>
      <c r="KGR199" s="234"/>
      <c r="KGS199" s="234"/>
      <c r="KGT199" s="234"/>
      <c r="KGU199" s="234"/>
      <c r="KGV199" s="234"/>
      <c r="KGW199" s="234"/>
      <c r="KGX199" s="234"/>
      <c r="KGY199" s="234"/>
      <c r="KGZ199" s="234"/>
      <c r="KHA199" s="234"/>
      <c r="KHB199" s="234"/>
      <c r="KHC199" s="234"/>
      <c r="KHD199" s="234"/>
      <c r="KHE199" s="234"/>
      <c r="KHF199" s="234"/>
      <c r="KHG199" s="234"/>
      <c r="KHH199" s="234"/>
      <c r="KHI199" s="234"/>
      <c r="KHJ199" s="234"/>
      <c r="KHK199" s="234"/>
      <c r="KHL199" s="234"/>
      <c r="KHM199" s="234"/>
      <c r="KHN199" s="234"/>
      <c r="KHO199" s="234"/>
      <c r="KHP199" s="234"/>
      <c r="KHQ199" s="234"/>
      <c r="KHR199" s="234"/>
      <c r="KHS199" s="234"/>
      <c r="KHT199" s="234"/>
      <c r="KHU199" s="234"/>
      <c r="KHV199" s="234"/>
      <c r="KHW199" s="234"/>
      <c r="KHX199" s="234"/>
      <c r="KHY199" s="234"/>
      <c r="KHZ199" s="234"/>
      <c r="KIA199" s="234"/>
      <c r="KIB199" s="234"/>
      <c r="KIC199" s="234"/>
      <c r="KID199" s="234"/>
      <c r="KIE199" s="234"/>
      <c r="KIF199" s="234"/>
      <c r="KIG199" s="234"/>
      <c r="KIH199" s="234"/>
      <c r="KII199" s="234"/>
      <c r="KIJ199" s="234"/>
      <c r="KIK199" s="234"/>
      <c r="KIL199" s="234"/>
      <c r="KIM199" s="234"/>
      <c r="KIN199" s="234"/>
      <c r="KIO199" s="234"/>
      <c r="KIP199" s="234"/>
      <c r="KIQ199" s="234"/>
      <c r="KIR199" s="234"/>
      <c r="KIS199" s="234"/>
      <c r="KIT199" s="234"/>
      <c r="KIU199" s="234"/>
      <c r="KIV199" s="234"/>
      <c r="KIW199" s="234"/>
      <c r="KIX199" s="234"/>
      <c r="KIY199" s="234"/>
      <c r="KIZ199" s="234"/>
      <c r="KJA199" s="234"/>
      <c r="KJB199" s="234"/>
      <c r="KJC199" s="234"/>
      <c r="KJD199" s="234"/>
      <c r="KJE199" s="234"/>
      <c r="KJF199" s="234"/>
      <c r="KJG199" s="234"/>
      <c r="KJH199" s="234"/>
      <c r="KJI199" s="234"/>
      <c r="KJJ199" s="234"/>
      <c r="KJK199" s="234"/>
      <c r="KJL199" s="234"/>
      <c r="KJM199" s="234"/>
      <c r="KJN199" s="234"/>
      <c r="KJO199" s="234"/>
      <c r="KJP199" s="234"/>
      <c r="KJQ199" s="234"/>
      <c r="KJR199" s="234"/>
      <c r="KJS199" s="234"/>
      <c r="KJT199" s="234"/>
      <c r="KJU199" s="234"/>
      <c r="KJV199" s="234"/>
      <c r="KJW199" s="234"/>
      <c r="KJX199" s="234"/>
      <c r="KJY199" s="234"/>
      <c r="KJZ199" s="234"/>
      <c r="KKA199" s="234"/>
      <c r="KKB199" s="234"/>
      <c r="KKC199" s="234"/>
      <c r="KKD199" s="234"/>
      <c r="KKE199" s="234"/>
      <c r="KKF199" s="234"/>
      <c r="KKG199" s="234"/>
      <c r="KKH199" s="234"/>
      <c r="KKI199" s="234"/>
      <c r="KKJ199" s="234"/>
      <c r="KKK199" s="234"/>
      <c r="KKL199" s="234"/>
      <c r="KKM199" s="234"/>
      <c r="KKN199" s="234"/>
      <c r="KKO199" s="234"/>
      <c r="KKP199" s="234"/>
      <c r="KKQ199" s="234"/>
      <c r="KKR199" s="234"/>
      <c r="KKS199" s="234"/>
      <c r="KKT199" s="234"/>
      <c r="KKU199" s="234"/>
      <c r="KKV199" s="234"/>
      <c r="KKW199" s="234"/>
      <c r="KKX199" s="234"/>
      <c r="KKY199" s="234"/>
      <c r="KKZ199" s="234"/>
      <c r="KLA199" s="234"/>
      <c r="KLB199" s="234"/>
      <c r="KLC199" s="234"/>
      <c r="KLD199" s="234"/>
      <c r="KLE199" s="234"/>
      <c r="KLF199" s="234"/>
      <c r="KLG199" s="234"/>
      <c r="KLH199" s="234"/>
      <c r="KLI199" s="234"/>
      <c r="KLJ199" s="234"/>
      <c r="KLK199" s="234"/>
      <c r="KLL199" s="234"/>
      <c r="KLM199" s="234"/>
      <c r="KLN199" s="234"/>
      <c r="KLO199" s="234"/>
      <c r="KLP199" s="234"/>
      <c r="KLQ199" s="234"/>
      <c r="KLR199" s="234"/>
      <c r="KLS199" s="234"/>
      <c r="KLT199" s="234"/>
      <c r="KLU199" s="234"/>
      <c r="KLV199" s="234"/>
      <c r="KLW199" s="234"/>
      <c r="KLX199" s="234"/>
      <c r="KLY199" s="234"/>
      <c r="KLZ199" s="234"/>
      <c r="KMA199" s="234"/>
      <c r="KMB199" s="234"/>
      <c r="KMC199" s="234"/>
      <c r="KMD199" s="234"/>
      <c r="KME199" s="234"/>
      <c r="KMF199" s="234"/>
      <c r="KMG199" s="234"/>
      <c r="KMH199" s="234"/>
      <c r="KMI199" s="234"/>
      <c r="KMJ199" s="234"/>
      <c r="KMK199" s="234"/>
      <c r="KML199" s="234"/>
      <c r="KMM199" s="234"/>
      <c r="KMN199" s="234"/>
      <c r="KMO199" s="234"/>
      <c r="KMP199" s="234"/>
      <c r="KMQ199" s="234"/>
      <c r="KMR199" s="234"/>
      <c r="KMS199" s="234"/>
      <c r="KMT199" s="234"/>
      <c r="KMU199" s="234"/>
      <c r="KMV199" s="234"/>
      <c r="KMW199" s="234"/>
      <c r="KMX199" s="234"/>
      <c r="KMY199" s="234"/>
      <c r="KMZ199" s="234"/>
      <c r="KNA199" s="234"/>
      <c r="KNB199" s="234"/>
      <c r="KNC199" s="234"/>
      <c r="KND199" s="234"/>
      <c r="KNE199" s="234"/>
      <c r="KNF199" s="234"/>
      <c r="KNG199" s="234"/>
      <c r="KNH199" s="234"/>
      <c r="KNI199" s="234"/>
      <c r="KNJ199" s="234"/>
      <c r="KNK199" s="234"/>
      <c r="KNL199" s="234"/>
      <c r="KNM199" s="234"/>
      <c r="KNN199" s="234"/>
      <c r="KNO199" s="234"/>
      <c r="KNP199" s="234"/>
      <c r="KNQ199" s="234"/>
      <c r="KNR199" s="234"/>
      <c r="KNS199" s="234"/>
      <c r="KNT199" s="234"/>
      <c r="KNU199" s="234"/>
      <c r="KNV199" s="234"/>
      <c r="KNW199" s="234"/>
      <c r="KNX199" s="234"/>
      <c r="KNY199" s="234"/>
      <c r="KNZ199" s="234"/>
      <c r="KOA199" s="234"/>
      <c r="KOB199" s="234"/>
      <c r="KOC199" s="234"/>
      <c r="KOD199" s="234"/>
      <c r="KOE199" s="234"/>
      <c r="KOF199" s="234"/>
      <c r="KOG199" s="234"/>
      <c r="KOH199" s="234"/>
      <c r="KOI199" s="234"/>
      <c r="KOJ199" s="234"/>
      <c r="KOK199" s="234"/>
      <c r="KOL199" s="234"/>
      <c r="KOM199" s="234"/>
      <c r="KON199" s="234"/>
      <c r="KOO199" s="234"/>
      <c r="KOP199" s="234"/>
      <c r="KOQ199" s="234"/>
      <c r="KOR199" s="234"/>
      <c r="KOS199" s="234"/>
      <c r="KOT199" s="234"/>
      <c r="KOU199" s="234"/>
      <c r="KOV199" s="234"/>
      <c r="KOW199" s="234"/>
      <c r="KOX199" s="234"/>
      <c r="KOY199" s="234"/>
      <c r="KOZ199" s="234"/>
      <c r="KPA199" s="234"/>
      <c r="KPB199" s="234"/>
      <c r="KPC199" s="234"/>
      <c r="KPD199" s="234"/>
      <c r="KPE199" s="234"/>
      <c r="KPF199" s="234"/>
      <c r="KPG199" s="234"/>
      <c r="KPH199" s="234"/>
      <c r="KPI199" s="234"/>
      <c r="KPJ199" s="234"/>
      <c r="KPK199" s="234"/>
      <c r="KPL199" s="234"/>
      <c r="KPM199" s="234"/>
      <c r="KPN199" s="234"/>
      <c r="KPO199" s="234"/>
      <c r="KPP199" s="234"/>
      <c r="KPQ199" s="234"/>
      <c r="KPR199" s="234"/>
      <c r="KPS199" s="234"/>
      <c r="KPT199" s="234"/>
      <c r="KPU199" s="234"/>
      <c r="KPV199" s="234"/>
      <c r="KPW199" s="234"/>
      <c r="KPX199" s="234"/>
      <c r="KPY199" s="234"/>
      <c r="KPZ199" s="234"/>
      <c r="KQA199" s="234"/>
      <c r="KQB199" s="234"/>
      <c r="KQC199" s="234"/>
      <c r="KQD199" s="234"/>
      <c r="KQE199" s="234"/>
      <c r="KQF199" s="234"/>
      <c r="KQG199" s="234"/>
      <c r="KQH199" s="234"/>
      <c r="KQI199" s="234"/>
      <c r="KQJ199" s="234"/>
      <c r="KQK199" s="234"/>
      <c r="KQL199" s="234"/>
      <c r="KQM199" s="234"/>
      <c r="KQN199" s="234"/>
      <c r="KQO199" s="234"/>
      <c r="KQP199" s="234"/>
      <c r="KQQ199" s="234"/>
      <c r="KQR199" s="234"/>
      <c r="KQS199" s="234"/>
      <c r="KQT199" s="234"/>
      <c r="KQU199" s="234"/>
      <c r="KQV199" s="234"/>
      <c r="KQW199" s="234"/>
      <c r="KQX199" s="234"/>
      <c r="KQY199" s="234"/>
      <c r="KQZ199" s="234"/>
      <c r="KRA199" s="234"/>
      <c r="KRB199" s="234"/>
      <c r="KRC199" s="234"/>
      <c r="KRD199" s="234"/>
      <c r="KRE199" s="234"/>
      <c r="KRF199" s="234"/>
      <c r="KRG199" s="234"/>
      <c r="KRH199" s="234"/>
      <c r="KRI199" s="234"/>
      <c r="KRJ199" s="234"/>
      <c r="KRK199" s="234"/>
      <c r="KRL199" s="234"/>
      <c r="KRM199" s="234"/>
      <c r="KRN199" s="234"/>
      <c r="KRO199" s="234"/>
      <c r="KRP199" s="234"/>
      <c r="KRQ199" s="234"/>
      <c r="KRR199" s="234"/>
      <c r="KRS199" s="234"/>
      <c r="KRT199" s="234"/>
      <c r="KRU199" s="234"/>
      <c r="KRV199" s="234"/>
      <c r="KRW199" s="234"/>
      <c r="KRX199" s="234"/>
      <c r="KRY199" s="234"/>
      <c r="KRZ199" s="234"/>
      <c r="KSA199" s="234"/>
      <c r="KSB199" s="234"/>
      <c r="KSC199" s="234"/>
      <c r="KSD199" s="234"/>
      <c r="KSE199" s="234"/>
      <c r="KSF199" s="234"/>
      <c r="KSG199" s="234"/>
      <c r="KSH199" s="234"/>
      <c r="KSI199" s="234"/>
      <c r="KSJ199" s="234"/>
      <c r="KSK199" s="234"/>
      <c r="KSL199" s="234"/>
      <c r="KSM199" s="234"/>
      <c r="KSN199" s="234"/>
      <c r="KSO199" s="234"/>
      <c r="KSP199" s="234"/>
      <c r="KSQ199" s="234"/>
      <c r="KSR199" s="234"/>
      <c r="KSS199" s="234"/>
      <c r="KST199" s="234"/>
      <c r="KSU199" s="234"/>
      <c r="KSV199" s="234"/>
      <c r="KSW199" s="234"/>
      <c r="KSX199" s="234"/>
      <c r="KSY199" s="234"/>
      <c r="KSZ199" s="234"/>
      <c r="KTA199" s="234"/>
      <c r="KTB199" s="234"/>
      <c r="KTC199" s="234"/>
      <c r="KTD199" s="234"/>
      <c r="KTE199" s="234"/>
      <c r="KTF199" s="234"/>
      <c r="KTG199" s="234"/>
      <c r="KTH199" s="234"/>
      <c r="KTI199" s="234"/>
      <c r="KTJ199" s="234"/>
      <c r="KTK199" s="234"/>
      <c r="KTL199" s="234"/>
      <c r="KTM199" s="234"/>
      <c r="KTN199" s="234"/>
      <c r="KTO199" s="234"/>
      <c r="KTP199" s="234"/>
      <c r="KTQ199" s="234"/>
      <c r="KTR199" s="234"/>
      <c r="KTS199" s="234"/>
      <c r="KTT199" s="234"/>
      <c r="KTU199" s="234"/>
      <c r="KTV199" s="234"/>
      <c r="KTW199" s="234"/>
      <c r="KTX199" s="234"/>
      <c r="KTY199" s="234"/>
      <c r="KTZ199" s="234"/>
      <c r="KUA199" s="234"/>
      <c r="KUB199" s="234"/>
      <c r="KUC199" s="234"/>
      <c r="KUD199" s="234"/>
      <c r="KUE199" s="234"/>
      <c r="KUF199" s="234"/>
      <c r="KUG199" s="234"/>
      <c r="KUH199" s="234"/>
      <c r="KUI199" s="234"/>
      <c r="KUJ199" s="234"/>
      <c r="KUK199" s="234"/>
      <c r="KUL199" s="234"/>
      <c r="KUM199" s="234"/>
      <c r="KUN199" s="234"/>
      <c r="KUO199" s="234"/>
      <c r="KUP199" s="234"/>
      <c r="KUQ199" s="234"/>
      <c r="KUR199" s="234"/>
      <c r="KUS199" s="234"/>
      <c r="KUT199" s="234"/>
      <c r="KUU199" s="234"/>
      <c r="KUV199" s="234"/>
      <c r="KUW199" s="234"/>
      <c r="KUX199" s="234"/>
      <c r="KUY199" s="234"/>
      <c r="KUZ199" s="234"/>
      <c r="KVA199" s="234"/>
      <c r="KVB199" s="234"/>
      <c r="KVC199" s="234"/>
      <c r="KVD199" s="234"/>
      <c r="KVE199" s="234"/>
      <c r="KVF199" s="234"/>
      <c r="KVG199" s="234"/>
      <c r="KVH199" s="234"/>
      <c r="KVI199" s="234"/>
      <c r="KVJ199" s="234"/>
      <c r="KVK199" s="234"/>
      <c r="KVL199" s="234"/>
      <c r="KVM199" s="234"/>
      <c r="KVN199" s="234"/>
      <c r="KVO199" s="234"/>
      <c r="KVP199" s="234"/>
      <c r="KVQ199" s="234"/>
      <c r="KVR199" s="234"/>
      <c r="KVS199" s="234"/>
      <c r="KVT199" s="234"/>
      <c r="KVU199" s="234"/>
      <c r="KVV199" s="234"/>
      <c r="KVW199" s="234"/>
      <c r="KVX199" s="234"/>
      <c r="KVY199" s="234"/>
      <c r="KVZ199" s="234"/>
      <c r="KWA199" s="234"/>
      <c r="KWB199" s="234"/>
      <c r="KWC199" s="234"/>
      <c r="KWD199" s="234"/>
      <c r="KWE199" s="234"/>
      <c r="KWF199" s="234"/>
      <c r="KWG199" s="234"/>
      <c r="KWH199" s="234"/>
      <c r="KWI199" s="234"/>
      <c r="KWJ199" s="234"/>
      <c r="KWK199" s="234"/>
      <c r="KWL199" s="234"/>
      <c r="KWM199" s="234"/>
      <c r="KWN199" s="234"/>
      <c r="KWO199" s="234"/>
      <c r="KWP199" s="234"/>
      <c r="KWQ199" s="234"/>
      <c r="KWR199" s="234"/>
      <c r="KWS199" s="234"/>
      <c r="KWT199" s="234"/>
      <c r="KWU199" s="234"/>
      <c r="KWV199" s="234"/>
      <c r="KWW199" s="234"/>
      <c r="KWX199" s="234"/>
      <c r="KWY199" s="234"/>
      <c r="KWZ199" s="234"/>
      <c r="KXA199" s="234"/>
      <c r="KXB199" s="234"/>
      <c r="KXC199" s="234"/>
      <c r="KXD199" s="234"/>
      <c r="KXE199" s="234"/>
      <c r="KXF199" s="234"/>
      <c r="KXG199" s="234"/>
      <c r="KXH199" s="234"/>
      <c r="KXI199" s="234"/>
      <c r="KXJ199" s="234"/>
      <c r="KXK199" s="234"/>
      <c r="KXL199" s="234"/>
      <c r="KXM199" s="234"/>
      <c r="KXN199" s="234"/>
      <c r="KXO199" s="234"/>
      <c r="KXP199" s="234"/>
      <c r="KXQ199" s="234"/>
      <c r="KXR199" s="234"/>
      <c r="KXS199" s="234"/>
      <c r="KXT199" s="234"/>
      <c r="KXU199" s="234"/>
      <c r="KXV199" s="234"/>
      <c r="KXW199" s="234"/>
      <c r="KXX199" s="234"/>
      <c r="KXY199" s="234"/>
      <c r="KXZ199" s="234"/>
      <c r="KYA199" s="234"/>
      <c r="KYB199" s="234"/>
      <c r="KYC199" s="234"/>
      <c r="KYD199" s="234"/>
      <c r="KYE199" s="234"/>
      <c r="KYF199" s="234"/>
      <c r="KYG199" s="234"/>
      <c r="KYH199" s="234"/>
      <c r="KYI199" s="234"/>
      <c r="KYJ199" s="234"/>
      <c r="KYK199" s="234"/>
      <c r="KYL199" s="234"/>
      <c r="KYM199" s="234"/>
      <c r="KYN199" s="234"/>
      <c r="KYO199" s="234"/>
      <c r="KYP199" s="234"/>
      <c r="KYQ199" s="234"/>
      <c r="KYR199" s="234"/>
      <c r="KYS199" s="234"/>
      <c r="KYT199" s="234"/>
      <c r="KYU199" s="234"/>
      <c r="KYV199" s="234"/>
      <c r="KYW199" s="234"/>
      <c r="KYX199" s="234"/>
      <c r="KYY199" s="234"/>
      <c r="KYZ199" s="234"/>
      <c r="KZA199" s="234"/>
      <c r="KZB199" s="234"/>
      <c r="KZC199" s="234"/>
      <c r="KZD199" s="234"/>
      <c r="KZE199" s="234"/>
      <c r="KZF199" s="234"/>
      <c r="KZG199" s="234"/>
      <c r="KZH199" s="234"/>
      <c r="KZI199" s="234"/>
      <c r="KZJ199" s="234"/>
      <c r="KZK199" s="234"/>
      <c r="KZL199" s="234"/>
      <c r="KZM199" s="234"/>
      <c r="KZN199" s="234"/>
      <c r="KZO199" s="234"/>
      <c r="KZP199" s="234"/>
      <c r="KZQ199" s="234"/>
      <c r="KZR199" s="234"/>
      <c r="KZS199" s="234"/>
      <c r="KZT199" s="234"/>
      <c r="KZU199" s="234"/>
      <c r="KZV199" s="234"/>
      <c r="KZW199" s="234"/>
      <c r="KZX199" s="234"/>
      <c r="KZY199" s="234"/>
      <c r="KZZ199" s="234"/>
      <c r="LAA199" s="234"/>
      <c r="LAB199" s="234"/>
      <c r="LAC199" s="234"/>
      <c r="LAD199" s="234"/>
      <c r="LAE199" s="234"/>
      <c r="LAF199" s="234"/>
      <c r="LAG199" s="234"/>
      <c r="LAH199" s="234"/>
      <c r="LAI199" s="234"/>
      <c r="LAJ199" s="234"/>
      <c r="LAK199" s="234"/>
      <c r="LAL199" s="234"/>
      <c r="LAM199" s="234"/>
      <c r="LAN199" s="234"/>
      <c r="LAO199" s="234"/>
      <c r="LAP199" s="234"/>
      <c r="LAQ199" s="234"/>
      <c r="LAR199" s="234"/>
      <c r="LAS199" s="234"/>
      <c r="LAT199" s="234"/>
      <c r="LAU199" s="234"/>
      <c r="LAV199" s="234"/>
      <c r="LAW199" s="234"/>
      <c r="LAX199" s="234"/>
      <c r="LAY199" s="234"/>
      <c r="LAZ199" s="234"/>
      <c r="LBA199" s="234"/>
      <c r="LBB199" s="234"/>
      <c r="LBC199" s="234"/>
      <c r="LBD199" s="234"/>
      <c r="LBE199" s="234"/>
      <c r="LBF199" s="234"/>
      <c r="LBG199" s="234"/>
      <c r="LBH199" s="234"/>
      <c r="LBI199" s="234"/>
      <c r="LBJ199" s="234"/>
      <c r="LBK199" s="234"/>
      <c r="LBL199" s="234"/>
      <c r="LBM199" s="234"/>
      <c r="LBN199" s="234"/>
      <c r="LBO199" s="234"/>
      <c r="LBP199" s="234"/>
      <c r="LBQ199" s="234"/>
      <c r="LBR199" s="234"/>
      <c r="LBS199" s="234"/>
      <c r="LBT199" s="234"/>
      <c r="LBU199" s="234"/>
      <c r="LBV199" s="234"/>
      <c r="LBW199" s="234"/>
      <c r="LBX199" s="234"/>
      <c r="LBY199" s="234"/>
      <c r="LBZ199" s="234"/>
      <c r="LCA199" s="234"/>
      <c r="LCB199" s="234"/>
      <c r="LCC199" s="234"/>
      <c r="LCD199" s="234"/>
      <c r="LCE199" s="234"/>
      <c r="LCF199" s="234"/>
      <c r="LCG199" s="234"/>
      <c r="LCH199" s="234"/>
      <c r="LCI199" s="234"/>
      <c r="LCJ199" s="234"/>
      <c r="LCK199" s="234"/>
      <c r="LCL199" s="234"/>
      <c r="LCM199" s="234"/>
      <c r="LCN199" s="234"/>
      <c r="LCO199" s="234"/>
      <c r="LCP199" s="234"/>
      <c r="LCQ199" s="234"/>
      <c r="LCR199" s="234"/>
      <c r="LCS199" s="234"/>
      <c r="LCT199" s="234"/>
      <c r="LCU199" s="234"/>
      <c r="LCV199" s="234"/>
      <c r="LCW199" s="234"/>
      <c r="LCX199" s="234"/>
      <c r="LCY199" s="234"/>
      <c r="LCZ199" s="234"/>
      <c r="LDA199" s="234"/>
      <c r="LDB199" s="234"/>
      <c r="LDC199" s="234"/>
      <c r="LDD199" s="234"/>
      <c r="LDE199" s="234"/>
      <c r="LDF199" s="234"/>
      <c r="LDG199" s="234"/>
      <c r="LDH199" s="234"/>
      <c r="LDI199" s="234"/>
      <c r="LDJ199" s="234"/>
      <c r="LDK199" s="234"/>
      <c r="LDL199" s="234"/>
      <c r="LDM199" s="234"/>
      <c r="LDN199" s="234"/>
      <c r="LDO199" s="234"/>
      <c r="LDP199" s="234"/>
      <c r="LDQ199" s="234"/>
      <c r="LDR199" s="234"/>
      <c r="LDS199" s="234"/>
      <c r="LDT199" s="234"/>
      <c r="LDU199" s="234"/>
      <c r="LDV199" s="234"/>
      <c r="LDW199" s="234"/>
      <c r="LDX199" s="234"/>
      <c r="LDY199" s="234"/>
      <c r="LDZ199" s="234"/>
      <c r="LEA199" s="234"/>
      <c r="LEB199" s="234"/>
      <c r="LEC199" s="234"/>
      <c r="LED199" s="234"/>
      <c r="LEE199" s="234"/>
      <c r="LEF199" s="234"/>
      <c r="LEG199" s="234"/>
      <c r="LEH199" s="234"/>
      <c r="LEI199" s="234"/>
      <c r="LEJ199" s="234"/>
      <c r="LEK199" s="234"/>
      <c r="LEL199" s="234"/>
      <c r="LEM199" s="234"/>
      <c r="LEN199" s="234"/>
      <c r="LEO199" s="234"/>
      <c r="LEP199" s="234"/>
      <c r="LEQ199" s="234"/>
      <c r="LER199" s="234"/>
      <c r="LES199" s="234"/>
      <c r="LET199" s="234"/>
      <c r="LEU199" s="234"/>
      <c r="LEV199" s="234"/>
      <c r="LEW199" s="234"/>
      <c r="LEX199" s="234"/>
      <c r="LEY199" s="234"/>
      <c r="LEZ199" s="234"/>
      <c r="LFA199" s="234"/>
      <c r="LFB199" s="234"/>
      <c r="LFC199" s="234"/>
      <c r="LFD199" s="234"/>
      <c r="LFE199" s="234"/>
      <c r="LFF199" s="234"/>
      <c r="LFG199" s="234"/>
      <c r="LFH199" s="234"/>
      <c r="LFI199" s="234"/>
      <c r="LFJ199" s="234"/>
      <c r="LFK199" s="234"/>
      <c r="LFL199" s="234"/>
      <c r="LFM199" s="234"/>
      <c r="LFN199" s="234"/>
      <c r="LFO199" s="234"/>
      <c r="LFP199" s="234"/>
      <c r="LFQ199" s="234"/>
      <c r="LFR199" s="234"/>
      <c r="LFS199" s="234"/>
      <c r="LFT199" s="234"/>
      <c r="LFU199" s="234"/>
      <c r="LFV199" s="234"/>
      <c r="LFW199" s="234"/>
      <c r="LFX199" s="234"/>
      <c r="LFY199" s="234"/>
      <c r="LFZ199" s="234"/>
      <c r="LGA199" s="234"/>
      <c r="LGB199" s="234"/>
      <c r="LGC199" s="234"/>
      <c r="LGD199" s="234"/>
      <c r="LGE199" s="234"/>
      <c r="LGF199" s="234"/>
      <c r="LGG199" s="234"/>
      <c r="LGH199" s="234"/>
      <c r="LGI199" s="234"/>
      <c r="LGJ199" s="234"/>
      <c r="LGK199" s="234"/>
      <c r="LGL199" s="234"/>
      <c r="LGM199" s="234"/>
      <c r="LGN199" s="234"/>
      <c r="LGO199" s="234"/>
      <c r="LGP199" s="234"/>
      <c r="LGQ199" s="234"/>
      <c r="LGR199" s="234"/>
      <c r="LGS199" s="234"/>
      <c r="LGT199" s="234"/>
      <c r="LGU199" s="234"/>
      <c r="LGV199" s="234"/>
      <c r="LGW199" s="234"/>
      <c r="LGX199" s="234"/>
      <c r="LGY199" s="234"/>
      <c r="LGZ199" s="234"/>
      <c r="LHA199" s="234"/>
      <c r="LHB199" s="234"/>
      <c r="LHC199" s="234"/>
      <c r="LHD199" s="234"/>
      <c r="LHE199" s="234"/>
      <c r="LHF199" s="234"/>
      <c r="LHG199" s="234"/>
      <c r="LHH199" s="234"/>
      <c r="LHI199" s="234"/>
      <c r="LHJ199" s="234"/>
      <c r="LHK199" s="234"/>
      <c r="LHL199" s="234"/>
      <c r="LHM199" s="234"/>
      <c r="LHN199" s="234"/>
      <c r="LHO199" s="234"/>
      <c r="LHP199" s="234"/>
      <c r="LHQ199" s="234"/>
      <c r="LHR199" s="234"/>
      <c r="LHS199" s="234"/>
      <c r="LHT199" s="234"/>
      <c r="LHU199" s="234"/>
      <c r="LHV199" s="234"/>
      <c r="LHW199" s="234"/>
      <c r="LHX199" s="234"/>
      <c r="LHY199" s="234"/>
      <c r="LHZ199" s="234"/>
      <c r="LIA199" s="234"/>
      <c r="LIB199" s="234"/>
      <c r="LIC199" s="234"/>
      <c r="LID199" s="234"/>
      <c r="LIE199" s="234"/>
      <c r="LIF199" s="234"/>
      <c r="LIG199" s="234"/>
      <c r="LIH199" s="234"/>
      <c r="LII199" s="234"/>
      <c r="LIJ199" s="234"/>
      <c r="LIK199" s="234"/>
      <c r="LIL199" s="234"/>
      <c r="LIM199" s="234"/>
      <c r="LIN199" s="234"/>
      <c r="LIO199" s="234"/>
      <c r="LIP199" s="234"/>
      <c r="LIQ199" s="234"/>
      <c r="LIR199" s="234"/>
      <c r="LIS199" s="234"/>
      <c r="LIT199" s="234"/>
      <c r="LIU199" s="234"/>
      <c r="LIV199" s="234"/>
      <c r="LIW199" s="234"/>
      <c r="LIX199" s="234"/>
      <c r="LIY199" s="234"/>
      <c r="LIZ199" s="234"/>
      <c r="LJA199" s="234"/>
      <c r="LJB199" s="234"/>
      <c r="LJC199" s="234"/>
      <c r="LJD199" s="234"/>
      <c r="LJE199" s="234"/>
      <c r="LJF199" s="234"/>
      <c r="LJG199" s="234"/>
      <c r="LJH199" s="234"/>
      <c r="LJI199" s="234"/>
      <c r="LJJ199" s="234"/>
      <c r="LJK199" s="234"/>
      <c r="LJL199" s="234"/>
      <c r="LJM199" s="234"/>
      <c r="LJN199" s="234"/>
      <c r="LJO199" s="234"/>
      <c r="LJP199" s="234"/>
      <c r="LJQ199" s="234"/>
      <c r="LJR199" s="234"/>
      <c r="LJS199" s="234"/>
      <c r="LJT199" s="234"/>
      <c r="LJU199" s="234"/>
      <c r="LJV199" s="234"/>
      <c r="LJW199" s="234"/>
      <c r="LJX199" s="234"/>
      <c r="LJY199" s="234"/>
      <c r="LJZ199" s="234"/>
      <c r="LKA199" s="234"/>
      <c r="LKB199" s="234"/>
      <c r="LKC199" s="234"/>
      <c r="LKD199" s="234"/>
      <c r="LKE199" s="234"/>
      <c r="LKF199" s="234"/>
      <c r="LKG199" s="234"/>
      <c r="LKH199" s="234"/>
      <c r="LKI199" s="234"/>
      <c r="LKJ199" s="234"/>
      <c r="LKK199" s="234"/>
      <c r="LKL199" s="234"/>
      <c r="LKM199" s="234"/>
      <c r="LKN199" s="234"/>
      <c r="LKO199" s="234"/>
      <c r="LKP199" s="234"/>
      <c r="LKQ199" s="234"/>
      <c r="LKR199" s="234"/>
      <c r="LKS199" s="234"/>
      <c r="LKT199" s="234"/>
      <c r="LKU199" s="234"/>
      <c r="LKV199" s="234"/>
      <c r="LKW199" s="234"/>
      <c r="LKX199" s="234"/>
      <c r="LKY199" s="234"/>
      <c r="LKZ199" s="234"/>
      <c r="LLA199" s="234"/>
      <c r="LLB199" s="234"/>
      <c r="LLC199" s="234"/>
      <c r="LLD199" s="234"/>
      <c r="LLE199" s="234"/>
      <c r="LLF199" s="234"/>
      <c r="LLG199" s="234"/>
      <c r="LLH199" s="234"/>
      <c r="LLI199" s="234"/>
      <c r="LLJ199" s="234"/>
      <c r="LLK199" s="234"/>
      <c r="LLL199" s="234"/>
      <c r="LLM199" s="234"/>
      <c r="LLN199" s="234"/>
      <c r="LLO199" s="234"/>
      <c r="LLP199" s="234"/>
      <c r="LLQ199" s="234"/>
      <c r="LLR199" s="234"/>
      <c r="LLS199" s="234"/>
      <c r="LLT199" s="234"/>
      <c r="LLU199" s="234"/>
      <c r="LLV199" s="234"/>
      <c r="LLW199" s="234"/>
      <c r="LLX199" s="234"/>
      <c r="LLY199" s="234"/>
      <c r="LLZ199" s="234"/>
      <c r="LMA199" s="234"/>
      <c r="LMB199" s="234"/>
      <c r="LMC199" s="234"/>
      <c r="LMD199" s="234"/>
      <c r="LME199" s="234"/>
      <c r="LMF199" s="234"/>
      <c r="LMG199" s="234"/>
      <c r="LMH199" s="234"/>
      <c r="LMI199" s="234"/>
      <c r="LMJ199" s="234"/>
      <c r="LMK199" s="234"/>
      <c r="LML199" s="234"/>
      <c r="LMM199" s="234"/>
      <c r="LMN199" s="234"/>
      <c r="LMO199" s="234"/>
      <c r="LMP199" s="234"/>
      <c r="LMQ199" s="234"/>
      <c r="LMR199" s="234"/>
      <c r="LMS199" s="234"/>
      <c r="LMT199" s="234"/>
      <c r="LMU199" s="234"/>
      <c r="LMV199" s="234"/>
      <c r="LMW199" s="234"/>
      <c r="LMX199" s="234"/>
      <c r="LMY199" s="234"/>
      <c r="LMZ199" s="234"/>
      <c r="LNA199" s="234"/>
      <c r="LNB199" s="234"/>
      <c r="LNC199" s="234"/>
      <c r="LND199" s="234"/>
      <c r="LNE199" s="234"/>
      <c r="LNF199" s="234"/>
      <c r="LNG199" s="234"/>
      <c r="LNH199" s="234"/>
      <c r="LNI199" s="234"/>
      <c r="LNJ199" s="234"/>
      <c r="LNK199" s="234"/>
      <c r="LNL199" s="234"/>
      <c r="LNM199" s="234"/>
      <c r="LNN199" s="234"/>
      <c r="LNO199" s="234"/>
      <c r="LNP199" s="234"/>
      <c r="LNQ199" s="234"/>
      <c r="LNR199" s="234"/>
      <c r="LNS199" s="234"/>
      <c r="LNT199" s="234"/>
      <c r="LNU199" s="234"/>
      <c r="LNV199" s="234"/>
      <c r="LNW199" s="234"/>
      <c r="LNX199" s="234"/>
      <c r="LNY199" s="234"/>
      <c r="LNZ199" s="234"/>
      <c r="LOA199" s="234"/>
      <c r="LOB199" s="234"/>
      <c r="LOC199" s="234"/>
      <c r="LOD199" s="234"/>
      <c r="LOE199" s="234"/>
      <c r="LOF199" s="234"/>
      <c r="LOG199" s="234"/>
      <c r="LOH199" s="234"/>
      <c r="LOI199" s="234"/>
      <c r="LOJ199" s="234"/>
      <c r="LOK199" s="234"/>
      <c r="LOL199" s="234"/>
      <c r="LOM199" s="234"/>
      <c r="LON199" s="234"/>
      <c r="LOO199" s="234"/>
      <c r="LOP199" s="234"/>
      <c r="LOQ199" s="234"/>
      <c r="LOR199" s="234"/>
      <c r="LOS199" s="234"/>
      <c r="LOT199" s="234"/>
      <c r="LOU199" s="234"/>
      <c r="LOV199" s="234"/>
      <c r="LOW199" s="234"/>
      <c r="LOX199" s="234"/>
      <c r="LOY199" s="234"/>
      <c r="LOZ199" s="234"/>
      <c r="LPA199" s="234"/>
      <c r="LPB199" s="234"/>
      <c r="LPC199" s="234"/>
      <c r="LPD199" s="234"/>
      <c r="LPE199" s="234"/>
      <c r="LPF199" s="234"/>
      <c r="LPG199" s="234"/>
      <c r="LPH199" s="234"/>
      <c r="LPI199" s="234"/>
      <c r="LPJ199" s="234"/>
      <c r="LPK199" s="234"/>
      <c r="LPL199" s="234"/>
      <c r="LPM199" s="234"/>
      <c r="LPN199" s="234"/>
      <c r="LPO199" s="234"/>
      <c r="LPP199" s="234"/>
      <c r="LPQ199" s="234"/>
      <c r="LPR199" s="234"/>
      <c r="LPS199" s="234"/>
      <c r="LPT199" s="234"/>
      <c r="LPU199" s="234"/>
      <c r="LPV199" s="234"/>
      <c r="LPW199" s="234"/>
      <c r="LPX199" s="234"/>
      <c r="LPY199" s="234"/>
      <c r="LPZ199" s="234"/>
      <c r="LQA199" s="234"/>
      <c r="LQB199" s="234"/>
      <c r="LQC199" s="234"/>
      <c r="LQD199" s="234"/>
      <c r="LQE199" s="234"/>
      <c r="LQF199" s="234"/>
      <c r="LQG199" s="234"/>
      <c r="LQH199" s="234"/>
      <c r="LQI199" s="234"/>
      <c r="LQJ199" s="234"/>
      <c r="LQK199" s="234"/>
      <c r="LQL199" s="234"/>
      <c r="LQM199" s="234"/>
      <c r="LQN199" s="234"/>
      <c r="LQO199" s="234"/>
      <c r="LQP199" s="234"/>
      <c r="LQQ199" s="234"/>
      <c r="LQR199" s="234"/>
      <c r="LQS199" s="234"/>
      <c r="LQT199" s="234"/>
      <c r="LQU199" s="234"/>
      <c r="LQV199" s="234"/>
      <c r="LQW199" s="234"/>
      <c r="LQX199" s="234"/>
      <c r="LQY199" s="234"/>
      <c r="LQZ199" s="234"/>
      <c r="LRA199" s="234"/>
      <c r="LRB199" s="234"/>
      <c r="LRC199" s="234"/>
      <c r="LRD199" s="234"/>
      <c r="LRE199" s="234"/>
      <c r="LRF199" s="234"/>
      <c r="LRG199" s="234"/>
      <c r="LRH199" s="234"/>
      <c r="LRI199" s="234"/>
      <c r="LRJ199" s="234"/>
      <c r="LRK199" s="234"/>
      <c r="LRL199" s="234"/>
      <c r="LRM199" s="234"/>
      <c r="LRN199" s="234"/>
      <c r="LRO199" s="234"/>
      <c r="LRP199" s="234"/>
      <c r="LRQ199" s="234"/>
      <c r="LRR199" s="234"/>
      <c r="LRS199" s="234"/>
      <c r="LRT199" s="234"/>
      <c r="LRU199" s="234"/>
      <c r="LRV199" s="234"/>
      <c r="LRW199" s="234"/>
      <c r="LRX199" s="234"/>
      <c r="LRY199" s="234"/>
      <c r="LRZ199" s="234"/>
      <c r="LSA199" s="234"/>
      <c r="LSB199" s="234"/>
      <c r="LSC199" s="234"/>
      <c r="LSD199" s="234"/>
      <c r="LSE199" s="234"/>
      <c r="LSF199" s="234"/>
      <c r="LSG199" s="234"/>
      <c r="LSH199" s="234"/>
      <c r="LSI199" s="234"/>
      <c r="LSJ199" s="234"/>
      <c r="LSK199" s="234"/>
      <c r="LSL199" s="234"/>
      <c r="LSM199" s="234"/>
      <c r="LSN199" s="234"/>
      <c r="LSO199" s="234"/>
      <c r="LSP199" s="234"/>
      <c r="LSQ199" s="234"/>
      <c r="LSR199" s="234"/>
      <c r="LSS199" s="234"/>
      <c r="LST199" s="234"/>
      <c r="LSU199" s="234"/>
      <c r="LSV199" s="234"/>
      <c r="LSW199" s="234"/>
      <c r="LSX199" s="234"/>
      <c r="LSY199" s="234"/>
      <c r="LSZ199" s="234"/>
      <c r="LTA199" s="234"/>
      <c r="LTB199" s="234"/>
      <c r="LTC199" s="234"/>
      <c r="LTD199" s="234"/>
      <c r="LTE199" s="234"/>
      <c r="LTF199" s="234"/>
      <c r="LTG199" s="234"/>
      <c r="LTH199" s="234"/>
      <c r="LTI199" s="234"/>
      <c r="LTJ199" s="234"/>
      <c r="LTK199" s="234"/>
      <c r="LTL199" s="234"/>
      <c r="LTM199" s="234"/>
      <c r="LTN199" s="234"/>
      <c r="LTO199" s="234"/>
      <c r="LTP199" s="234"/>
      <c r="LTQ199" s="234"/>
      <c r="LTR199" s="234"/>
      <c r="LTS199" s="234"/>
      <c r="LTT199" s="234"/>
      <c r="LTU199" s="234"/>
      <c r="LTV199" s="234"/>
      <c r="LTW199" s="234"/>
      <c r="LTX199" s="234"/>
      <c r="LTY199" s="234"/>
      <c r="LTZ199" s="234"/>
      <c r="LUA199" s="234"/>
      <c r="LUB199" s="234"/>
      <c r="LUC199" s="234"/>
      <c r="LUD199" s="234"/>
      <c r="LUE199" s="234"/>
      <c r="LUF199" s="234"/>
      <c r="LUG199" s="234"/>
      <c r="LUH199" s="234"/>
      <c r="LUI199" s="234"/>
      <c r="LUJ199" s="234"/>
      <c r="LUK199" s="234"/>
      <c r="LUL199" s="234"/>
      <c r="LUM199" s="234"/>
      <c r="LUN199" s="234"/>
      <c r="LUO199" s="234"/>
      <c r="LUP199" s="234"/>
      <c r="LUQ199" s="234"/>
      <c r="LUR199" s="234"/>
      <c r="LUS199" s="234"/>
      <c r="LUT199" s="234"/>
      <c r="LUU199" s="234"/>
      <c r="LUV199" s="234"/>
      <c r="LUW199" s="234"/>
      <c r="LUX199" s="234"/>
      <c r="LUY199" s="234"/>
      <c r="LUZ199" s="234"/>
      <c r="LVA199" s="234"/>
      <c r="LVB199" s="234"/>
      <c r="LVC199" s="234"/>
      <c r="LVD199" s="234"/>
      <c r="LVE199" s="234"/>
      <c r="LVF199" s="234"/>
      <c r="LVG199" s="234"/>
      <c r="LVH199" s="234"/>
      <c r="LVI199" s="234"/>
      <c r="LVJ199" s="234"/>
      <c r="LVK199" s="234"/>
      <c r="LVL199" s="234"/>
      <c r="LVM199" s="234"/>
      <c r="LVN199" s="234"/>
      <c r="LVO199" s="234"/>
      <c r="LVP199" s="234"/>
      <c r="LVQ199" s="234"/>
      <c r="LVR199" s="234"/>
      <c r="LVS199" s="234"/>
      <c r="LVT199" s="234"/>
      <c r="LVU199" s="234"/>
      <c r="LVV199" s="234"/>
      <c r="LVW199" s="234"/>
      <c r="LVX199" s="234"/>
      <c r="LVY199" s="234"/>
      <c r="LVZ199" s="234"/>
      <c r="LWA199" s="234"/>
      <c r="LWB199" s="234"/>
      <c r="LWC199" s="234"/>
      <c r="LWD199" s="234"/>
      <c r="LWE199" s="234"/>
      <c r="LWF199" s="234"/>
      <c r="LWG199" s="234"/>
      <c r="LWH199" s="234"/>
      <c r="LWI199" s="234"/>
      <c r="LWJ199" s="234"/>
      <c r="LWK199" s="234"/>
      <c r="LWL199" s="234"/>
      <c r="LWM199" s="234"/>
      <c r="LWN199" s="234"/>
      <c r="LWO199" s="234"/>
      <c r="LWP199" s="234"/>
      <c r="LWQ199" s="234"/>
      <c r="LWR199" s="234"/>
      <c r="LWS199" s="234"/>
      <c r="LWT199" s="234"/>
      <c r="LWU199" s="234"/>
      <c r="LWV199" s="234"/>
      <c r="LWW199" s="234"/>
      <c r="LWX199" s="234"/>
      <c r="LWY199" s="234"/>
      <c r="LWZ199" s="234"/>
      <c r="LXA199" s="234"/>
      <c r="LXB199" s="234"/>
      <c r="LXC199" s="234"/>
      <c r="LXD199" s="234"/>
      <c r="LXE199" s="234"/>
      <c r="LXF199" s="234"/>
      <c r="LXG199" s="234"/>
      <c r="LXH199" s="234"/>
      <c r="LXI199" s="234"/>
      <c r="LXJ199" s="234"/>
      <c r="LXK199" s="234"/>
      <c r="LXL199" s="234"/>
      <c r="LXM199" s="234"/>
      <c r="LXN199" s="234"/>
      <c r="LXO199" s="234"/>
      <c r="LXP199" s="234"/>
      <c r="LXQ199" s="234"/>
      <c r="LXR199" s="234"/>
      <c r="LXS199" s="234"/>
      <c r="LXT199" s="234"/>
      <c r="LXU199" s="234"/>
      <c r="LXV199" s="234"/>
      <c r="LXW199" s="234"/>
      <c r="LXX199" s="234"/>
      <c r="LXY199" s="234"/>
      <c r="LXZ199" s="234"/>
      <c r="LYA199" s="234"/>
      <c r="LYB199" s="234"/>
      <c r="LYC199" s="234"/>
      <c r="LYD199" s="234"/>
      <c r="LYE199" s="234"/>
      <c r="LYF199" s="234"/>
      <c r="LYG199" s="234"/>
      <c r="LYH199" s="234"/>
      <c r="LYI199" s="234"/>
      <c r="LYJ199" s="234"/>
      <c r="LYK199" s="234"/>
      <c r="LYL199" s="234"/>
      <c r="LYM199" s="234"/>
      <c r="LYN199" s="234"/>
      <c r="LYO199" s="234"/>
      <c r="LYP199" s="234"/>
      <c r="LYQ199" s="234"/>
      <c r="LYR199" s="234"/>
      <c r="LYS199" s="234"/>
      <c r="LYT199" s="234"/>
      <c r="LYU199" s="234"/>
      <c r="LYV199" s="234"/>
      <c r="LYW199" s="234"/>
      <c r="LYX199" s="234"/>
      <c r="LYY199" s="234"/>
      <c r="LYZ199" s="234"/>
      <c r="LZA199" s="234"/>
      <c r="LZB199" s="234"/>
      <c r="LZC199" s="234"/>
      <c r="LZD199" s="234"/>
      <c r="LZE199" s="234"/>
      <c r="LZF199" s="234"/>
      <c r="LZG199" s="234"/>
      <c r="LZH199" s="234"/>
      <c r="LZI199" s="234"/>
      <c r="LZJ199" s="234"/>
      <c r="LZK199" s="234"/>
      <c r="LZL199" s="234"/>
      <c r="LZM199" s="234"/>
      <c r="LZN199" s="234"/>
      <c r="LZO199" s="234"/>
      <c r="LZP199" s="234"/>
      <c r="LZQ199" s="234"/>
      <c r="LZR199" s="234"/>
      <c r="LZS199" s="234"/>
      <c r="LZT199" s="234"/>
      <c r="LZU199" s="234"/>
      <c r="LZV199" s="234"/>
      <c r="LZW199" s="234"/>
      <c r="LZX199" s="234"/>
      <c r="LZY199" s="234"/>
      <c r="LZZ199" s="234"/>
      <c r="MAA199" s="234"/>
      <c r="MAB199" s="234"/>
      <c r="MAC199" s="234"/>
      <c r="MAD199" s="234"/>
      <c r="MAE199" s="234"/>
      <c r="MAF199" s="234"/>
      <c r="MAG199" s="234"/>
      <c r="MAH199" s="234"/>
      <c r="MAI199" s="234"/>
      <c r="MAJ199" s="234"/>
      <c r="MAK199" s="234"/>
      <c r="MAL199" s="234"/>
      <c r="MAM199" s="234"/>
      <c r="MAN199" s="234"/>
      <c r="MAO199" s="234"/>
      <c r="MAP199" s="234"/>
      <c r="MAQ199" s="234"/>
      <c r="MAR199" s="234"/>
      <c r="MAS199" s="234"/>
      <c r="MAT199" s="234"/>
      <c r="MAU199" s="234"/>
      <c r="MAV199" s="234"/>
      <c r="MAW199" s="234"/>
      <c r="MAX199" s="234"/>
      <c r="MAY199" s="234"/>
      <c r="MAZ199" s="234"/>
      <c r="MBA199" s="234"/>
      <c r="MBB199" s="234"/>
      <c r="MBC199" s="234"/>
      <c r="MBD199" s="234"/>
      <c r="MBE199" s="234"/>
      <c r="MBF199" s="234"/>
      <c r="MBG199" s="234"/>
      <c r="MBH199" s="234"/>
      <c r="MBI199" s="234"/>
      <c r="MBJ199" s="234"/>
      <c r="MBK199" s="234"/>
      <c r="MBL199" s="234"/>
      <c r="MBM199" s="234"/>
      <c r="MBN199" s="234"/>
      <c r="MBO199" s="234"/>
      <c r="MBP199" s="234"/>
      <c r="MBQ199" s="234"/>
      <c r="MBR199" s="234"/>
      <c r="MBS199" s="234"/>
      <c r="MBT199" s="234"/>
      <c r="MBU199" s="234"/>
      <c r="MBV199" s="234"/>
      <c r="MBW199" s="234"/>
      <c r="MBX199" s="234"/>
      <c r="MBY199" s="234"/>
      <c r="MBZ199" s="234"/>
      <c r="MCA199" s="234"/>
      <c r="MCB199" s="234"/>
      <c r="MCC199" s="234"/>
      <c r="MCD199" s="234"/>
      <c r="MCE199" s="234"/>
      <c r="MCF199" s="234"/>
      <c r="MCG199" s="234"/>
      <c r="MCH199" s="234"/>
      <c r="MCI199" s="234"/>
      <c r="MCJ199" s="234"/>
      <c r="MCK199" s="234"/>
      <c r="MCL199" s="234"/>
      <c r="MCM199" s="234"/>
      <c r="MCN199" s="234"/>
      <c r="MCO199" s="234"/>
      <c r="MCP199" s="234"/>
      <c r="MCQ199" s="234"/>
      <c r="MCR199" s="234"/>
      <c r="MCS199" s="234"/>
      <c r="MCT199" s="234"/>
      <c r="MCU199" s="234"/>
      <c r="MCV199" s="234"/>
      <c r="MCW199" s="234"/>
      <c r="MCX199" s="234"/>
      <c r="MCY199" s="234"/>
      <c r="MCZ199" s="234"/>
      <c r="MDA199" s="234"/>
      <c r="MDB199" s="234"/>
      <c r="MDC199" s="234"/>
      <c r="MDD199" s="234"/>
      <c r="MDE199" s="234"/>
      <c r="MDF199" s="234"/>
      <c r="MDG199" s="234"/>
      <c r="MDH199" s="234"/>
      <c r="MDI199" s="234"/>
      <c r="MDJ199" s="234"/>
      <c r="MDK199" s="234"/>
      <c r="MDL199" s="234"/>
      <c r="MDM199" s="234"/>
      <c r="MDN199" s="234"/>
      <c r="MDO199" s="234"/>
      <c r="MDP199" s="234"/>
      <c r="MDQ199" s="234"/>
      <c r="MDR199" s="234"/>
      <c r="MDS199" s="234"/>
      <c r="MDT199" s="234"/>
      <c r="MDU199" s="234"/>
      <c r="MDV199" s="234"/>
      <c r="MDW199" s="234"/>
      <c r="MDX199" s="234"/>
      <c r="MDY199" s="234"/>
      <c r="MDZ199" s="234"/>
      <c r="MEA199" s="234"/>
      <c r="MEB199" s="234"/>
      <c r="MEC199" s="234"/>
      <c r="MED199" s="234"/>
      <c r="MEE199" s="234"/>
      <c r="MEF199" s="234"/>
      <c r="MEG199" s="234"/>
      <c r="MEH199" s="234"/>
      <c r="MEI199" s="234"/>
      <c r="MEJ199" s="234"/>
      <c r="MEK199" s="234"/>
      <c r="MEL199" s="234"/>
      <c r="MEM199" s="234"/>
      <c r="MEN199" s="234"/>
      <c r="MEO199" s="234"/>
      <c r="MEP199" s="234"/>
      <c r="MEQ199" s="234"/>
      <c r="MER199" s="234"/>
      <c r="MES199" s="234"/>
      <c r="MET199" s="234"/>
      <c r="MEU199" s="234"/>
      <c r="MEV199" s="234"/>
      <c r="MEW199" s="234"/>
      <c r="MEX199" s="234"/>
      <c r="MEY199" s="234"/>
      <c r="MEZ199" s="234"/>
      <c r="MFA199" s="234"/>
      <c r="MFB199" s="234"/>
      <c r="MFC199" s="234"/>
      <c r="MFD199" s="234"/>
      <c r="MFE199" s="234"/>
      <c r="MFF199" s="234"/>
      <c r="MFG199" s="234"/>
      <c r="MFH199" s="234"/>
      <c r="MFI199" s="234"/>
      <c r="MFJ199" s="234"/>
      <c r="MFK199" s="234"/>
      <c r="MFL199" s="234"/>
      <c r="MFM199" s="234"/>
      <c r="MFN199" s="234"/>
      <c r="MFO199" s="234"/>
      <c r="MFP199" s="234"/>
      <c r="MFQ199" s="234"/>
      <c r="MFR199" s="234"/>
      <c r="MFS199" s="234"/>
      <c r="MFT199" s="234"/>
      <c r="MFU199" s="234"/>
      <c r="MFV199" s="234"/>
      <c r="MFW199" s="234"/>
      <c r="MFX199" s="234"/>
      <c r="MFY199" s="234"/>
      <c r="MFZ199" s="234"/>
      <c r="MGA199" s="234"/>
      <c r="MGB199" s="234"/>
      <c r="MGC199" s="234"/>
      <c r="MGD199" s="234"/>
      <c r="MGE199" s="234"/>
      <c r="MGF199" s="234"/>
      <c r="MGG199" s="234"/>
      <c r="MGH199" s="234"/>
      <c r="MGI199" s="234"/>
      <c r="MGJ199" s="234"/>
      <c r="MGK199" s="234"/>
      <c r="MGL199" s="234"/>
      <c r="MGM199" s="234"/>
      <c r="MGN199" s="234"/>
      <c r="MGO199" s="234"/>
      <c r="MGP199" s="234"/>
      <c r="MGQ199" s="234"/>
      <c r="MGR199" s="234"/>
      <c r="MGS199" s="234"/>
      <c r="MGT199" s="234"/>
      <c r="MGU199" s="234"/>
      <c r="MGV199" s="234"/>
      <c r="MGW199" s="234"/>
      <c r="MGX199" s="234"/>
      <c r="MGY199" s="234"/>
      <c r="MGZ199" s="234"/>
      <c r="MHA199" s="234"/>
      <c r="MHB199" s="234"/>
      <c r="MHC199" s="234"/>
      <c r="MHD199" s="234"/>
      <c r="MHE199" s="234"/>
      <c r="MHF199" s="234"/>
      <c r="MHG199" s="234"/>
      <c r="MHH199" s="234"/>
      <c r="MHI199" s="234"/>
      <c r="MHJ199" s="234"/>
      <c r="MHK199" s="234"/>
      <c r="MHL199" s="234"/>
      <c r="MHM199" s="234"/>
      <c r="MHN199" s="234"/>
      <c r="MHO199" s="234"/>
      <c r="MHP199" s="234"/>
      <c r="MHQ199" s="234"/>
      <c r="MHR199" s="234"/>
      <c r="MHS199" s="234"/>
      <c r="MHT199" s="234"/>
      <c r="MHU199" s="234"/>
      <c r="MHV199" s="234"/>
      <c r="MHW199" s="234"/>
      <c r="MHX199" s="234"/>
      <c r="MHY199" s="234"/>
      <c r="MHZ199" s="234"/>
      <c r="MIA199" s="234"/>
      <c r="MIB199" s="234"/>
      <c r="MIC199" s="234"/>
      <c r="MID199" s="234"/>
      <c r="MIE199" s="234"/>
      <c r="MIF199" s="234"/>
      <c r="MIG199" s="234"/>
      <c r="MIH199" s="234"/>
      <c r="MII199" s="234"/>
      <c r="MIJ199" s="234"/>
      <c r="MIK199" s="234"/>
      <c r="MIL199" s="234"/>
      <c r="MIM199" s="234"/>
      <c r="MIN199" s="234"/>
      <c r="MIO199" s="234"/>
      <c r="MIP199" s="234"/>
      <c r="MIQ199" s="234"/>
      <c r="MIR199" s="234"/>
      <c r="MIS199" s="234"/>
      <c r="MIT199" s="234"/>
      <c r="MIU199" s="234"/>
      <c r="MIV199" s="234"/>
      <c r="MIW199" s="234"/>
      <c r="MIX199" s="234"/>
      <c r="MIY199" s="234"/>
      <c r="MIZ199" s="234"/>
      <c r="MJA199" s="234"/>
      <c r="MJB199" s="234"/>
      <c r="MJC199" s="234"/>
      <c r="MJD199" s="234"/>
      <c r="MJE199" s="234"/>
      <c r="MJF199" s="234"/>
      <c r="MJG199" s="234"/>
      <c r="MJH199" s="234"/>
      <c r="MJI199" s="234"/>
      <c r="MJJ199" s="234"/>
      <c r="MJK199" s="234"/>
      <c r="MJL199" s="234"/>
      <c r="MJM199" s="234"/>
      <c r="MJN199" s="234"/>
      <c r="MJO199" s="234"/>
      <c r="MJP199" s="234"/>
      <c r="MJQ199" s="234"/>
      <c r="MJR199" s="234"/>
      <c r="MJS199" s="234"/>
      <c r="MJT199" s="234"/>
      <c r="MJU199" s="234"/>
      <c r="MJV199" s="234"/>
      <c r="MJW199" s="234"/>
      <c r="MJX199" s="234"/>
      <c r="MJY199" s="234"/>
      <c r="MJZ199" s="234"/>
      <c r="MKA199" s="234"/>
      <c r="MKB199" s="234"/>
      <c r="MKC199" s="234"/>
      <c r="MKD199" s="234"/>
      <c r="MKE199" s="234"/>
      <c r="MKF199" s="234"/>
      <c r="MKG199" s="234"/>
      <c r="MKH199" s="234"/>
      <c r="MKI199" s="234"/>
      <c r="MKJ199" s="234"/>
      <c r="MKK199" s="234"/>
      <c r="MKL199" s="234"/>
      <c r="MKM199" s="234"/>
      <c r="MKN199" s="234"/>
      <c r="MKO199" s="234"/>
      <c r="MKP199" s="234"/>
      <c r="MKQ199" s="234"/>
      <c r="MKR199" s="234"/>
      <c r="MKS199" s="234"/>
      <c r="MKT199" s="234"/>
      <c r="MKU199" s="234"/>
      <c r="MKV199" s="234"/>
      <c r="MKW199" s="234"/>
      <c r="MKX199" s="234"/>
      <c r="MKY199" s="234"/>
      <c r="MKZ199" s="234"/>
      <c r="MLA199" s="234"/>
      <c r="MLB199" s="234"/>
      <c r="MLC199" s="234"/>
      <c r="MLD199" s="234"/>
      <c r="MLE199" s="234"/>
      <c r="MLF199" s="234"/>
      <c r="MLG199" s="234"/>
      <c r="MLH199" s="234"/>
      <c r="MLI199" s="234"/>
      <c r="MLJ199" s="234"/>
      <c r="MLK199" s="234"/>
      <c r="MLL199" s="234"/>
      <c r="MLM199" s="234"/>
      <c r="MLN199" s="234"/>
      <c r="MLO199" s="234"/>
      <c r="MLP199" s="234"/>
      <c r="MLQ199" s="234"/>
      <c r="MLR199" s="234"/>
      <c r="MLS199" s="234"/>
      <c r="MLT199" s="234"/>
      <c r="MLU199" s="234"/>
      <c r="MLV199" s="234"/>
      <c r="MLW199" s="234"/>
      <c r="MLX199" s="234"/>
      <c r="MLY199" s="234"/>
      <c r="MLZ199" s="234"/>
      <c r="MMA199" s="234"/>
      <c r="MMB199" s="234"/>
      <c r="MMC199" s="234"/>
      <c r="MMD199" s="234"/>
      <c r="MME199" s="234"/>
      <c r="MMF199" s="234"/>
      <c r="MMG199" s="234"/>
      <c r="MMH199" s="234"/>
      <c r="MMI199" s="234"/>
      <c r="MMJ199" s="234"/>
      <c r="MMK199" s="234"/>
      <c r="MML199" s="234"/>
      <c r="MMM199" s="234"/>
      <c r="MMN199" s="234"/>
      <c r="MMO199" s="234"/>
      <c r="MMP199" s="234"/>
      <c r="MMQ199" s="234"/>
      <c r="MMR199" s="234"/>
      <c r="MMS199" s="234"/>
      <c r="MMT199" s="234"/>
      <c r="MMU199" s="234"/>
      <c r="MMV199" s="234"/>
      <c r="MMW199" s="234"/>
      <c r="MMX199" s="234"/>
      <c r="MMY199" s="234"/>
      <c r="MMZ199" s="234"/>
      <c r="MNA199" s="234"/>
      <c r="MNB199" s="234"/>
      <c r="MNC199" s="234"/>
      <c r="MND199" s="234"/>
      <c r="MNE199" s="234"/>
      <c r="MNF199" s="234"/>
      <c r="MNG199" s="234"/>
      <c r="MNH199" s="234"/>
      <c r="MNI199" s="234"/>
      <c r="MNJ199" s="234"/>
      <c r="MNK199" s="234"/>
      <c r="MNL199" s="234"/>
      <c r="MNM199" s="234"/>
      <c r="MNN199" s="234"/>
      <c r="MNO199" s="234"/>
      <c r="MNP199" s="234"/>
      <c r="MNQ199" s="234"/>
      <c r="MNR199" s="234"/>
      <c r="MNS199" s="234"/>
      <c r="MNT199" s="234"/>
      <c r="MNU199" s="234"/>
      <c r="MNV199" s="234"/>
      <c r="MNW199" s="234"/>
      <c r="MNX199" s="234"/>
      <c r="MNY199" s="234"/>
      <c r="MNZ199" s="234"/>
      <c r="MOA199" s="234"/>
      <c r="MOB199" s="234"/>
      <c r="MOC199" s="234"/>
      <c r="MOD199" s="234"/>
      <c r="MOE199" s="234"/>
      <c r="MOF199" s="234"/>
      <c r="MOG199" s="234"/>
      <c r="MOH199" s="234"/>
      <c r="MOI199" s="234"/>
      <c r="MOJ199" s="234"/>
      <c r="MOK199" s="234"/>
      <c r="MOL199" s="234"/>
      <c r="MOM199" s="234"/>
      <c r="MON199" s="234"/>
      <c r="MOO199" s="234"/>
      <c r="MOP199" s="234"/>
      <c r="MOQ199" s="234"/>
      <c r="MOR199" s="234"/>
      <c r="MOS199" s="234"/>
      <c r="MOT199" s="234"/>
      <c r="MOU199" s="234"/>
      <c r="MOV199" s="234"/>
      <c r="MOW199" s="234"/>
      <c r="MOX199" s="234"/>
      <c r="MOY199" s="234"/>
      <c r="MOZ199" s="234"/>
      <c r="MPA199" s="234"/>
      <c r="MPB199" s="234"/>
      <c r="MPC199" s="234"/>
      <c r="MPD199" s="234"/>
      <c r="MPE199" s="234"/>
      <c r="MPF199" s="234"/>
      <c r="MPG199" s="234"/>
      <c r="MPH199" s="234"/>
      <c r="MPI199" s="234"/>
      <c r="MPJ199" s="234"/>
      <c r="MPK199" s="234"/>
      <c r="MPL199" s="234"/>
      <c r="MPM199" s="234"/>
      <c r="MPN199" s="234"/>
      <c r="MPO199" s="234"/>
      <c r="MPP199" s="234"/>
      <c r="MPQ199" s="234"/>
      <c r="MPR199" s="234"/>
      <c r="MPS199" s="234"/>
      <c r="MPT199" s="234"/>
      <c r="MPU199" s="234"/>
      <c r="MPV199" s="234"/>
      <c r="MPW199" s="234"/>
      <c r="MPX199" s="234"/>
      <c r="MPY199" s="234"/>
      <c r="MPZ199" s="234"/>
      <c r="MQA199" s="234"/>
      <c r="MQB199" s="234"/>
      <c r="MQC199" s="234"/>
      <c r="MQD199" s="234"/>
      <c r="MQE199" s="234"/>
      <c r="MQF199" s="234"/>
      <c r="MQG199" s="234"/>
      <c r="MQH199" s="234"/>
      <c r="MQI199" s="234"/>
      <c r="MQJ199" s="234"/>
      <c r="MQK199" s="234"/>
      <c r="MQL199" s="234"/>
      <c r="MQM199" s="234"/>
      <c r="MQN199" s="234"/>
      <c r="MQO199" s="234"/>
      <c r="MQP199" s="234"/>
      <c r="MQQ199" s="234"/>
      <c r="MQR199" s="234"/>
      <c r="MQS199" s="234"/>
      <c r="MQT199" s="234"/>
      <c r="MQU199" s="234"/>
      <c r="MQV199" s="234"/>
      <c r="MQW199" s="234"/>
      <c r="MQX199" s="234"/>
      <c r="MQY199" s="234"/>
      <c r="MQZ199" s="234"/>
      <c r="MRA199" s="234"/>
      <c r="MRB199" s="234"/>
      <c r="MRC199" s="234"/>
      <c r="MRD199" s="234"/>
      <c r="MRE199" s="234"/>
      <c r="MRF199" s="234"/>
      <c r="MRG199" s="234"/>
      <c r="MRH199" s="234"/>
      <c r="MRI199" s="234"/>
      <c r="MRJ199" s="234"/>
      <c r="MRK199" s="234"/>
      <c r="MRL199" s="234"/>
      <c r="MRM199" s="234"/>
      <c r="MRN199" s="234"/>
      <c r="MRO199" s="234"/>
      <c r="MRP199" s="234"/>
      <c r="MRQ199" s="234"/>
      <c r="MRR199" s="234"/>
      <c r="MRS199" s="234"/>
      <c r="MRT199" s="234"/>
      <c r="MRU199" s="234"/>
      <c r="MRV199" s="234"/>
      <c r="MRW199" s="234"/>
      <c r="MRX199" s="234"/>
      <c r="MRY199" s="234"/>
      <c r="MRZ199" s="234"/>
      <c r="MSA199" s="234"/>
      <c r="MSB199" s="234"/>
      <c r="MSC199" s="234"/>
      <c r="MSD199" s="234"/>
      <c r="MSE199" s="234"/>
      <c r="MSF199" s="234"/>
      <c r="MSG199" s="234"/>
      <c r="MSH199" s="234"/>
      <c r="MSI199" s="234"/>
      <c r="MSJ199" s="234"/>
      <c r="MSK199" s="234"/>
      <c r="MSL199" s="234"/>
      <c r="MSM199" s="234"/>
      <c r="MSN199" s="234"/>
      <c r="MSO199" s="234"/>
      <c r="MSP199" s="234"/>
      <c r="MSQ199" s="234"/>
      <c r="MSR199" s="234"/>
      <c r="MSS199" s="234"/>
      <c r="MST199" s="234"/>
      <c r="MSU199" s="234"/>
      <c r="MSV199" s="234"/>
      <c r="MSW199" s="234"/>
      <c r="MSX199" s="234"/>
      <c r="MSY199" s="234"/>
      <c r="MSZ199" s="234"/>
      <c r="MTA199" s="234"/>
      <c r="MTB199" s="234"/>
      <c r="MTC199" s="234"/>
      <c r="MTD199" s="234"/>
      <c r="MTE199" s="234"/>
      <c r="MTF199" s="234"/>
      <c r="MTG199" s="234"/>
      <c r="MTH199" s="234"/>
      <c r="MTI199" s="234"/>
      <c r="MTJ199" s="234"/>
      <c r="MTK199" s="234"/>
      <c r="MTL199" s="234"/>
      <c r="MTM199" s="234"/>
      <c r="MTN199" s="234"/>
      <c r="MTO199" s="234"/>
      <c r="MTP199" s="234"/>
      <c r="MTQ199" s="234"/>
      <c r="MTR199" s="234"/>
      <c r="MTS199" s="234"/>
      <c r="MTT199" s="234"/>
      <c r="MTU199" s="234"/>
      <c r="MTV199" s="234"/>
      <c r="MTW199" s="234"/>
      <c r="MTX199" s="234"/>
      <c r="MTY199" s="234"/>
      <c r="MTZ199" s="234"/>
      <c r="MUA199" s="234"/>
      <c r="MUB199" s="234"/>
      <c r="MUC199" s="234"/>
      <c r="MUD199" s="234"/>
      <c r="MUE199" s="234"/>
      <c r="MUF199" s="234"/>
      <c r="MUG199" s="234"/>
      <c r="MUH199" s="234"/>
      <c r="MUI199" s="234"/>
      <c r="MUJ199" s="234"/>
      <c r="MUK199" s="234"/>
      <c r="MUL199" s="234"/>
      <c r="MUM199" s="234"/>
      <c r="MUN199" s="234"/>
      <c r="MUO199" s="234"/>
      <c r="MUP199" s="234"/>
      <c r="MUQ199" s="234"/>
      <c r="MUR199" s="234"/>
      <c r="MUS199" s="234"/>
      <c r="MUT199" s="234"/>
      <c r="MUU199" s="234"/>
      <c r="MUV199" s="234"/>
      <c r="MUW199" s="234"/>
      <c r="MUX199" s="234"/>
      <c r="MUY199" s="234"/>
      <c r="MUZ199" s="234"/>
      <c r="MVA199" s="234"/>
      <c r="MVB199" s="234"/>
      <c r="MVC199" s="234"/>
      <c r="MVD199" s="234"/>
      <c r="MVE199" s="234"/>
      <c r="MVF199" s="234"/>
      <c r="MVG199" s="234"/>
      <c r="MVH199" s="234"/>
      <c r="MVI199" s="234"/>
      <c r="MVJ199" s="234"/>
      <c r="MVK199" s="234"/>
      <c r="MVL199" s="234"/>
      <c r="MVM199" s="234"/>
      <c r="MVN199" s="234"/>
      <c r="MVO199" s="234"/>
      <c r="MVP199" s="234"/>
      <c r="MVQ199" s="234"/>
      <c r="MVR199" s="234"/>
      <c r="MVS199" s="234"/>
      <c r="MVT199" s="234"/>
      <c r="MVU199" s="234"/>
      <c r="MVV199" s="234"/>
      <c r="MVW199" s="234"/>
      <c r="MVX199" s="234"/>
      <c r="MVY199" s="234"/>
      <c r="MVZ199" s="234"/>
      <c r="MWA199" s="234"/>
      <c r="MWB199" s="234"/>
      <c r="MWC199" s="234"/>
      <c r="MWD199" s="234"/>
      <c r="MWE199" s="234"/>
      <c r="MWF199" s="234"/>
      <c r="MWG199" s="234"/>
      <c r="MWH199" s="234"/>
      <c r="MWI199" s="234"/>
      <c r="MWJ199" s="234"/>
      <c r="MWK199" s="234"/>
      <c r="MWL199" s="234"/>
      <c r="MWM199" s="234"/>
      <c r="MWN199" s="234"/>
      <c r="MWO199" s="234"/>
      <c r="MWP199" s="234"/>
      <c r="MWQ199" s="234"/>
      <c r="MWR199" s="234"/>
      <c r="MWS199" s="234"/>
      <c r="MWT199" s="234"/>
      <c r="MWU199" s="234"/>
      <c r="MWV199" s="234"/>
      <c r="MWW199" s="234"/>
      <c r="MWX199" s="234"/>
      <c r="MWY199" s="234"/>
      <c r="MWZ199" s="234"/>
      <c r="MXA199" s="234"/>
      <c r="MXB199" s="234"/>
      <c r="MXC199" s="234"/>
      <c r="MXD199" s="234"/>
      <c r="MXE199" s="234"/>
      <c r="MXF199" s="234"/>
      <c r="MXG199" s="234"/>
      <c r="MXH199" s="234"/>
      <c r="MXI199" s="234"/>
      <c r="MXJ199" s="234"/>
      <c r="MXK199" s="234"/>
      <c r="MXL199" s="234"/>
      <c r="MXM199" s="234"/>
      <c r="MXN199" s="234"/>
      <c r="MXO199" s="234"/>
      <c r="MXP199" s="234"/>
      <c r="MXQ199" s="234"/>
      <c r="MXR199" s="234"/>
      <c r="MXS199" s="234"/>
      <c r="MXT199" s="234"/>
      <c r="MXU199" s="234"/>
      <c r="MXV199" s="234"/>
      <c r="MXW199" s="234"/>
      <c r="MXX199" s="234"/>
      <c r="MXY199" s="234"/>
      <c r="MXZ199" s="234"/>
      <c r="MYA199" s="234"/>
      <c r="MYB199" s="234"/>
      <c r="MYC199" s="234"/>
      <c r="MYD199" s="234"/>
      <c r="MYE199" s="234"/>
      <c r="MYF199" s="234"/>
      <c r="MYG199" s="234"/>
      <c r="MYH199" s="234"/>
      <c r="MYI199" s="234"/>
      <c r="MYJ199" s="234"/>
      <c r="MYK199" s="234"/>
      <c r="MYL199" s="234"/>
      <c r="MYM199" s="234"/>
      <c r="MYN199" s="234"/>
      <c r="MYO199" s="234"/>
      <c r="MYP199" s="234"/>
      <c r="MYQ199" s="234"/>
      <c r="MYR199" s="234"/>
      <c r="MYS199" s="234"/>
      <c r="MYT199" s="234"/>
      <c r="MYU199" s="234"/>
      <c r="MYV199" s="234"/>
      <c r="MYW199" s="234"/>
      <c r="MYX199" s="234"/>
      <c r="MYY199" s="234"/>
      <c r="MYZ199" s="234"/>
      <c r="MZA199" s="234"/>
      <c r="MZB199" s="234"/>
      <c r="MZC199" s="234"/>
      <c r="MZD199" s="234"/>
      <c r="MZE199" s="234"/>
      <c r="MZF199" s="234"/>
      <c r="MZG199" s="234"/>
      <c r="MZH199" s="234"/>
      <c r="MZI199" s="234"/>
      <c r="MZJ199" s="234"/>
      <c r="MZK199" s="234"/>
      <c r="MZL199" s="234"/>
      <c r="MZM199" s="234"/>
      <c r="MZN199" s="234"/>
      <c r="MZO199" s="234"/>
      <c r="MZP199" s="234"/>
      <c r="MZQ199" s="234"/>
      <c r="MZR199" s="234"/>
      <c r="MZS199" s="234"/>
      <c r="MZT199" s="234"/>
      <c r="MZU199" s="234"/>
      <c r="MZV199" s="234"/>
      <c r="MZW199" s="234"/>
      <c r="MZX199" s="234"/>
      <c r="MZY199" s="234"/>
      <c r="MZZ199" s="234"/>
      <c r="NAA199" s="234"/>
      <c r="NAB199" s="234"/>
      <c r="NAC199" s="234"/>
      <c r="NAD199" s="234"/>
      <c r="NAE199" s="234"/>
      <c r="NAF199" s="234"/>
      <c r="NAG199" s="234"/>
      <c r="NAH199" s="234"/>
      <c r="NAI199" s="234"/>
      <c r="NAJ199" s="234"/>
      <c r="NAK199" s="234"/>
      <c r="NAL199" s="234"/>
      <c r="NAM199" s="234"/>
      <c r="NAN199" s="234"/>
      <c r="NAO199" s="234"/>
      <c r="NAP199" s="234"/>
      <c r="NAQ199" s="234"/>
      <c r="NAR199" s="234"/>
      <c r="NAS199" s="234"/>
      <c r="NAT199" s="234"/>
      <c r="NAU199" s="234"/>
      <c r="NAV199" s="234"/>
      <c r="NAW199" s="234"/>
      <c r="NAX199" s="234"/>
      <c r="NAY199" s="234"/>
      <c r="NAZ199" s="234"/>
      <c r="NBA199" s="234"/>
      <c r="NBB199" s="234"/>
      <c r="NBC199" s="234"/>
      <c r="NBD199" s="234"/>
      <c r="NBE199" s="234"/>
      <c r="NBF199" s="234"/>
      <c r="NBG199" s="234"/>
      <c r="NBH199" s="234"/>
      <c r="NBI199" s="234"/>
      <c r="NBJ199" s="234"/>
      <c r="NBK199" s="234"/>
      <c r="NBL199" s="234"/>
      <c r="NBM199" s="234"/>
      <c r="NBN199" s="234"/>
      <c r="NBO199" s="234"/>
      <c r="NBP199" s="234"/>
      <c r="NBQ199" s="234"/>
      <c r="NBR199" s="234"/>
      <c r="NBS199" s="234"/>
      <c r="NBT199" s="234"/>
      <c r="NBU199" s="234"/>
      <c r="NBV199" s="234"/>
      <c r="NBW199" s="234"/>
      <c r="NBX199" s="234"/>
      <c r="NBY199" s="234"/>
      <c r="NBZ199" s="234"/>
      <c r="NCA199" s="234"/>
      <c r="NCB199" s="234"/>
      <c r="NCC199" s="234"/>
      <c r="NCD199" s="234"/>
      <c r="NCE199" s="234"/>
      <c r="NCF199" s="234"/>
      <c r="NCG199" s="234"/>
      <c r="NCH199" s="234"/>
      <c r="NCI199" s="234"/>
      <c r="NCJ199" s="234"/>
      <c r="NCK199" s="234"/>
      <c r="NCL199" s="234"/>
      <c r="NCM199" s="234"/>
      <c r="NCN199" s="234"/>
      <c r="NCO199" s="234"/>
      <c r="NCP199" s="234"/>
      <c r="NCQ199" s="234"/>
      <c r="NCR199" s="234"/>
      <c r="NCS199" s="234"/>
      <c r="NCT199" s="234"/>
      <c r="NCU199" s="234"/>
      <c r="NCV199" s="234"/>
      <c r="NCW199" s="234"/>
      <c r="NCX199" s="234"/>
      <c r="NCY199" s="234"/>
      <c r="NCZ199" s="234"/>
      <c r="NDA199" s="234"/>
      <c r="NDB199" s="234"/>
      <c r="NDC199" s="234"/>
      <c r="NDD199" s="234"/>
      <c r="NDE199" s="234"/>
      <c r="NDF199" s="234"/>
      <c r="NDG199" s="234"/>
      <c r="NDH199" s="234"/>
      <c r="NDI199" s="234"/>
      <c r="NDJ199" s="234"/>
      <c r="NDK199" s="234"/>
      <c r="NDL199" s="234"/>
      <c r="NDM199" s="234"/>
      <c r="NDN199" s="234"/>
      <c r="NDO199" s="234"/>
      <c r="NDP199" s="234"/>
      <c r="NDQ199" s="234"/>
      <c r="NDR199" s="234"/>
      <c r="NDS199" s="234"/>
      <c r="NDT199" s="234"/>
      <c r="NDU199" s="234"/>
      <c r="NDV199" s="234"/>
      <c r="NDW199" s="234"/>
      <c r="NDX199" s="234"/>
      <c r="NDY199" s="234"/>
      <c r="NDZ199" s="234"/>
      <c r="NEA199" s="234"/>
      <c r="NEB199" s="234"/>
      <c r="NEC199" s="234"/>
      <c r="NED199" s="234"/>
      <c r="NEE199" s="234"/>
      <c r="NEF199" s="234"/>
      <c r="NEG199" s="234"/>
      <c r="NEH199" s="234"/>
      <c r="NEI199" s="234"/>
      <c r="NEJ199" s="234"/>
      <c r="NEK199" s="234"/>
      <c r="NEL199" s="234"/>
      <c r="NEM199" s="234"/>
      <c r="NEN199" s="234"/>
      <c r="NEO199" s="234"/>
      <c r="NEP199" s="234"/>
      <c r="NEQ199" s="234"/>
      <c r="NER199" s="234"/>
      <c r="NES199" s="234"/>
      <c r="NET199" s="234"/>
      <c r="NEU199" s="234"/>
      <c r="NEV199" s="234"/>
      <c r="NEW199" s="234"/>
      <c r="NEX199" s="234"/>
      <c r="NEY199" s="234"/>
      <c r="NEZ199" s="234"/>
      <c r="NFA199" s="234"/>
      <c r="NFB199" s="234"/>
      <c r="NFC199" s="234"/>
      <c r="NFD199" s="234"/>
      <c r="NFE199" s="234"/>
      <c r="NFF199" s="234"/>
      <c r="NFG199" s="234"/>
      <c r="NFH199" s="234"/>
      <c r="NFI199" s="234"/>
      <c r="NFJ199" s="234"/>
      <c r="NFK199" s="234"/>
      <c r="NFL199" s="234"/>
      <c r="NFM199" s="234"/>
      <c r="NFN199" s="234"/>
      <c r="NFO199" s="234"/>
      <c r="NFP199" s="234"/>
      <c r="NFQ199" s="234"/>
      <c r="NFR199" s="234"/>
      <c r="NFS199" s="234"/>
      <c r="NFT199" s="234"/>
      <c r="NFU199" s="234"/>
      <c r="NFV199" s="234"/>
      <c r="NFW199" s="234"/>
      <c r="NFX199" s="234"/>
      <c r="NFY199" s="234"/>
      <c r="NFZ199" s="234"/>
      <c r="NGA199" s="234"/>
      <c r="NGB199" s="234"/>
      <c r="NGC199" s="234"/>
      <c r="NGD199" s="234"/>
      <c r="NGE199" s="234"/>
      <c r="NGF199" s="234"/>
      <c r="NGG199" s="234"/>
      <c r="NGH199" s="234"/>
      <c r="NGI199" s="234"/>
      <c r="NGJ199" s="234"/>
      <c r="NGK199" s="234"/>
      <c r="NGL199" s="234"/>
      <c r="NGM199" s="234"/>
      <c r="NGN199" s="234"/>
      <c r="NGO199" s="234"/>
      <c r="NGP199" s="234"/>
      <c r="NGQ199" s="234"/>
      <c r="NGR199" s="234"/>
      <c r="NGS199" s="234"/>
      <c r="NGT199" s="234"/>
      <c r="NGU199" s="234"/>
      <c r="NGV199" s="234"/>
      <c r="NGW199" s="234"/>
      <c r="NGX199" s="234"/>
      <c r="NGY199" s="234"/>
      <c r="NGZ199" s="234"/>
      <c r="NHA199" s="234"/>
      <c r="NHB199" s="234"/>
      <c r="NHC199" s="234"/>
      <c r="NHD199" s="234"/>
      <c r="NHE199" s="234"/>
      <c r="NHF199" s="234"/>
      <c r="NHG199" s="234"/>
      <c r="NHH199" s="234"/>
      <c r="NHI199" s="234"/>
      <c r="NHJ199" s="234"/>
      <c r="NHK199" s="234"/>
      <c r="NHL199" s="234"/>
      <c r="NHM199" s="234"/>
      <c r="NHN199" s="234"/>
      <c r="NHO199" s="234"/>
      <c r="NHP199" s="234"/>
      <c r="NHQ199" s="234"/>
      <c r="NHR199" s="234"/>
      <c r="NHS199" s="234"/>
      <c r="NHT199" s="234"/>
      <c r="NHU199" s="234"/>
      <c r="NHV199" s="234"/>
      <c r="NHW199" s="234"/>
      <c r="NHX199" s="234"/>
      <c r="NHY199" s="234"/>
      <c r="NHZ199" s="234"/>
      <c r="NIA199" s="234"/>
      <c r="NIB199" s="234"/>
      <c r="NIC199" s="234"/>
      <c r="NID199" s="234"/>
      <c r="NIE199" s="234"/>
      <c r="NIF199" s="234"/>
      <c r="NIG199" s="234"/>
      <c r="NIH199" s="234"/>
      <c r="NII199" s="234"/>
      <c r="NIJ199" s="234"/>
      <c r="NIK199" s="234"/>
      <c r="NIL199" s="234"/>
      <c r="NIM199" s="234"/>
      <c r="NIN199" s="234"/>
      <c r="NIO199" s="234"/>
      <c r="NIP199" s="234"/>
      <c r="NIQ199" s="234"/>
      <c r="NIR199" s="234"/>
      <c r="NIS199" s="234"/>
      <c r="NIT199" s="234"/>
      <c r="NIU199" s="234"/>
      <c r="NIV199" s="234"/>
      <c r="NIW199" s="234"/>
      <c r="NIX199" s="234"/>
      <c r="NIY199" s="234"/>
      <c r="NIZ199" s="234"/>
      <c r="NJA199" s="234"/>
      <c r="NJB199" s="234"/>
      <c r="NJC199" s="234"/>
      <c r="NJD199" s="234"/>
      <c r="NJE199" s="234"/>
      <c r="NJF199" s="234"/>
      <c r="NJG199" s="234"/>
      <c r="NJH199" s="234"/>
      <c r="NJI199" s="234"/>
      <c r="NJJ199" s="234"/>
      <c r="NJK199" s="234"/>
      <c r="NJL199" s="234"/>
      <c r="NJM199" s="234"/>
      <c r="NJN199" s="234"/>
      <c r="NJO199" s="234"/>
      <c r="NJP199" s="234"/>
      <c r="NJQ199" s="234"/>
      <c r="NJR199" s="234"/>
      <c r="NJS199" s="234"/>
      <c r="NJT199" s="234"/>
      <c r="NJU199" s="234"/>
      <c r="NJV199" s="234"/>
      <c r="NJW199" s="234"/>
      <c r="NJX199" s="234"/>
      <c r="NJY199" s="234"/>
      <c r="NJZ199" s="234"/>
      <c r="NKA199" s="234"/>
      <c r="NKB199" s="234"/>
      <c r="NKC199" s="234"/>
      <c r="NKD199" s="234"/>
      <c r="NKE199" s="234"/>
      <c r="NKF199" s="234"/>
      <c r="NKG199" s="234"/>
      <c r="NKH199" s="234"/>
      <c r="NKI199" s="234"/>
      <c r="NKJ199" s="234"/>
      <c r="NKK199" s="234"/>
      <c r="NKL199" s="234"/>
      <c r="NKM199" s="234"/>
      <c r="NKN199" s="234"/>
      <c r="NKO199" s="234"/>
      <c r="NKP199" s="234"/>
      <c r="NKQ199" s="234"/>
      <c r="NKR199" s="234"/>
      <c r="NKS199" s="234"/>
      <c r="NKT199" s="234"/>
      <c r="NKU199" s="234"/>
      <c r="NKV199" s="234"/>
      <c r="NKW199" s="234"/>
      <c r="NKX199" s="234"/>
      <c r="NKY199" s="234"/>
      <c r="NKZ199" s="234"/>
      <c r="NLA199" s="234"/>
      <c r="NLB199" s="234"/>
      <c r="NLC199" s="234"/>
      <c r="NLD199" s="234"/>
      <c r="NLE199" s="234"/>
      <c r="NLF199" s="234"/>
      <c r="NLG199" s="234"/>
      <c r="NLH199" s="234"/>
      <c r="NLI199" s="234"/>
      <c r="NLJ199" s="234"/>
      <c r="NLK199" s="234"/>
      <c r="NLL199" s="234"/>
      <c r="NLM199" s="234"/>
      <c r="NLN199" s="234"/>
      <c r="NLO199" s="234"/>
      <c r="NLP199" s="234"/>
      <c r="NLQ199" s="234"/>
      <c r="NLR199" s="234"/>
      <c r="NLS199" s="234"/>
      <c r="NLT199" s="234"/>
      <c r="NLU199" s="234"/>
      <c r="NLV199" s="234"/>
      <c r="NLW199" s="234"/>
      <c r="NLX199" s="234"/>
      <c r="NLY199" s="234"/>
      <c r="NLZ199" s="234"/>
      <c r="NMA199" s="234"/>
      <c r="NMB199" s="234"/>
      <c r="NMC199" s="234"/>
      <c r="NMD199" s="234"/>
      <c r="NME199" s="234"/>
      <c r="NMF199" s="234"/>
      <c r="NMG199" s="234"/>
      <c r="NMH199" s="234"/>
      <c r="NMI199" s="234"/>
      <c r="NMJ199" s="234"/>
      <c r="NMK199" s="234"/>
      <c r="NML199" s="234"/>
      <c r="NMM199" s="234"/>
      <c r="NMN199" s="234"/>
      <c r="NMO199" s="234"/>
      <c r="NMP199" s="234"/>
      <c r="NMQ199" s="234"/>
      <c r="NMR199" s="234"/>
      <c r="NMS199" s="234"/>
      <c r="NMT199" s="234"/>
      <c r="NMU199" s="234"/>
      <c r="NMV199" s="234"/>
      <c r="NMW199" s="234"/>
      <c r="NMX199" s="234"/>
      <c r="NMY199" s="234"/>
      <c r="NMZ199" s="234"/>
      <c r="NNA199" s="234"/>
      <c r="NNB199" s="234"/>
      <c r="NNC199" s="234"/>
      <c r="NND199" s="234"/>
      <c r="NNE199" s="234"/>
      <c r="NNF199" s="234"/>
      <c r="NNG199" s="234"/>
      <c r="NNH199" s="234"/>
      <c r="NNI199" s="234"/>
      <c r="NNJ199" s="234"/>
      <c r="NNK199" s="234"/>
      <c r="NNL199" s="234"/>
      <c r="NNM199" s="234"/>
      <c r="NNN199" s="234"/>
      <c r="NNO199" s="234"/>
      <c r="NNP199" s="234"/>
      <c r="NNQ199" s="234"/>
      <c r="NNR199" s="234"/>
      <c r="NNS199" s="234"/>
      <c r="NNT199" s="234"/>
      <c r="NNU199" s="234"/>
      <c r="NNV199" s="234"/>
      <c r="NNW199" s="234"/>
      <c r="NNX199" s="234"/>
      <c r="NNY199" s="234"/>
      <c r="NNZ199" s="234"/>
      <c r="NOA199" s="234"/>
      <c r="NOB199" s="234"/>
      <c r="NOC199" s="234"/>
      <c r="NOD199" s="234"/>
      <c r="NOE199" s="234"/>
      <c r="NOF199" s="234"/>
      <c r="NOG199" s="234"/>
      <c r="NOH199" s="234"/>
      <c r="NOI199" s="234"/>
      <c r="NOJ199" s="234"/>
      <c r="NOK199" s="234"/>
      <c r="NOL199" s="234"/>
      <c r="NOM199" s="234"/>
      <c r="NON199" s="234"/>
      <c r="NOO199" s="234"/>
      <c r="NOP199" s="234"/>
      <c r="NOQ199" s="234"/>
      <c r="NOR199" s="234"/>
      <c r="NOS199" s="234"/>
      <c r="NOT199" s="234"/>
      <c r="NOU199" s="234"/>
      <c r="NOV199" s="234"/>
      <c r="NOW199" s="234"/>
      <c r="NOX199" s="234"/>
      <c r="NOY199" s="234"/>
      <c r="NOZ199" s="234"/>
      <c r="NPA199" s="234"/>
      <c r="NPB199" s="234"/>
      <c r="NPC199" s="234"/>
      <c r="NPD199" s="234"/>
      <c r="NPE199" s="234"/>
      <c r="NPF199" s="234"/>
      <c r="NPG199" s="234"/>
      <c r="NPH199" s="234"/>
      <c r="NPI199" s="234"/>
      <c r="NPJ199" s="234"/>
      <c r="NPK199" s="234"/>
      <c r="NPL199" s="234"/>
      <c r="NPM199" s="234"/>
      <c r="NPN199" s="234"/>
      <c r="NPO199" s="234"/>
      <c r="NPP199" s="234"/>
      <c r="NPQ199" s="234"/>
      <c r="NPR199" s="234"/>
      <c r="NPS199" s="234"/>
      <c r="NPT199" s="234"/>
      <c r="NPU199" s="234"/>
      <c r="NPV199" s="234"/>
      <c r="NPW199" s="234"/>
      <c r="NPX199" s="234"/>
      <c r="NPY199" s="234"/>
      <c r="NPZ199" s="234"/>
      <c r="NQA199" s="234"/>
      <c r="NQB199" s="234"/>
      <c r="NQC199" s="234"/>
      <c r="NQD199" s="234"/>
      <c r="NQE199" s="234"/>
      <c r="NQF199" s="234"/>
      <c r="NQG199" s="234"/>
      <c r="NQH199" s="234"/>
      <c r="NQI199" s="234"/>
      <c r="NQJ199" s="234"/>
      <c r="NQK199" s="234"/>
      <c r="NQL199" s="234"/>
      <c r="NQM199" s="234"/>
      <c r="NQN199" s="234"/>
      <c r="NQO199" s="234"/>
      <c r="NQP199" s="234"/>
      <c r="NQQ199" s="234"/>
      <c r="NQR199" s="234"/>
      <c r="NQS199" s="234"/>
      <c r="NQT199" s="234"/>
      <c r="NQU199" s="234"/>
      <c r="NQV199" s="234"/>
      <c r="NQW199" s="234"/>
      <c r="NQX199" s="234"/>
      <c r="NQY199" s="234"/>
      <c r="NQZ199" s="234"/>
      <c r="NRA199" s="234"/>
      <c r="NRB199" s="234"/>
      <c r="NRC199" s="234"/>
      <c r="NRD199" s="234"/>
      <c r="NRE199" s="234"/>
      <c r="NRF199" s="234"/>
      <c r="NRG199" s="234"/>
      <c r="NRH199" s="234"/>
      <c r="NRI199" s="234"/>
      <c r="NRJ199" s="234"/>
      <c r="NRK199" s="234"/>
      <c r="NRL199" s="234"/>
      <c r="NRM199" s="234"/>
      <c r="NRN199" s="234"/>
      <c r="NRO199" s="234"/>
      <c r="NRP199" s="234"/>
      <c r="NRQ199" s="234"/>
      <c r="NRR199" s="234"/>
      <c r="NRS199" s="234"/>
      <c r="NRT199" s="234"/>
      <c r="NRU199" s="234"/>
      <c r="NRV199" s="234"/>
      <c r="NRW199" s="234"/>
      <c r="NRX199" s="234"/>
      <c r="NRY199" s="234"/>
      <c r="NRZ199" s="234"/>
      <c r="NSA199" s="234"/>
      <c r="NSB199" s="234"/>
      <c r="NSC199" s="234"/>
      <c r="NSD199" s="234"/>
      <c r="NSE199" s="234"/>
      <c r="NSF199" s="234"/>
      <c r="NSG199" s="234"/>
      <c r="NSH199" s="234"/>
      <c r="NSI199" s="234"/>
      <c r="NSJ199" s="234"/>
      <c r="NSK199" s="234"/>
      <c r="NSL199" s="234"/>
      <c r="NSM199" s="234"/>
      <c r="NSN199" s="234"/>
      <c r="NSO199" s="234"/>
      <c r="NSP199" s="234"/>
      <c r="NSQ199" s="234"/>
      <c r="NSR199" s="234"/>
      <c r="NSS199" s="234"/>
      <c r="NST199" s="234"/>
      <c r="NSU199" s="234"/>
      <c r="NSV199" s="234"/>
      <c r="NSW199" s="234"/>
      <c r="NSX199" s="234"/>
      <c r="NSY199" s="234"/>
      <c r="NSZ199" s="234"/>
      <c r="NTA199" s="234"/>
      <c r="NTB199" s="234"/>
      <c r="NTC199" s="234"/>
      <c r="NTD199" s="234"/>
      <c r="NTE199" s="234"/>
      <c r="NTF199" s="234"/>
      <c r="NTG199" s="234"/>
      <c r="NTH199" s="234"/>
      <c r="NTI199" s="234"/>
      <c r="NTJ199" s="234"/>
      <c r="NTK199" s="234"/>
      <c r="NTL199" s="234"/>
      <c r="NTM199" s="234"/>
      <c r="NTN199" s="234"/>
      <c r="NTO199" s="234"/>
      <c r="NTP199" s="234"/>
      <c r="NTQ199" s="234"/>
      <c r="NTR199" s="234"/>
      <c r="NTS199" s="234"/>
      <c r="NTT199" s="234"/>
      <c r="NTU199" s="234"/>
      <c r="NTV199" s="234"/>
      <c r="NTW199" s="234"/>
      <c r="NTX199" s="234"/>
      <c r="NTY199" s="234"/>
      <c r="NTZ199" s="234"/>
      <c r="NUA199" s="234"/>
      <c r="NUB199" s="234"/>
      <c r="NUC199" s="234"/>
      <c r="NUD199" s="234"/>
      <c r="NUE199" s="234"/>
      <c r="NUF199" s="234"/>
      <c r="NUG199" s="234"/>
      <c r="NUH199" s="234"/>
      <c r="NUI199" s="234"/>
      <c r="NUJ199" s="234"/>
      <c r="NUK199" s="234"/>
      <c r="NUL199" s="234"/>
      <c r="NUM199" s="234"/>
      <c r="NUN199" s="234"/>
      <c r="NUO199" s="234"/>
      <c r="NUP199" s="234"/>
      <c r="NUQ199" s="234"/>
      <c r="NUR199" s="234"/>
      <c r="NUS199" s="234"/>
      <c r="NUT199" s="234"/>
      <c r="NUU199" s="234"/>
      <c r="NUV199" s="234"/>
      <c r="NUW199" s="234"/>
      <c r="NUX199" s="234"/>
      <c r="NUY199" s="234"/>
      <c r="NUZ199" s="234"/>
      <c r="NVA199" s="234"/>
      <c r="NVB199" s="234"/>
      <c r="NVC199" s="234"/>
      <c r="NVD199" s="234"/>
      <c r="NVE199" s="234"/>
      <c r="NVF199" s="234"/>
      <c r="NVG199" s="234"/>
      <c r="NVH199" s="234"/>
      <c r="NVI199" s="234"/>
      <c r="NVJ199" s="234"/>
      <c r="NVK199" s="234"/>
      <c r="NVL199" s="234"/>
      <c r="NVM199" s="234"/>
      <c r="NVN199" s="234"/>
      <c r="NVO199" s="234"/>
      <c r="NVP199" s="234"/>
      <c r="NVQ199" s="234"/>
      <c r="NVR199" s="234"/>
      <c r="NVS199" s="234"/>
      <c r="NVT199" s="234"/>
      <c r="NVU199" s="234"/>
      <c r="NVV199" s="234"/>
      <c r="NVW199" s="234"/>
      <c r="NVX199" s="234"/>
      <c r="NVY199" s="234"/>
      <c r="NVZ199" s="234"/>
      <c r="NWA199" s="234"/>
      <c r="NWB199" s="234"/>
      <c r="NWC199" s="234"/>
      <c r="NWD199" s="234"/>
      <c r="NWE199" s="234"/>
      <c r="NWF199" s="234"/>
      <c r="NWG199" s="234"/>
      <c r="NWH199" s="234"/>
      <c r="NWI199" s="234"/>
      <c r="NWJ199" s="234"/>
      <c r="NWK199" s="234"/>
      <c r="NWL199" s="234"/>
      <c r="NWM199" s="234"/>
      <c r="NWN199" s="234"/>
      <c r="NWO199" s="234"/>
      <c r="NWP199" s="234"/>
      <c r="NWQ199" s="234"/>
      <c r="NWR199" s="234"/>
      <c r="NWS199" s="234"/>
      <c r="NWT199" s="234"/>
      <c r="NWU199" s="234"/>
      <c r="NWV199" s="234"/>
      <c r="NWW199" s="234"/>
      <c r="NWX199" s="234"/>
      <c r="NWY199" s="234"/>
      <c r="NWZ199" s="234"/>
      <c r="NXA199" s="234"/>
      <c r="NXB199" s="234"/>
      <c r="NXC199" s="234"/>
      <c r="NXD199" s="234"/>
      <c r="NXE199" s="234"/>
      <c r="NXF199" s="234"/>
      <c r="NXG199" s="234"/>
      <c r="NXH199" s="234"/>
      <c r="NXI199" s="234"/>
      <c r="NXJ199" s="234"/>
      <c r="NXK199" s="234"/>
      <c r="NXL199" s="234"/>
      <c r="NXM199" s="234"/>
      <c r="NXN199" s="234"/>
      <c r="NXO199" s="234"/>
      <c r="NXP199" s="234"/>
      <c r="NXQ199" s="234"/>
      <c r="NXR199" s="234"/>
      <c r="NXS199" s="234"/>
      <c r="NXT199" s="234"/>
      <c r="NXU199" s="234"/>
      <c r="NXV199" s="234"/>
      <c r="NXW199" s="234"/>
      <c r="NXX199" s="234"/>
      <c r="NXY199" s="234"/>
      <c r="NXZ199" s="234"/>
      <c r="NYA199" s="234"/>
      <c r="NYB199" s="234"/>
      <c r="NYC199" s="234"/>
      <c r="NYD199" s="234"/>
      <c r="NYE199" s="234"/>
      <c r="NYF199" s="234"/>
      <c r="NYG199" s="234"/>
      <c r="NYH199" s="234"/>
      <c r="NYI199" s="234"/>
      <c r="NYJ199" s="234"/>
      <c r="NYK199" s="234"/>
      <c r="NYL199" s="234"/>
      <c r="NYM199" s="234"/>
      <c r="NYN199" s="234"/>
      <c r="NYO199" s="234"/>
      <c r="NYP199" s="234"/>
      <c r="NYQ199" s="234"/>
      <c r="NYR199" s="234"/>
      <c r="NYS199" s="234"/>
      <c r="NYT199" s="234"/>
      <c r="NYU199" s="234"/>
      <c r="NYV199" s="234"/>
      <c r="NYW199" s="234"/>
      <c r="NYX199" s="234"/>
      <c r="NYY199" s="234"/>
      <c r="NYZ199" s="234"/>
      <c r="NZA199" s="234"/>
      <c r="NZB199" s="234"/>
      <c r="NZC199" s="234"/>
      <c r="NZD199" s="234"/>
      <c r="NZE199" s="234"/>
      <c r="NZF199" s="234"/>
      <c r="NZG199" s="234"/>
      <c r="NZH199" s="234"/>
      <c r="NZI199" s="234"/>
      <c r="NZJ199" s="234"/>
      <c r="NZK199" s="234"/>
      <c r="NZL199" s="234"/>
      <c r="NZM199" s="234"/>
      <c r="NZN199" s="234"/>
      <c r="NZO199" s="234"/>
      <c r="NZP199" s="234"/>
      <c r="NZQ199" s="234"/>
      <c r="NZR199" s="234"/>
      <c r="NZS199" s="234"/>
      <c r="NZT199" s="234"/>
      <c r="NZU199" s="234"/>
      <c r="NZV199" s="234"/>
      <c r="NZW199" s="234"/>
      <c r="NZX199" s="234"/>
      <c r="NZY199" s="234"/>
      <c r="NZZ199" s="234"/>
      <c r="OAA199" s="234"/>
      <c r="OAB199" s="234"/>
      <c r="OAC199" s="234"/>
      <c r="OAD199" s="234"/>
      <c r="OAE199" s="234"/>
      <c r="OAF199" s="234"/>
      <c r="OAG199" s="234"/>
      <c r="OAH199" s="234"/>
      <c r="OAI199" s="234"/>
      <c r="OAJ199" s="234"/>
      <c r="OAK199" s="234"/>
      <c r="OAL199" s="234"/>
      <c r="OAM199" s="234"/>
      <c r="OAN199" s="234"/>
      <c r="OAO199" s="234"/>
      <c r="OAP199" s="234"/>
      <c r="OAQ199" s="234"/>
      <c r="OAR199" s="234"/>
      <c r="OAS199" s="234"/>
      <c r="OAT199" s="234"/>
      <c r="OAU199" s="234"/>
      <c r="OAV199" s="234"/>
      <c r="OAW199" s="234"/>
      <c r="OAX199" s="234"/>
      <c r="OAY199" s="234"/>
      <c r="OAZ199" s="234"/>
      <c r="OBA199" s="234"/>
      <c r="OBB199" s="234"/>
      <c r="OBC199" s="234"/>
      <c r="OBD199" s="234"/>
      <c r="OBE199" s="234"/>
      <c r="OBF199" s="234"/>
      <c r="OBG199" s="234"/>
      <c r="OBH199" s="234"/>
      <c r="OBI199" s="234"/>
      <c r="OBJ199" s="234"/>
      <c r="OBK199" s="234"/>
      <c r="OBL199" s="234"/>
      <c r="OBM199" s="234"/>
      <c r="OBN199" s="234"/>
      <c r="OBO199" s="234"/>
      <c r="OBP199" s="234"/>
      <c r="OBQ199" s="234"/>
      <c r="OBR199" s="234"/>
      <c r="OBS199" s="234"/>
      <c r="OBT199" s="234"/>
      <c r="OBU199" s="234"/>
      <c r="OBV199" s="234"/>
      <c r="OBW199" s="234"/>
      <c r="OBX199" s="234"/>
      <c r="OBY199" s="234"/>
      <c r="OBZ199" s="234"/>
      <c r="OCA199" s="234"/>
      <c r="OCB199" s="234"/>
      <c r="OCC199" s="234"/>
      <c r="OCD199" s="234"/>
      <c r="OCE199" s="234"/>
      <c r="OCF199" s="234"/>
      <c r="OCG199" s="234"/>
      <c r="OCH199" s="234"/>
      <c r="OCI199" s="234"/>
      <c r="OCJ199" s="234"/>
      <c r="OCK199" s="234"/>
      <c r="OCL199" s="234"/>
      <c r="OCM199" s="234"/>
      <c r="OCN199" s="234"/>
      <c r="OCO199" s="234"/>
      <c r="OCP199" s="234"/>
      <c r="OCQ199" s="234"/>
      <c r="OCR199" s="234"/>
      <c r="OCS199" s="234"/>
      <c r="OCT199" s="234"/>
      <c r="OCU199" s="234"/>
      <c r="OCV199" s="234"/>
      <c r="OCW199" s="234"/>
      <c r="OCX199" s="234"/>
      <c r="OCY199" s="234"/>
      <c r="OCZ199" s="234"/>
      <c r="ODA199" s="234"/>
      <c r="ODB199" s="234"/>
      <c r="ODC199" s="234"/>
      <c r="ODD199" s="234"/>
      <c r="ODE199" s="234"/>
      <c r="ODF199" s="234"/>
      <c r="ODG199" s="234"/>
      <c r="ODH199" s="234"/>
      <c r="ODI199" s="234"/>
      <c r="ODJ199" s="234"/>
      <c r="ODK199" s="234"/>
      <c r="ODL199" s="234"/>
      <c r="ODM199" s="234"/>
      <c r="ODN199" s="234"/>
      <c r="ODO199" s="234"/>
      <c r="ODP199" s="234"/>
      <c r="ODQ199" s="234"/>
      <c r="ODR199" s="234"/>
      <c r="ODS199" s="234"/>
      <c r="ODT199" s="234"/>
      <c r="ODU199" s="234"/>
      <c r="ODV199" s="234"/>
      <c r="ODW199" s="234"/>
      <c r="ODX199" s="234"/>
      <c r="ODY199" s="234"/>
      <c r="ODZ199" s="234"/>
      <c r="OEA199" s="234"/>
      <c r="OEB199" s="234"/>
      <c r="OEC199" s="234"/>
      <c r="OED199" s="234"/>
      <c r="OEE199" s="234"/>
      <c r="OEF199" s="234"/>
      <c r="OEG199" s="234"/>
      <c r="OEH199" s="234"/>
      <c r="OEI199" s="234"/>
      <c r="OEJ199" s="234"/>
      <c r="OEK199" s="234"/>
      <c r="OEL199" s="234"/>
      <c r="OEM199" s="234"/>
      <c r="OEN199" s="234"/>
      <c r="OEO199" s="234"/>
      <c r="OEP199" s="234"/>
      <c r="OEQ199" s="234"/>
      <c r="OER199" s="234"/>
      <c r="OES199" s="234"/>
      <c r="OET199" s="234"/>
      <c r="OEU199" s="234"/>
      <c r="OEV199" s="234"/>
      <c r="OEW199" s="234"/>
      <c r="OEX199" s="234"/>
      <c r="OEY199" s="234"/>
      <c r="OEZ199" s="234"/>
      <c r="OFA199" s="234"/>
      <c r="OFB199" s="234"/>
      <c r="OFC199" s="234"/>
      <c r="OFD199" s="234"/>
      <c r="OFE199" s="234"/>
      <c r="OFF199" s="234"/>
      <c r="OFG199" s="234"/>
      <c r="OFH199" s="234"/>
      <c r="OFI199" s="234"/>
      <c r="OFJ199" s="234"/>
      <c r="OFK199" s="234"/>
      <c r="OFL199" s="234"/>
      <c r="OFM199" s="234"/>
      <c r="OFN199" s="234"/>
      <c r="OFO199" s="234"/>
      <c r="OFP199" s="234"/>
      <c r="OFQ199" s="234"/>
      <c r="OFR199" s="234"/>
      <c r="OFS199" s="234"/>
      <c r="OFT199" s="234"/>
      <c r="OFU199" s="234"/>
      <c r="OFV199" s="234"/>
      <c r="OFW199" s="234"/>
      <c r="OFX199" s="234"/>
      <c r="OFY199" s="234"/>
      <c r="OFZ199" s="234"/>
      <c r="OGA199" s="234"/>
      <c r="OGB199" s="234"/>
      <c r="OGC199" s="234"/>
      <c r="OGD199" s="234"/>
      <c r="OGE199" s="234"/>
      <c r="OGF199" s="234"/>
      <c r="OGG199" s="234"/>
      <c r="OGH199" s="234"/>
      <c r="OGI199" s="234"/>
      <c r="OGJ199" s="234"/>
      <c r="OGK199" s="234"/>
      <c r="OGL199" s="234"/>
      <c r="OGM199" s="234"/>
      <c r="OGN199" s="234"/>
      <c r="OGO199" s="234"/>
      <c r="OGP199" s="234"/>
      <c r="OGQ199" s="234"/>
      <c r="OGR199" s="234"/>
      <c r="OGS199" s="234"/>
      <c r="OGT199" s="234"/>
      <c r="OGU199" s="234"/>
      <c r="OGV199" s="234"/>
      <c r="OGW199" s="234"/>
      <c r="OGX199" s="234"/>
      <c r="OGY199" s="234"/>
      <c r="OGZ199" s="234"/>
      <c r="OHA199" s="234"/>
      <c r="OHB199" s="234"/>
      <c r="OHC199" s="234"/>
      <c r="OHD199" s="234"/>
      <c r="OHE199" s="234"/>
      <c r="OHF199" s="234"/>
      <c r="OHG199" s="234"/>
      <c r="OHH199" s="234"/>
      <c r="OHI199" s="234"/>
      <c r="OHJ199" s="234"/>
      <c r="OHK199" s="234"/>
      <c r="OHL199" s="234"/>
      <c r="OHM199" s="234"/>
      <c r="OHN199" s="234"/>
      <c r="OHO199" s="234"/>
      <c r="OHP199" s="234"/>
      <c r="OHQ199" s="234"/>
      <c r="OHR199" s="234"/>
      <c r="OHS199" s="234"/>
      <c r="OHT199" s="234"/>
      <c r="OHU199" s="234"/>
      <c r="OHV199" s="234"/>
      <c r="OHW199" s="234"/>
      <c r="OHX199" s="234"/>
      <c r="OHY199" s="234"/>
      <c r="OHZ199" s="234"/>
      <c r="OIA199" s="234"/>
      <c r="OIB199" s="234"/>
      <c r="OIC199" s="234"/>
      <c r="OID199" s="234"/>
      <c r="OIE199" s="234"/>
      <c r="OIF199" s="234"/>
      <c r="OIG199" s="234"/>
      <c r="OIH199" s="234"/>
      <c r="OII199" s="234"/>
      <c r="OIJ199" s="234"/>
      <c r="OIK199" s="234"/>
      <c r="OIL199" s="234"/>
      <c r="OIM199" s="234"/>
      <c r="OIN199" s="234"/>
      <c r="OIO199" s="234"/>
      <c r="OIP199" s="234"/>
      <c r="OIQ199" s="234"/>
      <c r="OIR199" s="234"/>
      <c r="OIS199" s="234"/>
      <c r="OIT199" s="234"/>
      <c r="OIU199" s="234"/>
      <c r="OIV199" s="234"/>
      <c r="OIW199" s="234"/>
      <c r="OIX199" s="234"/>
      <c r="OIY199" s="234"/>
      <c r="OIZ199" s="234"/>
      <c r="OJA199" s="234"/>
      <c r="OJB199" s="234"/>
      <c r="OJC199" s="234"/>
      <c r="OJD199" s="234"/>
      <c r="OJE199" s="234"/>
      <c r="OJF199" s="234"/>
      <c r="OJG199" s="234"/>
      <c r="OJH199" s="234"/>
      <c r="OJI199" s="234"/>
      <c r="OJJ199" s="234"/>
      <c r="OJK199" s="234"/>
      <c r="OJL199" s="234"/>
      <c r="OJM199" s="234"/>
      <c r="OJN199" s="234"/>
      <c r="OJO199" s="234"/>
      <c r="OJP199" s="234"/>
      <c r="OJQ199" s="234"/>
      <c r="OJR199" s="234"/>
      <c r="OJS199" s="234"/>
      <c r="OJT199" s="234"/>
      <c r="OJU199" s="234"/>
      <c r="OJV199" s="234"/>
      <c r="OJW199" s="234"/>
      <c r="OJX199" s="234"/>
      <c r="OJY199" s="234"/>
      <c r="OJZ199" s="234"/>
      <c r="OKA199" s="234"/>
      <c r="OKB199" s="234"/>
      <c r="OKC199" s="234"/>
      <c r="OKD199" s="234"/>
      <c r="OKE199" s="234"/>
      <c r="OKF199" s="234"/>
      <c r="OKG199" s="234"/>
      <c r="OKH199" s="234"/>
      <c r="OKI199" s="234"/>
      <c r="OKJ199" s="234"/>
      <c r="OKK199" s="234"/>
      <c r="OKL199" s="234"/>
      <c r="OKM199" s="234"/>
      <c r="OKN199" s="234"/>
      <c r="OKO199" s="234"/>
      <c r="OKP199" s="234"/>
      <c r="OKQ199" s="234"/>
      <c r="OKR199" s="234"/>
      <c r="OKS199" s="234"/>
      <c r="OKT199" s="234"/>
      <c r="OKU199" s="234"/>
      <c r="OKV199" s="234"/>
      <c r="OKW199" s="234"/>
      <c r="OKX199" s="234"/>
      <c r="OKY199" s="234"/>
      <c r="OKZ199" s="234"/>
      <c r="OLA199" s="234"/>
      <c r="OLB199" s="234"/>
      <c r="OLC199" s="234"/>
      <c r="OLD199" s="234"/>
      <c r="OLE199" s="234"/>
      <c r="OLF199" s="234"/>
      <c r="OLG199" s="234"/>
      <c r="OLH199" s="234"/>
      <c r="OLI199" s="234"/>
      <c r="OLJ199" s="234"/>
      <c r="OLK199" s="234"/>
      <c r="OLL199" s="234"/>
      <c r="OLM199" s="234"/>
      <c r="OLN199" s="234"/>
      <c r="OLO199" s="234"/>
      <c r="OLP199" s="234"/>
      <c r="OLQ199" s="234"/>
      <c r="OLR199" s="234"/>
      <c r="OLS199" s="234"/>
      <c r="OLT199" s="234"/>
      <c r="OLU199" s="234"/>
      <c r="OLV199" s="234"/>
      <c r="OLW199" s="234"/>
      <c r="OLX199" s="234"/>
      <c r="OLY199" s="234"/>
      <c r="OLZ199" s="234"/>
      <c r="OMA199" s="234"/>
      <c r="OMB199" s="234"/>
      <c r="OMC199" s="234"/>
      <c r="OMD199" s="234"/>
      <c r="OME199" s="234"/>
      <c r="OMF199" s="234"/>
      <c r="OMG199" s="234"/>
      <c r="OMH199" s="234"/>
      <c r="OMI199" s="234"/>
      <c r="OMJ199" s="234"/>
      <c r="OMK199" s="234"/>
      <c r="OML199" s="234"/>
      <c r="OMM199" s="234"/>
      <c r="OMN199" s="234"/>
      <c r="OMO199" s="234"/>
      <c r="OMP199" s="234"/>
      <c r="OMQ199" s="234"/>
      <c r="OMR199" s="234"/>
      <c r="OMS199" s="234"/>
      <c r="OMT199" s="234"/>
      <c r="OMU199" s="234"/>
      <c r="OMV199" s="234"/>
      <c r="OMW199" s="234"/>
      <c r="OMX199" s="234"/>
      <c r="OMY199" s="234"/>
      <c r="OMZ199" s="234"/>
      <c r="ONA199" s="234"/>
      <c r="ONB199" s="234"/>
      <c r="ONC199" s="234"/>
      <c r="OND199" s="234"/>
      <c r="ONE199" s="234"/>
      <c r="ONF199" s="234"/>
      <c r="ONG199" s="234"/>
      <c r="ONH199" s="234"/>
      <c r="ONI199" s="234"/>
      <c r="ONJ199" s="234"/>
      <c r="ONK199" s="234"/>
      <c r="ONL199" s="234"/>
      <c r="ONM199" s="234"/>
      <c r="ONN199" s="234"/>
      <c r="ONO199" s="234"/>
      <c r="ONP199" s="234"/>
      <c r="ONQ199" s="234"/>
      <c r="ONR199" s="234"/>
      <c r="ONS199" s="234"/>
      <c r="ONT199" s="234"/>
      <c r="ONU199" s="234"/>
      <c r="ONV199" s="234"/>
      <c r="ONW199" s="234"/>
      <c r="ONX199" s="234"/>
      <c r="ONY199" s="234"/>
      <c r="ONZ199" s="234"/>
      <c r="OOA199" s="234"/>
      <c r="OOB199" s="234"/>
      <c r="OOC199" s="234"/>
      <c r="OOD199" s="234"/>
      <c r="OOE199" s="234"/>
      <c r="OOF199" s="234"/>
      <c r="OOG199" s="234"/>
      <c r="OOH199" s="234"/>
      <c r="OOI199" s="234"/>
      <c r="OOJ199" s="234"/>
      <c r="OOK199" s="234"/>
      <c r="OOL199" s="234"/>
      <c r="OOM199" s="234"/>
      <c r="OON199" s="234"/>
      <c r="OOO199" s="234"/>
      <c r="OOP199" s="234"/>
      <c r="OOQ199" s="234"/>
      <c r="OOR199" s="234"/>
      <c r="OOS199" s="234"/>
      <c r="OOT199" s="234"/>
      <c r="OOU199" s="234"/>
      <c r="OOV199" s="234"/>
      <c r="OOW199" s="234"/>
      <c r="OOX199" s="234"/>
      <c r="OOY199" s="234"/>
      <c r="OOZ199" s="234"/>
      <c r="OPA199" s="234"/>
      <c r="OPB199" s="234"/>
      <c r="OPC199" s="234"/>
      <c r="OPD199" s="234"/>
      <c r="OPE199" s="234"/>
      <c r="OPF199" s="234"/>
      <c r="OPG199" s="234"/>
      <c r="OPH199" s="234"/>
      <c r="OPI199" s="234"/>
      <c r="OPJ199" s="234"/>
      <c r="OPK199" s="234"/>
      <c r="OPL199" s="234"/>
      <c r="OPM199" s="234"/>
      <c r="OPN199" s="234"/>
      <c r="OPO199" s="234"/>
      <c r="OPP199" s="234"/>
      <c r="OPQ199" s="234"/>
      <c r="OPR199" s="234"/>
      <c r="OPS199" s="234"/>
      <c r="OPT199" s="234"/>
      <c r="OPU199" s="234"/>
      <c r="OPV199" s="234"/>
      <c r="OPW199" s="234"/>
      <c r="OPX199" s="234"/>
      <c r="OPY199" s="234"/>
      <c r="OPZ199" s="234"/>
      <c r="OQA199" s="234"/>
      <c r="OQB199" s="234"/>
      <c r="OQC199" s="234"/>
      <c r="OQD199" s="234"/>
      <c r="OQE199" s="234"/>
      <c r="OQF199" s="234"/>
      <c r="OQG199" s="234"/>
      <c r="OQH199" s="234"/>
      <c r="OQI199" s="234"/>
      <c r="OQJ199" s="234"/>
      <c r="OQK199" s="234"/>
      <c r="OQL199" s="234"/>
      <c r="OQM199" s="234"/>
      <c r="OQN199" s="234"/>
      <c r="OQO199" s="234"/>
      <c r="OQP199" s="234"/>
      <c r="OQQ199" s="234"/>
      <c r="OQR199" s="234"/>
      <c r="OQS199" s="234"/>
      <c r="OQT199" s="234"/>
      <c r="OQU199" s="234"/>
      <c r="OQV199" s="234"/>
      <c r="OQW199" s="234"/>
      <c r="OQX199" s="234"/>
      <c r="OQY199" s="234"/>
      <c r="OQZ199" s="234"/>
      <c r="ORA199" s="234"/>
      <c r="ORB199" s="234"/>
      <c r="ORC199" s="234"/>
      <c r="ORD199" s="234"/>
      <c r="ORE199" s="234"/>
      <c r="ORF199" s="234"/>
      <c r="ORG199" s="234"/>
      <c r="ORH199" s="234"/>
      <c r="ORI199" s="234"/>
      <c r="ORJ199" s="234"/>
      <c r="ORK199" s="234"/>
      <c r="ORL199" s="234"/>
      <c r="ORM199" s="234"/>
      <c r="ORN199" s="234"/>
      <c r="ORO199" s="234"/>
      <c r="ORP199" s="234"/>
      <c r="ORQ199" s="234"/>
      <c r="ORR199" s="234"/>
      <c r="ORS199" s="234"/>
      <c r="ORT199" s="234"/>
      <c r="ORU199" s="234"/>
      <c r="ORV199" s="234"/>
      <c r="ORW199" s="234"/>
      <c r="ORX199" s="234"/>
      <c r="ORY199" s="234"/>
      <c r="ORZ199" s="234"/>
      <c r="OSA199" s="234"/>
      <c r="OSB199" s="234"/>
      <c r="OSC199" s="234"/>
      <c r="OSD199" s="234"/>
      <c r="OSE199" s="234"/>
      <c r="OSF199" s="234"/>
      <c r="OSG199" s="234"/>
      <c r="OSH199" s="234"/>
      <c r="OSI199" s="234"/>
      <c r="OSJ199" s="234"/>
      <c r="OSK199" s="234"/>
      <c r="OSL199" s="234"/>
      <c r="OSM199" s="234"/>
      <c r="OSN199" s="234"/>
      <c r="OSO199" s="234"/>
      <c r="OSP199" s="234"/>
      <c r="OSQ199" s="234"/>
      <c r="OSR199" s="234"/>
      <c r="OSS199" s="234"/>
      <c r="OST199" s="234"/>
      <c r="OSU199" s="234"/>
      <c r="OSV199" s="234"/>
      <c r="OSW199" s="234"/>
      <c r="OSX199" s="234"/>
      <c r="OSY199" s="234"/>
      <c r="OSZ199" s="234"/>
      <c r="OTA199" s="234"/>
      <c r="OTB199" s="234"/>
      <c r="OTC199" s="234"/>
      <c r="OTD199" s="234"/>
      <c r="OTE199" s="234"/>
      <c r="OTF199" s="234"/>
      <c r="OTG199" s="234"/>
      <c r="OTH199" s="234"/>
      <c r="OTI199" s="234"/>
      <c r="OTJ199" s="234"/>
      <c r="OTK199" s="234"/>
      <c r="OTL199" s="234"/>
      <c r="OTM199" s="234"/>
      <c r="OTN199" s="234"/>
      <c r="OTO199" s="234"/>
      <c r="OTP199" s="234"/>
      <c r="OTQ199" s="234"/>
      <c r="OTR199" s="234"/>
      <c r="OTS199" s="234"/>
      <c r="OTT199" s="234"/>
      <c r="OTU199" s="234"/>
      <c r="OTV199" s="234"/>
      <c r="OTW199" s="234"/>
      <c r="OTX199" s="234"/>
      <c r="OTY199" s="234"/>
      <c r="OTZ199" s="234"/>
      <c r="OUA199" s="234"/>
      <c r="OUB199" s="234"/>
      <c r="OUC199" s="234"/>
      <c r="OUD199" s="234"/>
      <c r="OUE199" s="234"/>
      <c r="OUF199" s="234"/>
      <c r="OUG199" s="234"/>
      <c r="OUH199" s="234"/>
      <c r="OUI199" s="234"/>
      <c r="OUJ199" s="234"/>
      <c r="OUK199" s="234"/>
      <c r="OUL199" s="234"/>
      <c r="OUM199" s="234"/>
      <c r="OUN199" s="234"/>
      <c r="OUO199" s="234"/>
      <c r="OUP199" s="234"/>
      <c r="OUQ199" s="234"/>
      <c r="OUR199" s="234"/>
      <c r="OUS199" s="234"/>
      <c r="OUT199" s="234"/>
      <c r="OUU199" s="234"/>
      <c r="OUV199" s="234"/>
      <c r="OUW199" s="234"/>
      <c r="OUX199" s="234"/>
      <c r="OUY199" s="234"/>
      <c r="OUZ199" s="234"/>
      <c r="OVA199" s="234"/>
      <c r="OVB199" s="234"/>
      <c r="OVC199" s="234"/>
      <c r="OVD199" s="234"/>
      <c r="OVE199" s="234"/>
      <c r="OVF199" s="234"/>
      <c r="OVG199" s="234"/>
      <c r="OVH199" s="234"/>
      <c r="OVI199" s="234"/>
      <c r="OVJ199" s="234"/>
      <c r="OVK199" s="234"/>
      <c r="OVL199" s="234"/>
      <c r="OVM199" s="234"/>
      <c r="OVN199" s="234"/>
      <c r="OVO199" s="234"/>
      <c r="OVP199" s="234"/>
      <c r="OVQ199" s="234"/>
      <c r="OVR199" s="234"/>
      <c r="OVS199" s="234"/>
      <c r="OVT199" s="234"/>
      <c r="OVU199" s="234"/>
      <c r="OVV199" s="234"/>
      <c r="OVW199" s="234"/>
      <c r="OVX199" s="234"/>
      <c r="OVY199" s="234"/>
      <c r="OVZ199" s="234"/>
      <c r="OWA199" s="234"/>
      <c r="OWB199" s="234"/>
      <c r="OWC199" s="234"/>
      <c r="OWD199" s="234"/>
      <c r="OWE199" s="234"/>
      <c r="OWF199" s="234"/>
      <c r="OWG199" s="234"/>
      <c r="OWH199" s="234"/>
      <c r="OWI199" s="234"/>
      <c r="OWJ199" s="234"/>
      <c r="OWK199" s="234"/>
      <c r="OWL199" s="234"/>
      <c r="OWM199" s="234"/>
      <c r="OWN199" s="234"/>
      <c r="OWO199" s="234"/>
      <c r="OWP199" s="234"/>
      <c r="OWQ199" s="234"/>
      <c r="OWR199" s="234"/>
      <c r="OWS199" s="234"/>
      <c r="OWT199" s="234"/>
      <c r="OWU199" s="234"/>
      <c r="OWV199" s="234"/>
      <c r="OWW199" s="234"/>
      <c r="OWX199" s="234"/>
      <c r="OWY199" s="234"/>
      <c r="OWZ199" s="234"/>
      <c r="OXA199" s="234"/>
      <c r="OXB199" s="234"/>
      <c r="OXC199" s="234"/>
      <c r="OXD199" s="234"/>
      <c r="OXE199" s="234"/>
      <c r="OXF199" s="234"/>
      <c r="OXG199" s="234"/>
      <c r="OXH199" s="234"/>
      <c r="OXI199" s="234"/>
      <c r="OXJ199" s="234"/>
      <c r="OXK199" s="234"/>
      <c r="OXL199" s="234"/>
      <c r="OXM199" s="234"/>
      <c r="OXN199" s="234"/>
      <c r="OXO199" s="234"/>
      <c r="OXP199" s="234"/>
      <c r="OXQ199" s="234"/>
      <c r="OXR199" s="234"/>
      <c r="OXS199" s="234"/>
      <c r="OXT199" s="234"/>
      <c r="OXU199" s="234"/>
      <c r="OXV199" s="234"/>
      <c r="OXW199" s="234"/>
      <c r="OXX199" s="234"/>
      <c r="OXY199" s="234"/>
      <c r="OXZ199" s="234"/>
      <c r="OYA199" s="234"/>
      <c r="OYB199" s="234"/>
      <c r="OYC199" s="234"/>
      <c r="OYD199" s="234"/>
      <c r="OYE199" s="234"/>
      <c r="OYF199" s="234"/>
      <c r="OYG199" s="234"/>
      <c r="OYH199" s="234"/>
      <c r="OYI199" s="234"/>
      <c r="OYJ199" s="234"/>
      <c r="OYK199" s="234"/>
      <c r="OYL199" s="234"/>
      <c r="OYM199" s="234"/>
      <c r="OYN199" s="234"/>
      <c r="OYO199" s="234"/>
      <c r="OYP199" s="234"/>
      <c r="OYQ199" s="234"/>
      <c r="OYR199" s="234"/>
      <c r="OYS199" s="234"/>
      <c r="OYT199" s="234"/>
      <c r="OYU199" s="234"/>
      <c r="OYV199" s="234"/>
      <c r="OYW199" s="234"/>
      <c r="OYX199" s="234"/>
      <c r="OYY199" s="234"/>
      <c r="OYZ199" s="234"/>
      <c r="OZA199" s="234"/>
      <c r="OZB199" s="234"/>
      <c r="OZC199" s="234"/>
      <c r="OZD199" s="234"/>
      <c r="OZE199" s="234"/>
      <c r="OZF199" s="234"/>
      <c r="OZG199" s="234"/>
      <c r="OZH199" s="234"/>
      <c r="OZI199" s="234"/>
      <c r="OZJ199" s="234"/>
      <c r="OZK199" s="234"/>
      <c r="OZL199" s="234"/>
      <c r="OZM199" s="234"/>
      <c r="OZN199" s="234"/>
      <c r="OZO199" s="234"/>
      <c r="OZP199" s="234"/>
      <c r="OZQ199" s="234"/>
      <c r="OZR199" s="234"/>
      <c r="OZS199" s="234"/>
      <c r="OZT199" s="234"/>
      <c r="OZU199" s="234"/>
      <c r="OZV199" s="234"/>
      <c r="OZW199" s="234"/>
      <c r="OZX199" s="234"/>
      <c r="OZY199" s="234"/>
      <c r="OZZ199" s="234"/>
      <c r="PAA199" s="234"/>
      <c r="PAB199" s="234"/>
      <c r="PAC199" s="234"/>
      <c r="PAD199" s="234"/>
      <c r="PAE199" s="234"/>
      <c r="PAF199" s="234"/>
      <c r="PAG199" s="234"/>
      <c r="PAH199" s="234"/>
      <c r="PAI199" s="234"/>
      <c r="PAJ199" s="234"/>
      <c r="PAK199" s="234"/>
      <c r="PAL199" s="234"/>
      <c r="PAM199" s="234"/>
      <c r="PAN199" s="234"/>
      <c r="PAO199" s="234"/>
      <c r="PAP199" s="234"/>
      <c r="PAQ199" s="234"/>
      <c r="PAR199" s="234"/>
      <c r="PAS199" s="234"/>
      <c r="PAT199" s="234"/>
      <c r="PAU199" s="234"/>
      <c r="PAV199" s="234"/>
      <c r="PAW199" s="234"/>
      <c r="PAX199" s="234"/>
      <c r="PAY199" s="234"/>
      <c r="PAZ199" s="234"/>
      <c r="PBA199" s="234"/>
      <c r="PBB199" s="234"/>
      <c r="PBC199" s="234"/>
      <c r="PBD199" s="234"/>
      <c r="PBE199" s="234"/>
      <c r="PBF199" s="234"/>
      <c r="PBG199" s="234"/>
      <c r="PBH199" s="234"/>
      <c r="PBI199" s="234"/>
      <c r="PBJ199" s="234"/>
      <c r="PBK199" s="234"/>
      <c r="PBL199" s="234"/>
      <c r="PBM199" s="234"/>
      <c r="PBN199" s="234"/>
      <c r="PBO199" s="234"/>
      <c r="PBP199" s="234"/>
      <c r="PBQ199" s="234"/>
      <c r="PBR199" s="234"/>
      <c r="PBS199" s="234"/>
      <c r="PBT199" s="234"/>
      <c r="PBU199" s="234"/>
      <c r="PBV199" s="234"/>
      <c r="PBW199" s="234"/>
      <c r="PBX199" s="234"/>
      <c r="PBY199" s="234"/>
      <c r="PBZ199" s="234"/>
      <c r="PCA199" s="234"/>
      <c r="PCB199" s="234"/>
      <c r="PCC199" s="234"/>
      <c r="PCD199" s="234"/>
      <c r="PCE199" s="234"/>
      <c r="PCF199" s="234"/>
      <c r="PCG199" s="234"/>
      <c r="PCH199" s="234"/>
      <c r="PCI199" s="234"/>
      <c r="PCJ199" s="234"/>
      <c r="PCK199" s="234"/>
      <c r="PCL199" s="234"/>
      <c r="PCM199" s="234"/>
      <c r="PCN199" s="234"/>
      <c r="PCO199" s="234"/>
      <c r="PCP199" s="234"/>
      <c r="PCQ199" s="234"/>
      <c r="PCR199" s="234"/>
      <c r="PCS199" s="234"/>
      <c r="PCT199" s="234"/>
      <c r="PCU199" s="234"/>
      <c r="PCV199" s="234"/>
      <c r="PCW199" s="234"/>
      <c r="PCX199" s="234"/>
      <c r="PCY199" s="234"/>
      <c r="PCZ199" s="234"/>
      <c r="PDA199" s="234"/>
      <c r="PDB199" s="234"/>
      <c r="PDC199" s="234"/>
      <c r="PDD199" s="234"/>
      <c r="PDE199" s="234"/>
      <c r="PDF199" s="234"/>
      <c r="PDG199" s="234"/>
      <c r="PDH199" s="234"/>
      <c r="PDI199" s="234"/>
      <c r="PDJ199" s="234"/>
      <c r="PDK199" s="234"/>
      <c r="PDL199" s="234"/>
      <c r="PDM199" s="234"/>
      <c r="PDN199" s="234"/>
      <c r="PDO199" s="234"/>
      <c r="PDP199" s="234"/>
      <c r="PDQ199" s="234"/>
      <c r="PDR199" s="234"/>
      <c r="PDS199" s="234"/>
      <c r="PDT199" s="234"/>
      <c r="PDU199" s="234"/>
      <c r="PDV199" s="234"/>
      <c r="PDW199" s="234"/>
      <c r="PDX199" s="234"/>
      <c r="PDY199" s="234"/>
      <c r="PDZ199" s="234"/>
      <c r="PEA199" s="234"/>
      <c r="PEB199" s="234"/>
      <c r="PEC199" s="234"/>
      <c r="PED199" s="234"/>
      <c r="PEE199" s="234"/>
      <c r="PEF199" s="234"/>
      <c r="PEG199" s="234"/>
      <c r="PEH199" s="234"/>
      <c r="PEI199" s="234"/>
      <c r="PEJ199" s="234"/>
      <c r="PEK199" s="234"/>
      <c r="PEL199" s="234"/>
      <c r="PEM199" s="234"/>
      <c r="PEN199" s="234"/>
      <c r="PEO199" s="234"/>
      <c r="PEP199" s="234"/>
      <c r="PEQ199" s="234"/>
      <c r="PER199" s="234"/>
      <c r="PES199" s="234"/>
      <c r="PET199" s="234"/>
      <c r="PEU199" s="234"/>
      <c r="PEV199" s="234"/>
      <c r="PEW199" s="234"/>
      <c r="PEX199" s="234"/>
      <c r="PEY199" s="234"/>
      <c r="PEZ199" s="234"/>
      <c r="PFA199" s="234"/>
      <c r="PFB199" s="234"/>
      <c r="PFC199" s="234"/>
      <c r="PFD199" s="234"/>
      <c r="PFE199" s="234"/>
      <c r="PFF199" s="234"/>
      <c r="PFG199" s="234"/>
      <c r="PFH199" s="234"/>
      <c r="PFI199" s="234"/>
      <c r="PFJ199" s="234"/>
      <c r="PFK199" s="234"/>
      <c r="PFL199" s="234"/>
      <c r="PFM199" s="234"/>
      <c r="PFN199" s="234"/>
      <c r="PFO199" s="234"/>
      <c r="PFP199" s="234"/>
      <c r="PFQ199" s="234"/>
      <c r="PFR199" s="234"/>
      <c r="PFS199" s="234"/>
      <c r="PFT199" s="234"/>
      <c r="PFU199" s="234"/>
      <c r="PFV199" s="234"/>
      <c r="PFW199" s="234"/>
      <c r="PFX199" s="234"/>
      <c r="PFY199" s="234"/>
      <c r="PFZ199" s="234"/>
      <c r="PGA199" s="234"/>
      <c r="PGB199" s="234"/>
      <c r="PGC199" s="234"/>
      <c r="PGD199" s="234"/>
      <c r="PGE199" s="234"/>
      <c r="PGF199" s="234"/>
      <c r="PGG199" s="234"/>
      <c r="PGH199" s="234"/>
      <c r="PGI199" s="234"/>
      <c r="PGJ199" s="234"/>
      <c r="PGK199" s="234"/>
      <c r="PGL199" s="234"/>
      <c r="PGM199" s="234"/>
      <c r="PGN199" s="234"/>
      <c r="PGO199" s="234"/>
      <c r="PGP199" s="234"/>
      <c r="PGQ199" s="234"/>
      <c r="PGR199" s="234"/>
      <c r="PGS199" s="234"/>
      <c r="PGT199" s="234"/>
      <c r="PGU199" s="234"/>
      <c r="PGV199" s="234"/>
      <c r="PGW199" s="234"/>
      <c r="PGX199" s="234"/>
      <c r="PGY199" s="234"/>
      <c r="PGZ199" s="234"/>
      <c r="PHA199" s="234"/>
      <c r="PHB199" s="234"/>
      <c r="PHC199" s="234"/>
      <c r="PHD199" s="234"/>
      <c r="PHE199" s="234"/>
      <c r="PHF199" s="234"/>
      <c r="PHG199" s="234"/>
      <c r="PHH199" s="234"/>
      <c r="PHI199" s="234"/>
      <c r="PHJ199" s="234"/>
      <c r="PHK199" s="234"/>
      <c r="PHL199" s="234"/>
      <c r="PHM199" s="234"/>
      <c r="PHN199" s="234"/>
      <c r="PHO199" s="234"/>
      <c r="PHP199" s="234"/>
      <c r="PHQ199" s="234"/>
      <c r="PHR199" s="234"/>
      <c r="PHS199" s="234"/>
      <c r="PHT199" s="234"/>
      <c r="PHU199" s="234"/>
      <c r="PHV199" s="234"/>
      <c r="PHW199" s="234"/>
      <c r="PHX199" s="234"/>
      <c r="PHY199" s="234"/>
      <c r="PHZ199" s="234"/>
      <c r="PIA199" s="234"/>
      <c r="PIB199" s="234"/>
      <c r="PIC199" s="234"/>
      <c r="PID199" s="234"/>
      <c r="PIE199" s="234"/>
      <c r="PIF199" s="234"/>
      <c r="PIG199" s="234"/>
      <c r="PIH199" s="234"/>
      <c r="PII199" s="234"/>
      <c r="PIJ199" s="234"/>
      <c r="PIK199" s="234"/>
      <c r="PIL199" s="234"/>
      <c r="PIM199" s="234"/>
      <c r="PIN199" s="234"/>
      <c r="PIO199" s="234"/>
      <c r="PIP199" s="234"/>
      <c r="PIQ199" s="234"/>
      <c r="PIR199" s="234"/>
      <c r="PIS199" s="234"/>
      <c r="PIT199" s="234"/>
      <c r="PIU199" s="234"/>
      <c r="PIV199" s="234"/>
      <c r="PIW199" s="234"/>
      <c r="PIX199" s="234"/>
      <c r="PIY199" s="234"/>
      <c r="PIZ199" s="234"/>
      <c r="PJA199" s="234"/>
      <c r="PJB199" s="234"/>
      <c r="PJC199" s="234"/>
      <c r="PJD199" s="234"/>
      <c r="PJE199" s="234"/>
      <c r="PJF199" s="234"/>
      <c r="PJG199" s="234"/>
      <c r="PJH199" s="234"/>
      <c r="PJI199" s="234"/>
      <c r="PJJ199" s="234"/>
      <c r="PJK199" s="234"/>
      <c r="PJL199" s="234"/>
      <c r="PJM199" s="234"/>
      <c r="PJN199" s="234"/>
      <c r="PJO199" s="234"/>
      <c r="PJP199" s="234"/>
      <c r="PJQ199" s="234"/>
      <c r="PJR199" s="234"/>
      <c r="PJS199" s="234"/>
      <c r="PJT199" s="234"/>
      <c r="PJU199" s="234"/>
      <c r="PJV199" s="234"/>
      <c r="PJW199" s="234"/>
      <c r="PJX199" s="234"/>
      <c r="PJY199" s="234"/>
      <c r="PJZ199" s="234"/>
      <c r="PKA199" s="234"/>
      <c r="PKB199" s="234"/>
      <c r="PKC199" s="234"/>
      <c r="PKD199" s="234"/>
      <c r="PKE199" s="234"/>
      <c r="PKF199" s="234"/>
      <c r="PKG199" s="234"/>
      <c r="PKH199" s="234"/>
      <c r="PKI199" s="234"/>
      <c r="PKJ199" s="234"/>
      <c r="PKK199" s="234"/>
      <c r="PKL199" s="234"/>
      <c r="PKM199" s="234"/>
      <c r="PKN199" s="234"/>
      <c r="PKO199" s="234"/>
      <c r="PKP199" s="234"/>
      <c r="PKQ199" s="234"/>
      <c r="PKR199" s="234"/>
      <c r="PKS199" s="234"/>
      <c r="PKT199" s="234"/>
      <c r="PKU199" s="234"/>
      <c r="PKV199" s="234"/>
      <c r="PKW199" s="234"/>
      <c r="PKX199" s="234"/>
      <c r="PKY199" s="234"/>
      <c r="PKZ199" s="234"/>
      <c r="PLA199" s="234"/>
      <c r="PLB199" s="234"/>
      <c r="PLC199" s="234"/>
      <c r="PLD199" s="234"/>
      <c r="PLE199" s="234"/>
      <c r="PLF199" s="234"/>
      <c r="PLG199" s="234"/>
      <c r="PLH199" s="234"/>
      <c r="PLI199" s="234"/>
      <c r="PLJ199" s="234"/>
      <c r="PLK199" s="234"/>
      <c r="PLL199" s="234"/>
      <c r="PLM199" s="234"/>
      <c r="PLN199" s="234"/>
      <c r="PLO199" s="234"/>
      <c r="PLP199" s="234"/>
      <c r="PLQ199" s="234"/>
      <c r="PLR199" s="234"/>
      <c r="PLS199" s="234"/>
      <c r="PLT199" s="234"/>
      <c r="PLU199" s="234"/>
      <c r="PLV199" s="234"/>
      <c r="PLW199" s="234"/>
      <c r="PLX199" s="234"/>
      <c r="PLY199" s="234"/>
      <c r="PLZ199" s="234"/>
      <c r="PMA199" s="234"/>
      <c r="PMB199" s="234"/>
      <c r="PMC199" s="234"/>
      <c r="PMD199" s="234"/>
      <c r="PME199" s="234"/>
      <c r="PMF199" s="234"/>
      <c r="PMG199" s="234"/>
      <c r="PMH199" s="234"/>
      <c r="PMI199" s="234"/>
      <c r="PMJ199" s="234"/>
      <c r="PMK199" s="234"/>
      <c r="PML199" s="234"/>
      <c r="PMM199" s="234"/>
      <c r="PMN199" s="234"/>
      <c r="PMO199" s="234"/>
      <c r="PMP199" s="234"/>
      <c r="PMQ199" s="234"/>
      <c r="PMR199" s="234"/>
      <c r="PMS199" s="234"/>
      <c r="PMT199" s="234"/>
      <c r="PMU199" s="234"/>
      <c r="PMV199" s="234"/>
      <c r="PMW199" s="234"/>
      <c r="PMX199" s="234"/>
      <c r="PMY199" s="234"/>
      <c r="PMZ199" s="234"/>
      <c r="PNA199" s="234"/>
      <c r="PNB199" s="234"/>
      <c r="PNC199" s="234"/>
      <c r="PND199" s="234"/>
      <c r="PNE199" s="234"/>
      <c r="PNF199" s="234"/>
      <c r="PNG199" s="234"/>
      <c r="PNH199" s="234"/>
      <c r="PNI199" s="234"/>
      <c r="PNJ199" s="234"/>
      <c r="PNK199" s="234"/>
      <c r="PNL199" s="234"/>
      <c r="PNM199" s="234"/>
      <c r="PNN199" s="234"/>
      <c r="PNO199" s="234"/>
      <c r="PNP199" s="234"/>
      <c r="PNQ199" s="234"/>
      <c r="PNR199" s="234"/>
      <c r="PNS199" s="234"/>
      <c r="PNT199" s="234"/>
      <c r="PNU199" s="234"/>
      <c r="PNV199" s="234"/>
      <c r="PNW199" s="234"/>
      <c r="PNX199" s="234"/>
      <c r="PNY199" s="234"/>
      <c r="PNZ199" s="234"/>
      <c r="POA199" s="234"/>
      <c r="POB199" s="234"/>
      <c r="POC199" s="234"/>
      <c r="POD199" s="234"/>
      <c r="POE199" s="234"/>
      <c r="POF199" s="234"/>
      <c r="POG199" s="234"/>
      <c r="POH199" s="234"/>
      <c r="POI199" s="234"/>
      <c r="POJ199" s="234"/>
      <c r="POK199" s="234"/>
      <c r="POL199" s="234"/>
      <c r="POM199" s="234"/>
      <c r="PON199" s="234"/>
      <c r="POO199" s="234"/>
      <c r="POP199" s="234"/>
      <c r="POQ199" s="234"/>
      <c r="POR199" s="234"/>
      <c r="POS199" s="234"/>
      <c r="POT199" s="234"/>
      <c r="POU199" s="234"/>
      <c r="POV199" s="234"/>
      <c r="POW199" s="234"/>
      <c r="POX199" s="234"/>
      <c r="POY199" s="234"/>
      <c r="POZ199" s="234"/>
      <c r="PPA199" s="234"/>
      <c r="PPB199" s="234"/>
      <c r="PPC199" s="234"/>
      <c r="PPD199" s="234"/>
      <c r="PPE199" s="234"/>
      <c r="PPF199" s="234"/>
      <c r="PPG199" s="234"/>
      <c r="PPH199" s="234"/>
      <c r="PPI199" s="234"/>
      <c r="PPJ199" s="234"/>
      <c r="PPK199" s="234"/>
      <c r="PPL199" s="234"/>
      <c r="PPM199" s="234"/>
      <c r="PPN199" s="234"/>
      <c r="PPO199" s="234"/>
      <c r="PPP199" s="234"/>
      <c r="PPQ199" s="234"/>
      <c r="PPR199" s="234"/>
      <c r="PPS199" s="234"/>
      <c r="PPT199" s="234"/>
      <c r="PPU199" s="234"/>
      <c r="PPV199" s="234"/>
      <c r="PPW199" s="234"/>
      <c r="PPX199" s="234"/>
      <c r="PPY199" s="234"/>
      <c r="PPZ199" s="234"/>
      <c r="PQA199" s="234"/>
      <c r="PQB199" s="234"/>
      <c r="PQC199" s="234"/>
      <c r="PQD199" s="234"/>
      <c r="PQE199" s="234"/>
      <c r="PQF199" s="234"/>
      <c r="PQG199" s="234"/>
      <c r="PQH199" s="234"/>
      <c r="PQI199" s="234"/>
      <c r="PQJ199" s="234"/>
      <c r="PQK199" s="234"/>
      <c r="PQL199" s="234"/>
      <c r="PQM199" s="234"/>
      <c r="PQN199" s="234"/>
      <c r="PQO199" s="234"/>
      <c r="PQP199" s="234"/>
      <c r="PQQ199" s="234"/>
      <c r="PQR199" s="234"/>
      <c r="PQS199" s="234"/>
      <c r="PQT199" s="234"/>
      <c r="PQU199" s="234"/>
      <c r="PQV199" s="234"/>
      <c r="PQW199" s="234"/>
      <c r="PQX199" s="234"/>
      <c r="PQY199" s="234"/>
      <c r="PQZ199" s="234"/>
      <c r="PRA199" s="234"/>
      <c r="PRB199" s="234"/>
      <c r="PRC199" s="234"/>
      <c r="PRD199" s="234"/>
      <c r="PRE199" s="234"/>
      <c r="PRF199" s="234"/>
      <c r="PRG199" s="234"/>
      <c r="PRH199" s="234"/>
      <c r="PRI199" s="234"/>
      <c r="PRJ199" s="234"/>
      <c r="PRK199" s="234"/>
      <c r="PRL199" s="234"/>
      <c r="PRM199" s="234"/>
      <c r="PRN199" s="234"/>
      <c r="PRO199" s="234"/>
      <c r="PRP199" s="234"/>
      <c r="PRQ199" s="234"/>
      <c r="PRR199" s="234"/>
      <c r="PRS199" s="234"/>
      <c r="PRT199" s="234"/>
      <c r="PRU199" s="234"/>
      <c r="PRV199" s="234"/>
      <c r="PRW199" s="234"/>
      <c r="PRX199" s="234"/>
      <c r="PRY199" s="234"/>
      <c r="PRZ199" s="234"/>
      <c r="PSA199" s="234"/>
      <c r="PSB199" s="234"/>
      <c r="PSC199" s="234"/>
      <c r="PSD199" s="234"/>
      <c r="PSE199" s="234"/>
      <c r="PSF199" s="234"/>
      <c r="PSG199" s="234"/>
      <c r="PSH199" s="234"/>
      <c r="PSI199" s="234"/>
      <c r="PSJ199" s="234"/>
      <c r="PSK199" s="234"/>
      <c r="PSL199" s="234"/>
      <c r="PSM199" s="234"/>
      <c r="PSN199" s="234"/>
      <c r="PSO199" s="234"/>
      <c r="PSP199" s="234"/>
      <c r="PSQ199" s="234"/>
      <c r="PSR199" s="234"/>
      <c r="PSS199" s="234"/>
      <c r="PST199" s="234"/>
      <c r="PSU199" s="234"/>
      <c r="PSV199" s="234"/>
      <c r="PSW199" s="234"/>
      <c r="PSX199" s="234"/>
      <c r="PSY199" s="234"/>
      <c r="PSZ199" s="234"/>
      <c r="PTA199" s="234"/>
      <c r="PTB199" s="234"/>
      <c r="PTC199" s="234"/>
      <c r="PTD199" s="234"/>
      <c r="PTE199" s="234"/>
      <c r="PTF199" s="234"/>
      <c r="PTG199" s="234"/>
      <c r="PTH199" s="234"/>
      <c r="PTI199" s="234"/>
      <c r="PTJ199" s="234"/>
      <c r="PTK199" s="234"/>
      <c r="PTL199" s="234"/>
      <c r="PTM199" s="234"/>
      <c r="PTN199" s="234"/>
      <c r="PTO199" s="234"/>
      <c r="PTP199" s="234"/>
      <c r="PTQ199" s="234"/>
      <c r="PTR199" s="234"/>
      <c r="PTS199" s="234"/>
      <c r="PTT199" s="234"/>
      <c r="PTU199" s="234"/>
      <c r="PTV199" s="234"/>
      <c r="PTW199" s="234"/>
      <c r="PTX199" s="234"/>
      <c r="PTY199" s="234"/>
      <c r="PTZ199" s="234"/>
      <c r="PUA199" s="234"/>
      <c r="PUB199" s="234"/>
      <c r="PUC199" s="234"/>
      <c r="PUD199" s="234"/>
      <c r="PUE199" s="234"/>
      <c r="PUF199" s="234"/>
      <c r="PUG199" s="234"/>
      <c r="PUH199" s="234"/>
      <c r="PUI199" s="234"/>
      <c r="PUJ199" s="234"/>
      <c r="PUK199" s="234"/>
      <c r="PUL199" s="234"/>
      <c r="PUM199" s="234"/>
      <c r="PUN199" s="234"/>
      <c r="PUO199" s="234"/>
      <c r="PUP199" s="234"/>
      <c r="PUQ199" s="234"/>
      <c r="PUR199" s="234"/>
      <c r="PUS199" s="234"/>
      <c r="PUT199" s="234"/>
      <c r="PUU199" s="234"/>
      <c r="PUV199" s="234"/>
      <c r="PUW199" s="234"/>
      <c r="PUX199" s="234"/>
      <c r="PUY199" s="234"/>
      <c r="PUZ199" s="234"/>
      <c r="PVA199" s="234"/>
      <c r="PVB199" s="234"/>
      <c r="PVC199" s="234"/>
      <c r="PVD199" s="234"/>
      <c r="PVE199" s="234"/>
      <c r="PVF199" s="234"/>
      <c r="PVG199" s="234"/>
      <c r="PVH199" s="234"/>
      <c r="PVI199" s="234"/>
      <c r="PVJ199" s="234"/>
      <c r="PVK199" s="234"/>
      <c r="PVL199" s="234"/>
      <c r="PVM199" s="234"/>
      <c r="PVN199" s="234"/>
      <c r="PVO199" s="234"/>
      <c r="PVP199" s="234"/>
      <c r="PVQ199" s="234"/>
      <c r="PVR199" s="234"/>
      <c r="PVS199" s="234"/>
      <c r="PVT199" s="234"/>
      <c r="PVU199" s="234"/>
      <c r="PVV199" s="234"/>
      <c r="PVW199" s="234"/>
      <c r="PVX199" s="234"/>
      <c r="PVY199" s="234"/>
      <c r="PVZ199" s="234"/>
      <c r="PWA199" s="234"/>
      <c r="PWB199" s="234"/>
      <c r="PWC199" s="234"/>
      <c r="PWD199" s="234"/>
      <c r="PWE199" s="234"/>
      <c r="PWF199" s="234"/>
      <c r="PWG199" s="234"/>
      <c r="PWH199" s="234"/>
      <c r="PWI199" s="234"/>
      <c r="PWJ199" s="234"/>
      <c r="PWK199" s="234"/>
      <c r="PWL199" s="234"/>
      <c r="PWM199" s="234"/>
      <c r="PWN199" s="234"/>
      <c r="PWO199" s="234"/>
      <c r="PWP199" s="234"/>
      <c r="PWQ199" s="234"/>
      <c r="PWR199" s="234"/>
      <c r="PWS199" s="234"/>
      <c r="PWT199" s="234"/>
      <c r="PWU199" s="234"/>
      <c r="PWV199" s="234"/>
      <c r="PWW199" s="234"/>
      <c r="PWX199" s="234"/>
      <c r="PWY199" s="234"/>
      <c r="PWZ199" s="234"/>
      <c r="PXA199" s="234"/>
      <c r="PXB199" s="234"/>
      <c r="PXC199" s="234"/>
      <c r="PXD199" s="234"/>
      <c r="PXE199" s="234"/>
      <c r="PXF199" s="234"/>
      <c r="PXG199" s="234"/>
      <c r="PXH199" s="234"/>
      <c r="PXI199" s="234"/>
      <c r="PXJ199" s="234"/>
      <c r="PXK199" s="234"/>
      <c r="PXL199" s="234"/>
      <c r="PXM199" s="234"/>
      <c r="PXN199" s="234"/>
      <c r="PXO199" s="234"/>
      <c r="PXP199" s="234"/>
      <c r="PXQ199" s="234"/>
      <c r="PXR199" s="234"/>
      <c r="PXS199" s="234"/>
      <c r="PXT199" s="234"/>
      <c r="PXU199" s="234"/>
      <c r="PXV199" s="234"/>
      <c r="PXW199" s="234"/>
      <c r="PXX199" s="234"/>
      <c r="PXY199" s="234"/>
      <c r="PXZ199" s="234"/>
      <c r="PYA199" s="234"/>
      <c r="PYB199" s="234"/>
      <c r="PYC199" s="234"/>
      <c r="PYD199" s="234"/>
      <c r="PYE199" s="234"/>
      <c r="PYF199" s="234"/>
      <c r="PYG199" s="234"/>
      <c r="PYH199" s="234"/>
      <c r="PYI199" s="234"/>
      <c r="PYJ199" s="234"/>
      <c r="PYK199" s="234"/>
      <c r="PYL199" s="234"/>
      <c r="PYM199" s="234"/>
      <c r="PYN199" s="234"/>
      <c r="PYO199" s="234"/>
      <c r="PYP199" s="234"/>
      <c r="PYQ199" s="234"/>
      <c r="PYR199" s="234"/>
      <c r="PYS199" s="234"/>
      <c r="PYT199" s="234"/>
      <c r="PYU199" s="234"/>
      <c r="PYV199" s="234"/>
      <c r="PYW199" s="234"/>
      <c r="PYX199" s="234"/>
      <c r="PYY199" s="234"/>
      <c r="PYZ199" s="234"/>
      <c r="PZA199" s="234"/>
      <c r="PZB199" s="234"/>
      <c r="PZC199" s="234"/>
      <c r="PZD199" s="234"/>
      <c r="PZE199" s="234"/>
      <c r="PZF199" s="234"/>
      <c r="PZG199" s="234"/>
      <c r="PZH199" s="234"/>
      <c r="PZI199" s="234"/>
      <c r="PZJ199" s="234"/>
      <c r="PZK199" s="234"/>
      <c r="PZL199" s="234"/>
      <c r="PZM199" s="234"/>
      <c r="PZN199" s="234"/>
      <c r="PZO199" s="234"/>
      <c r="PZP199" s="234"/>
      <c r="PZQ199" s="234"/>
      <c r="PZR199" s="234"/>
      <c r="PZS199" s="234"/>
      <c r="PZT199" s="234"/>
      <c r="PZU199" s="234"/>
      <c r="PZV199" s="234"/>
      <c r="PZW199" s="234"/>
      <c r="PZX199" s="234"/>
      <c r="PZY199" s="234"/>
      <c r="PZZ199" s="234"/>
      <c r="QAA199" s="234"/>
      <c r="QAB199" s="234"/>
      <c r="QAC199" s="234"/>
      <c r="QAD199" s="234"/>
      <c r="QAE199" s="234"/>
      <c r="QAF199" s="234"/>
      <c r="QAG199" s="234"/>
      <c r="QAH199" s="234"/>
      <c r="QAI199" s="234"/>
      <c r="QAJ199" s="234"/>
      <c r="QAK199" s="234"/>
      <c r="QAL199" s="234"/>
      <c r="QAM199" s="234"/>
      <c r="QAN199" s="234"/>
      <c r="QAO199" s="234"/>
      <c r="QAP199" s="234"/>
      <c r="QAQ199" s="234"/>
      <c r="QAR199" s="234"/>
      <c r="QAS199" s="234"/>
      <c r="QAT199" s="234"/>
      <c r="QAU199" s="234"/>
      <c r="QAV199" s="234"/>
      <c r="QAW199" s="234"/>
      <c r="QAX199" s="234"/>
      <c r="QAY199" s="234"/>
      <c r="QAZ199" s="234"/>
      <c r="QBA199" s="234"/>
      <c r="QBB199" s="234"/>
      <c r="QBC199" s="234"/>
      <c r="QBD199" s="234"/>
      <c r="QBE199" s="234"/>
      <c r="QBF199" s="234"/>
      <c r="QBG199" s="234"/>
      <c r="QBH199" s="234"/>
      <c r="QBI199" s="234"/>
      <c r="QBJ199" s="234"/>
      <c r="QBK199" s="234"/>
      <c r="QBL199" s="234"/>
      <c r="QBM199" s="234"/>
      <c r="QBN199" s="234"/>
      <c r="QBO199" s="234"/>
      <c r="QBP199" s="234"/>
      <c r="QBQ199" s="234"/>
      <c r="QBR199" s="234"/>
      <c r="QBS199" s="234"/>
      <c r="QBT199" s="234"/>
      <c r="QBU199" s="234"/>
      <c r="QBV199" s="234"/>
      <c r="QBW199" s="234"/>
      <c r="QBX199" s="234"/>
      <c r="QBY199" s="234"/>
      <c r="QBZ199" s="234"/>
      <c r="QCA199" s="234"/>
      <c r="QCB199" s="234"/>
      <c r="QCC199" s="234"/>
      <c r="QCD199" s="234"/>
      <c r="QCE199" s="234"/>
      <c r="QCF199" s="234"/>
      <c r="QCG199" s="234"/>
      <c r="QCH199" s="234"/>
      <c r="QCI199" s="234"/>
      <c r="QCJ199" s="234"/>
      <c r="QCK199" s="234"/>
      <c r="QCL199" s="234"/>
      <c r="QCM199" s="234"/>
      <c r="QCN199" s="234"/>
      <c r="QCO199" s="234"/>
      <c r="QCP199" s="234"/>
      <c r="QCQ199" s="234"/>
      <c r="QCR199" s="234"/>
      <c r="QCS199" s="234"/>
      <c r="QCT199" s="234"/>
      <c r="QCU199" s="234"/>
      <c r="QCV199" s="234"/>
      <c r="QCW199" s="234"/>
      <c r="QCX199" s="234"/>
      <c r="QCY199" s="234"/>
      <c r="QCZ199" s="234"/>
      <c r="QDA199" s="234"/>
      <c r="QDB199" s="234"/>
      <c r="QDC199" s="234"/>
      <c r="QDD199" s="234"/>
      <c r="QDE199" s="234"/>
      <c r="QDF199" s="234"/>
      <c r="QDG199" s="234"/>
      <c r="QDH199" s="234"/>
      <c r="QDI199" s="234"/>
      <c r="QDJ199" s="234"/>
      <c r="QDK199" s="234"/>
      <c r="QDL199" s="234"/>
      <c r="QDM199" s="234"/>
      <c r="QDN199" s="234"/>
      <c r="QDO199" s="234"/>
      <c r="QDP199" s="234"/>
      <c r="QDQ199" s="234"/>
      <c r="QDR199" s="234"/>
      <c r="QDS199" s="234"/>
      <c r="QDT199" s="234"/>
      <c r="QDU199" s="234"/>
      <c r="QDV199" s="234"/>
      <c r="QDW199" s="234"/>
      <c r="QDX199" s="234"/>
      <c r="QDY199" s="234"/>
      <c r="QDZ199" s="234"/>
      <c r="QEA199" s="234"/>
      <c r="QEB199" s="234"/>
      <c r="QEC199" s="234"/>
      <c r="QED199" s="234"/>
      <c r="QEE199" s="234"/>
      <c r="QEF199" s="234"/>
      <c r="QEG199" s="234"/>
      <c r="QEH199" s="234"/>
      <c r="QEI199" s="234"/>
      <c r="QEJ199" s="234"/>
      <c r="QEK199" s="234"/>
      <c r="QEL199" s="234"/>
      <c r="QEM199" s="234"/>
      <c r="QEN199" s="234"/>
      <c r="QEO199" s="234"/>
      <c r="QEP199" s="234"/>
      <c r="QEQ199" s="234"/>
      <c r="QER199" s="234"/>
      <c r="QES199" s="234"/>
      <c r="QET199" s="234"/>
      <c r="QEU199" s="234"/>
      <c r="QEV199" s="234"/>
      <c r="QEW199" s="234"/>
      <c r="QEX199" s="234"/>
      <c r="QEY199" s="234"/>
      <c r="QEZ199" s="234"/>
      <c r="QFA199" s="234"/>
      <c r="QFB199" s="234"/>
      <c r="QFC199" s="234"/>
      <c r="QFD199" s="234"/>
      <c r="QFE199" s="234"/>
      <c r="QFF199" s="234"/>
      <c r="QFG199" s="234"/>
      <c r="QFH199" s="234"/>
      <c r="QFI199" s="234"/>
      <c r="QFJ199" s="234"/>
      <c r="QFK199" s="234"/>
      <c r="QFL199" s="234"/>
      <c r="QFM199" s="234"/>
      <c r="QFN199" s="234"/>
      <c r="QFO199" s="234"/>
      <c r="QFP199" s="234"/>
      <c r="QFQ199" s="234"/>
      <c r="QFR199" s="234"/>
      <c r="QFS199" s="234"/>
      <c r="QFT199" s="234"/>
      <c r="QFU199" s="234"/>
      <c r="QFV199" s="234"/>
      <c r="QFW199" s="234"/>
      <c r="QFX199" s="234"/>
      <c r="QFY199" s="234"/>
      <c r="QFZ199" s="234"/>
      <c r="QGA199" s="234"/>
      <c r="QGB199" s="234"/>
      <c r="QGC199" s="234"/>
      <c r="QGD199" s="234"/>
      <c r="QGE199" s="234"/>
      <c r="QGF199" s="234"/>
      <c r="QGG199" s="234"/>
      <c r="QGH199" s="234"/>
      <c r="QGI199" s="234"/>
      <c r="QGJ199" s="234"/>
      <c r="QGK199" s="234"/>
      <c r="QGL199" s="234"/>
      <c r="QGM199" s="234"/>
      <c r="QGN199" s="234"/>
      <c r="QGO199" s="234"/>
      <c r="QGP199" s="234"/>
      <c r="QGQ199" s="234"/>
      <c r="QGR199" s="234"/>
      <c r="QGS199" s="234"/>
      <c r="QGT199" s="234"/>
      <c r="QGU199" s="234"/>
      <c r="QGV199" s="234"/>
      <c r="QGW199" s="234"/>
      <c r="QGX199" s="234"/>
      <c r="QGY199" s="234"/>
      <c r="QGZ199" s="234"/>
      <c r="QHA199" s="234"/>
      <c r="QHB199" s="234"/>
      <c r="QHC199" s="234"/>
      <c r="QHD199" s="234"/>
      <c r="QHE199" s="234"/>
      <c r="QHF199" s="234"/>
      <c r="QHG199" s="234"/>
      <c r="QHH199" s="234"/>
      <c r="QHI199" s="234"/>
      <c r="QHJ199" s="234"/>
      <c r="QHK199" s="234"/>
      <c r="QHL199" s="234"/>
      <c r="QHM199" s="234"/>
      <c r="QHN199" s="234"/>
      <c r="QHO199" s="234"/>
      <c r="QHP199" s="234"/>
      <c r="QHQ199" s="234"/>
      <c r="QHR199" s="234"/>
      <c r="QHS199" s="234"/>
      <c r="QHT199" s="234"/>
      <c r="QHU199" s="234"/>
      <c r="QHV199" s="234"/>
      <c r="QHW199" s="234"/>
      <c r="QHX199" s="234"/>
      <c r="QHY199" s="234"/>
      <c r="QHZ199" s="234"/>
      <c r="QIA199" s="234"/>
      <c r="QIB199" s="234"/>
      <c r="QIC199" s="234"/>
      <c r="QID199" s="234"/>
      <c r="QIE199" s="234"/>
      <c r="QIF199" s="234"/>
      <c r="QIG199" s="234"/>
      <c r="QIH199" s="234"/>
      <c r="QII199" s="234"/>
      <c r="QIJ199" s="234"/>
      <c r="QIK199" s="234"/>
      <c r="QIL199" s="234"/>
      <c r="QIM199" s="234"/>
      <c r="QIN199" s="234"/>
      <c r="QIO199" s="234"/>
      <c r="QIP199" s="234"/>
      <c r="QIQ199" s="234"/>
      <c r="QIR199" s="234"/>
      <c r="QIS199" s="234"/>
      <c r="QIT199" s="234"/>
      <c r="QIU199" s="234"/>
      <c r="QIV199" s="234"/>
      <c r="QIW199" s="234"/>
      <c r="QIX199" s="234"/>
      <c r="QIY199" s="234"/>
      <c r="QIZ199" s="234"/>
      <c r="QJA199" s="234"/>
      <c r="QJB199" s="234"/>
      <c r="QJC199" s="234"/>
      <c r="QJD199" s="234"/>
      <c r="QJE199" s="234"/>
      <c r="QJF199" s="234"/>
      <c r="QJG199" s="234"/>
      <c r="QJH199" s="234"/>
      <c r="QJI199" s="234"/>
      <c r="QJJ199" s="234"/>
      <c r="QJK199" s="234"/>
      <c r="QJL199" s="234"/>
      <c r="QJM199" s="234"/>
      <c r="QJN199" s="234"/>
      <c r="QJO199" s="234"/>
      <c r="QJP199" s="234"/>
      <c r="QJQ199" s="234"/>
      <c r="QJR199" s="234"/>
      <c r="QJS199" s="234"/>
      <c r="QJT199" s="234"/>
      <c r="QJU199" s="234"/>
      <c r="QJV199" s="234"/>
      <c r="QJW199" s="234"/>
      <c r="QJX199" s="234"/>
      <c r="QJY199" s="234"/>
      <c r="QJZ199" s="234"/>
      <c r="QKA199" s="234"/>
      <c r="QKB199" s="234"/>
      <c r="QKC199" s="234"/>
      <c r="QKD199" s="234"/>
      <c r="QKE199" s="234"/>
      <c r="QKF199" s="234"/>
      <c r="QKG199" s="234"/>
      <c r="QKH199" s="234"/>
      <c r="QKI199" s="234"/>
      <c r="QKJ199" s="234"/>
      <c r="QKK199" s="234"/>
      <c r="QKL199" s="234"/>
      <c r="QKM199" s="234"/>
      <c r="QKN199" s="234"/>
      <c r="QKO199" s="234"/>
      <c r="QKP199" s="234"/>
      <c r="QKQ199" s="234"/>
      <c r="QKR199" s="234"/>
      <c r="QKS199" s="234"/>
      <c r="QKT199" s="234"/>
      <c r="QKU199" s="234"/>
      <c r="QKV199" s="234"/>
      <c r="QKW199" s="234"/>
      <c r="QKX199" s="234"/>
      <c r="QKY199" s="234"/>
      <c r="QKZ199" s="234"/>
      <c r="QLA199" s="234"/>
      <c r="QLB199" s="234"/>
      <c r="QLC199" s="234"/>
      <c r="QLD199" s="234"/>
      <c r="QLE199" s="234"/>
      <c r="QLF199" s="234"/>
      <c r="QLG199" s="234"/>
      <c r="QLH199" s="234"/>
      <c r="QLI199" s="234"/>
      <c r="QLJ199" s="234"/>
      <c r="QLK199" s="234"/>
      <c r="QLL199" s="234"/>
      <c r="QLM199" s="234"/>
      <c r="QLN199" s="234"/>
      <c r="QLO199" s="234"/>
      <c r="QLP199" s="234"/>
      <c r="QLQ199" s="234"/>
      <c r="QLR199" s="234"/>
      <c r="QLS199" s="234"/>
      <c r="QLT199" s="234"/>
      <c r="QLU199" s="234"/>
      <c r="QLV199" s="234"/>
      <c r="QLW199" s="234"/>
      <c r="QLX199" s="234"/>
      <c r="QLY199" s="234"/>
      <c r="QLZ199" s="234"/>
      <c r="QMA199" s="234"/>
      <c r="QMB199" s="234"/>
      <c r="QMC199" s="234"/>
      <c r="QMD199" s="234"/>
      <c r="QME199" s="234"/>
      <c r="QMF199" s="234"/>
      <c r="QMG199" s="234"/>
      <c r="QMH199" s="234"/>
      <c r="QMI199" s="234"/>
      <c r="QMJ199" s="234"/>
      <c r="QMK199" s="234"/>
      <c r="QML199" s="234"/>
      <c r="QMM199" s="234"/>
      <c r="QMN199" s="234"/>
      <c r="QMO199" s="234"/>
      <c r="QMP199" s="234"/>
      <c r="QMQ199" s="234"/>
      <c r="QMR199" s="234"/>
      <c r="QMS199" s="234"/>
      <c r="QMT199" s="234"/>
      <c r="QMU199" s="234"/>
      <c r="QMV199" s="234"/>
      <c r="QMW199" s="234"/>
      <c r="QMX199" s="234"/>
      <c r="QMY199" s="234"/>
      <c r="QMZ199" s="234"/>
      <c r="QNA199" s="234"/>
      <c r="QNB199" s="234"/>
      <c r="QNC199" s="234"/>
      <c r="QND199" s="234"/>
      <c r="QNE199" s="234"/>
      <c r="QNF199" s="234"/>
      <c r="QNG199" s="234"/>
      <c r="QNH199" s="234"/>
      <c r="QNI199" s="234"/>
      <c r="QNJ199" s="234"/>
      <c r="QNK199" s="234"/>
      <c r="QNL199" s="234"/>
      <c r="QNM199" s="234"/>
      <c r="QNN199" s="234"/>
      <c r="QNO199" s="234"/>
      <c r="QNP199" s="234"/>
      <c r="QNQ199" s="234"/>
      <c r="QNR199" s="234"/>
      <c r="QNS199" s="234"/>
      <c r="QNT199" s="234"/>
      <c r="QNU199" s="234"/>
      <c r="QNV199" s="234"/>
      <c r="QNW199" s="234"/>
      <c r="QNX199" s="234"/>
      <c r="QNY199" s="234"/>
      <c r="QNZ199" s="234"/>
      <c r="QOA199" s="234"/>
      <c r="QOB199" s="234"/>
      <c r="QOC199" s="234"/>
      <c r="QOD199" s="234"/>
      <c r="QOE199" s="234"/>
      <c r="QOF199" s="234"/>
      <c r="QOG199" s="234"/>
      <c r="QOH199" s="234"/>
      <c r="QOI199" s="234"/>
      <c r="QOJ199" s="234"/>
      <c r="QOK199" s="234"/>
      <c r="QOL199" s="234"/>
      <c r="QOM199" s="234"/>
      <c r="QON199" s="234"/>
      <c r="QOO199" s="234"/>
      <c r="QOP199" s="234"/>
      <c r="QOQ199" s="234"/>
      <c r="QOR199" s="234"/>
      <c r="QOS199" s="234"/>
      <c r="QOT199" s="234"/>
      <c r="QOU199" s="234"/>
      <c r="QOV199" s="234"/>
      <c r="QOW199" s="234"/>
      <c r="QOX199" s="234"/>
      <c r="QOY199" s="234"/>
      <c r="QOZ199" s="234"/>
      <c r="QPA199" s="234"/>
      <c r="QPB199" s="234"/>
      <c r="QPC199" s="234"/>
      <c r="QPD199" s="234"/>
      <c r="QPE199" s="234"/>
      <c r="QPF199" s="234"/>
      <c r="QPG199" s="234"/>
      <c r="QPH199" s="234"/>
      <c r="QPI199" s="234"/>
      <c r="QPJ199" s="234"/>
      <c r="QPK199" s="234"/>
      <c r="QPL199" s="234"/>
      <c r="QPM199" s="234"/>
      <c r="QPN199" s="234"/>
      <c r="QPO199" s="234"/>
      <c r="QPP199" s="234"/>
      <c r="QPQ199" s="234"/>
      <c r="QPR199" s="234"/>
      <c r="QPS199" s="234"/>
      <c r="QPT199" s="234"/>
      <c r="QPU199" s="234"/>
      <c r="QPV199" s="234"/>
      <c r="QPW199" s="234"/>
      <c r="QPX199" s="234"/>
      <c r="QPY199" s="234"/>
      <c r="QPZ199" s="234"/>
      <c r="QQA199" s="234"/>
      <c r="QQB199" s="234"/>
      <c r="QQC199" s="234"/>
      <c r="QQD199" s="234"/>
      <c r="QQE199" s="234"/>
      <c r="QQF199" s="234"/>
      <c r="QQG199" s="234"/>
      <c r="QQH199" s="234"/>
      <c r="QQI199" s="234"/>
      <c r="QQJ199" s="234"/>
      <c r="QQK199" s="234"/>
      <c r="QQL199" s="234"/>
      <c r="QQM199" s="234"/>
      <c r="QQN199" s="234"/>
      <c r="QQO199" s="234"/>
      <c r="QQP199" s="234"/>
      <c r="QQQ199" s="234"/>
      <c r="QQR199" s="234"/>
      <c r="QQS199" s="234"/>
      <c r="QQT199" s="234"/>
      <c r="QQU199" s="234"/>
      <c r="QQV199" s="234"/>
      <c r="QQW199" s="234"/>
      <c r="QQX199" s="234"/>
      <c r="QQY199" s="234"/>
      <c r="QQZ199" s="234"/>
      <c r="QRA199" s="234"/>
      <c r="QRB199" s="234"/>
      <c r="QRC199" s="234"/>
      <c r="QRD199" s="234"/>
      <c r="QRE199" s="234"/>
      <c r="QRF199" s="234"/>
      <c r="QRG199" s="234"/>
      <c r="QRH199" s="234"/>
      <c r="QRI199" s="234"/>
      <c r="QRJ199" s="234"/>
      <c r="QRK199" s="234"/>
      <c r="QRL199" s="234"/>
      <c r="QRM199" s="234"/>
      <c r="QRN199" s="234"/>
      <c r="QRO199" s="234"/>
      <c r="QRP199" s="234"/>
      <c r="QRQ199" s="234"/>
      <c r="QRR199" s="234"/>
      <c r="QRS199" s="234"/>
      <c r="QRT199" s="234"/>
      <c r="QRU199" s="234"/>
      <c r="QRV199" s="234"/>
      <c r="QRW199" s="234"/>
      <c r="QRX199" s="234"/>
      <c r="QRY199" s="234"/>
      <c r="QRZ199" s="234"/>
      <c r="QSA199" s="234"/>
      <c r="QSB199" s="234"/>
      <c r="QSC199" s="234"/>
      <c r="QSD199" s="234"/>
      <c r="QSE199" s="234"/>
      <c r="QSF199" s="234"/>
      <c r="QSG199" s="234"/>
      <c r="QSH199" s="234"/>
      <c r="QSI199" s="234"/>
      <c r="QSJ199" s="234"/>
      <c r="QSK199" s="234"/>
      <c r="QSL199" s="234"/>
      <c r="QSM199" s="234"/>
      <c r="QSN199" s="234"/>
      <c r="QSO199" s="234"/>
      <c r="QSP199" s="234"/>
      <c r="QSQ199" s="234"/>
      <c r="QSR199" s="234"/>
      <c r="QSS199" s="234"/>
      <c r="QST199" s="234"/>
      <c r="QSU199" s="234"/>
      <c r="QSV199" s="234"/>
      <c r="QSW199" s="234"/>
      <c r="QSX199" s="234"/>
      <c r="QSY199" s="234"/>
      <c r="QSZ199" s="234"/>
      <c r="QTA199" s="234"/>
      <c r="QTB199" s="234"/>
      <c r="QTC199" s="234"/>
      <c r="QTD199" s="234"/>
      <c r="QTE199" s="234"/>
      <c r="QTF199" s="234"/>
      <c r="QTG199" s="234"/>
      <c r="QTH199" s="234"/>
      <c r="QTI199" s="234"/>
      <c r="QTJ199" s="234"/>
      <c r="QTK199" s="234"/>
      <c r="QTL199" s="234"/>
      <c r="QTM199" s="234"/>
      <c r="QTN199" s="234"/>
      <c r="QTO199" s="234"/>
      <c r="QTP199" s="234"/>
      <c r="QTQ199" s="234"/>
      <c r="QTR199" s="234"/>
      <c r="QTS199" s="234"/>
      <c r="QTT199" s="234"/>
      <c r="QTU199" s="234"/>
      <c r="QTV199" s="234"/>
      <c r="QTW199" s="234"/>
      <c r="QTX199" s="234"/>
      <c r="QTY199" s="234"/>
      <c r="QTZ199" s="234"/>
      <c r="QUA199" s="234"/>
      <c r="QUB199" s="234"/>
      <c r="QUC199" s="234"/>
      <c r="QUD199" s="234"/>
      <c r="QUE199" s="234"/>
      <c r="QUF199" s="234"/>
      <c r="QUG199" s="234"/>
      <c r="QUH199" s="234"/>
      <c r="QUI199" s="234"/>
      <c r="QUJ199" s="234"/>
      <c r="QUK199" s="234"/>
      <c r="QUL199" s="234"/>
      <c r="QUM199" s="234"/>
      <c r="QUN199" s="234"/>
      <c r="QUO199" s="234"/>
      <c r="QUP199" s="234"/>
      <c r="QUQ199" s="234"/>
      <c r="QUR199" s="234"/>
      <c r="QUS199" s="234"/>
      <c r="QUT199" s="234"/>
      <c r="QUU199" s="234"/>
      <c r="QUV199" s="234"/>
      <c r="QUW199" s="234"/>
      <c r="QUX199" s="234"/>
      <c r="QUY199" s="234"/>
      <c r="QUZ199" s="234"/>
      <c r="QVA199" s="234"/>
      <c r="QVB199" s="234"/>
      <c r="QVC199" s="234"/>
      <c r="QVD199" s="234"/>
      <c r="QVE199" s="234"/>
      <c r="QVF199" s="234"/>
      <c r="QVG199" s="234"/>
      <c r="QVH199" s="234"/>
      <c r="QVI199" s="234"/>
      <c r="QVJ199" s="234"/>
      <c r="QVK199" s="234"/>
      <c r="QVL199" s="234"/>
      <c r="QVM199" s="234"/>
      <c r="QVN199" s="234"/>
      <c r="QVO199" s="234"/>
      <c r="QVP199" s="234"/>
      <c r="QVQ199" s="234"/>
      <c r="QVR199" s="234"/>
      <c r="QVS199" s="234"/>
      <c r="QVT199" s="234"/>
      <c r="QVU199" s="234"/>
      <c r="QVV199" s="234"/>
      <c r="QVW199" s="234"/>
      <c r="QVX199" s="234"/>
      <c r="QVY199" s="234"/>
      <c r="QVZ199" s="234"/>
      <c r="QWA199" s="234"/>
      <c r="QWB199" s="234"/>
      <c r="QWC199" s="234"/>
      <c r="QWD199" s="234"/>
      <c r="QWE199" s="234"/>
      <c r="QWF199" s="234"/>
      <c r="QWG199" s="234"/>
      <c r="QWH199" s="234"/>
      <c r="QWI199" s="234"/>
      <c r="QWJ199" s="234"/>
      <c r="QWK199" s="234"/>
      <c r="QWL199" s="234"/>
      <c r="QWM199" s="234"/>
      <c r="QWN199" s="234"/>
      <c r="QWO199" s="234"/>
      <c r="QWP199" s="234"/>
      <c r="QWQ199" s="234"/>
      <c r="QWR199" s="234"/>
      <c r="QWS199" s="234"/>
      <c r="QWT199" s="234"/>
      <c r="QWU199" s="234"/>
      <c r="QWV199" s="234"/>
      <c r="QWW199" s="234"/>
      <c r="QWX199" s="234"/>
      <c r="QWY199" s="234"/>
      <c r="QWZ199" s="234"/>
      <c r="QXA199" s="234"/>
      <c r="QXB199" s="234"/>
      <c r="QXC199" s="234"/>
      <c r="QXD199" s="234"/>
      <c r="QXE199" s="234"/>
      <c r="QXF199" s="234"/>
      <c r="QXG199" s="234"/>
      <c r="QXH199" s="234"/>
      <c r="QXI199" s="234"/>
      <c r="QXJ199" s="234"/>
      <c r="QXK199" s="234"/>
      <c r="QXL199" s="234"/>
      <c r="QXM199" s="234"/>
      <c r="QXN199" s="234"/>
      <c r="QXO199" s="234"/>
      <c r="QXP199" s="234"/>
      <c r="QXQ199" s="234"/>
      <c r="QXR199" s="234"/>
      <c r="QXS199" s="234"/>
      <c r="QXT199" s="234"/>
      <c r="QXU199" s="234"/>
      <c r="QXV199" s="234"/>
      <c r="QXW199" s="234"/>
      <c r="QXX199" s="234"/>
      <c r="QXY199" s="234"/>
      <c r="QXZ199" s="234"/>
      <c r="QYA199" s="234"/>
      <c r="QYB199" s="234"/>
      <c r="QYC199" s="234"/>
      <c r="QYD199" s="234"/>
      <c r="QYE199" s="234"/>
      <c r="QYF199" s="234"/>
      <c r="QYG199" s="234"/>
      <c r="QYH199" s="234"/>
      <c r="QYI199" s="234"/>
      <c r="QYJ199" s="234"/>
      <c r="QYK199" s="234"/>
      <c r="QYL199" s="234"/>
      <c r="QYM199" s="234"/>
      <c r="QYN199" s="234"/>
      <c r="QYO199" s="234"/>
      <c r="QYP199" s="234"/>
      <c r="QYQ199" s="234"/>
      <c r="QYR199" s="234"/>
      <c r="QYS199" s="234"/>
      <c r="QYT199" s="234"/>
      <c r="QYU199" s="234"/>
      <c r="QYV199" s="234"/>
      <c r="QYW199" s="234"/>
      <c r="QYX199" s="234"/>
      <c r="QYY199" s="234"/>
      <c r="QYZ199" s="234"/>
      <c r="QZA199" s="234"/>
      <c r="QZB199" s="234"/>
      <c r="QZC199" s="234"/>
      <c r="QZD199" s="234"/>
      <c r="QZE199" s="234"/>
      <c r="QZF199" s="234"/>
      <c r="QZG199" s="234"/>
      <c r="QZH199" s="234"/>
      <c r="QZI199" s="234"/>
      <c r="QZJ199" s="234"/>
      <c r="QZK199" s="234"/>
      <c r="QZL199" s="234"/>
      <c r="QZM199" s="234"/>
      <c r="QZN199" s="234"/>
      <c r="QZO199" s="234"/>
      <c r="QZP199" s="234"/>
      <c r="QZQ199" s="234"/>
      <c r="QZR199" s="234"/>
      <c r="QZS199" s="234"/>
      <c r="QZT199" s="234"/>
      <c r="QZU199" s="234"/>
      <c r="QZV199" s="234"/>
      <c r="QZW199" s="234"/>
      <c r="QZX199" s="234"/>
      <c r="QZY199" s="234"/>
      <c r="QZZ199" s="234"/>
      <c r="RAA199" s="234"/>
      <c r="RAB199" s="234"/>
      <c r="RAC199" s="234"/>
      <c r="RAD199" s="234"/>
      <c r="RAE199" s="234"/>
      <c r="RAF199" s="234"/>
      <c r="RAG199" s="234"/>
      <c r="RAH199" s="234"/>
      <c r="RAI199" s="234"/>
      <c r="RAJ199" s="234"/>
      <c r="RAK199" s="234"/>
      <c r="RAL199" s="234"/>
      <c r="RAM199" s="234"/>
      <c r="RAN199" s="234"/>
      <c r="RAO199" s="234"/>
      <c r="RAP199" s="234"/>
      <c r="RAQ199" s="234"/>
      <c r="RAR199" s="234"/>
      <c r="RAS199" s="234"/>
      <c r="RAT199" s="234"/>
      <c r="RAU199" s="234"/>
      <c r="RAV199" s="234"/>
      <c r="RAW199" s="234"/>
      <c r="RAX199" s="234"/>
      <c r="RAY199" s="234"/>
      <c r="RAZ199" s="234"/>
      <c r="RBA199" s="234"/>
      <c r="RBB199" s="234"/>
      <c r="RBC199" s="234"/>
      <c r="RBD199" s="234"/>
      <c r="RBE199" s="234"/>
      <c r="RBF199" s="234"/>
      <c r="RBG199" s="234"/>
      <c r="RBH199" s="234"/>
      <c r="RBI199" s="234"/>
      <c r="RBJ199" s="234"/>
      <c r="RBK199" s="234"/>
      <c r="RBL199" s="234"/>
      <c r="RBM199" s="234"/>
      <c r="RBN199" s="234"/>
      <c r="RBO199" s="234"/>
      <c r="RBP199" s="234"/>
      <c r="RBQ199" s="234"/>
      <c r="RBR199" s="234"/>
      <c r="RBS199" s="234"/>
      <c r="RBT199" s="234"/>
      <c r="RBU199" s="234"/>
      <c r="RBV199" s="234"/>
      <c r="RBW199" s="234"/>
      <c r="RBX199" s="234"/>
      <c r="RBY199" s="234"/>
      <c r="RBZ199" s="234"/>
      <c r="RCA199" s="234"/>
      <c r="RCB199" s="234"/>
      <c r="RCC199" s="234"/>
      <c r="RCD199" s="234"/>
      <c r="RCE199" s="234"/>
      <c r="RCF199" s="234"/>
      <c r="RCG199" s="234"/>
      <c r="RCH199" s="234"/>
      <c r="RCI199" s="234"/>
      <c r="RCJ199" s="234"/>
      <c r="RCK199" s="234"/>
      <c r="RCL199" s="234"/>
      <c r="RCM199" s="234"/>
      <c r="RCN199" s="234"/>
      <c r="RCO199" s="234"/>
      <c r="RCP199" s="234"/>
      <c r="RCQ199" s="234"/>
      <c r="RCR199" s="234"/>
      <c r="RCS199" s="234"/>
      <c r="RCT199" s="234"/>
      <c r="RCU199" s="234"/>
      <c r="RCV199" s="234"/>
      <c r="RCW199" s="234"/>
      <c r="RCX199" s="234"/>
      <c r="RCY199" s="234"/>
      <c r="RCZ199" s="234"/>
      <c r="RDA199" s="234"/>
      <c r="RDB199" s="234"/>
      <c r="RDC199" s="234"/>
      <c r="RDD199" s="234"/>
      <c r="RDE199" s="234"/>
      <c r="RDF199" s="234"/>
      <c r="RDG199" s="234"/>
      <c r="RDH199" s="234"/>
      <c r="RDI199" s="234"/>
      <c r="RDJ199" s="234"/>
      <c r="RDK199" s="234"/>
      <c r="RDL199" s="234"/>
      <c r="RDM199" s="234"/>
      <c r="RDN199" s="234"/>
      <c r="RDO199" s="234"/>
      <c r="RDP199" s="234"/>
      <c r="RDQ199" s="234"/>
      <c r="RDR199" s="234"/>
      <c r="RDS199" s="234"/>
      <c r="RDT199" s="234"/>
      <c r="RDU199" s="234"/>
      <c r="RDV199" s="234"/>
      <c r="RDW199" s="234"/>
      <c r="RDX199" s="234"/>
      <c r="RDY199" s="234"/>
      <c r="RDZ199" s="234"/>
      <c r="REA199" s="234"/>
      <c r="REB199" s="234"/>
      <c r="REC199" s="234"/>
      <c r="RED199" s="234"/>
      <c r="REE199" s="234"/>
      <c r="REF199" s="234"/>
      <c r="REG199" s="234"/>
      <c r="REH199" s="234"/>
      <c r="REI199" s="234"/>
      <c r="REJ199" s="234"/>
      <c r="REK199" s="234"/>
      <c r="REL199" s="234"/>
      <c r="REM199" s="234"/>
      <c r="REN199" s="234"/>
      <c r="REO199" s="234"/>
      <c r="REP199" s="234"/>
      <c r="REQ199" s="234"/>
      <c r="RER199" s="234"/>
      <c r="RES199" s="234"/>
      <c r="RET199" s="234"/>
      <c r="REU199" s="234"/>
      <c r="REV199" s="234"/>
      <c r="REW199" s="234"/>
      <c r="REX199" s="234"/>
      <c r="REY199" s="234"/>
      <c r="REZ199" s="234"/>
      <c r="RFA199" s="234"/>
      <c r="RFB199" s="234"/>
      <c r="RFC199" s="234"/>
      <c r="RFD199" s="234"/>
      <c r="RFE199" s="234"/>
      <c r="RFF199" s="234"/>
      <c r="RFG199" s="234"/>
      <c r="RFH199" s="234"/>
      <c r="RFI199" s="234"/>
      <c r="RFJ199" s="234"/>
      <c r="RFK199" s="234"/>
      <c r="RFL199" s="234"/>
      <c r="RFM199" s="234"/>
      <c r="RFN199" s="234"/>
      <c r="RFO199" s="234"/>
      <c r="RFP199" s="234"/>
      <c r="RFQ199" s="234"/>
      <c r="RFR199" s="234"/>
      <c r="RFS199" s="234"/>
      <c r="RFT199" s="234"/>
      <c r="RFU199" s="234"/>
      <c r="RFV199" s="234"/>
      <c r="RFW199" s="234"/>
      <c r="RFX199" s="234"/>
      <c r="RFY199" s="234"/>
      <c r="RFZ199" s="234"/>
      <c r="RGA199" s="234"/>
      <c r="RGB199" s="234"/>
      <c r="RGC199" s="234"/>
      <c r="RGD199" s="234"/>
      <c r="RGE199" s="234"/>
      <c r="RGF199" s="234"/>
      <c r="RGG199" s="234"/>
      <c r="RGH199" s="234"/>
      <c r="RGI199" s="234"/>
      <c r="RGJ199" s="234"/>
      <c r="RGK199" s="234"/>
      <c r="RGL199" s="234"/>
      <c r="RGM199" s="234"/>
      <c r="RGN199" s="234"/>
      <c r="RGO199" s="234"/>
      <c r="RGP199" s="234"/>
      <c r="RGQ199" s="234"/>
      <c r="RGR199" s="234"/>
      <c r="RGS199" s="234"/>
      <c r="RGT199" s="234"/>
      <c r="RGU199" s="234"/>
      <c r="RGV199" s="234"/>
      <c r="RGW199" s="234"/>
      <c r="RGX199" s="234"/>
      <c r="RGY199" s="234"/>
      <c r="RGZ199" s="234"/>
      <c r="RHA199" s="234"/>
      <c r="RHB199" s="234"/>
      <c r="RHC199" s="234"/>
      <c r="RHD199" s="234"/>
      <c r="RHE199" s="234"/>
      <c r="RHF199" s="234"/>
      <c r="RHG199" s="234"/>
      <c r="RHH199" s="234"/>
      <c r="RHI199" s="234"/>
      <c r="RHJ199" s="234"/>
      <c r="RHK199" s="234"/>
      <c r="RHL199" s="234"/>
      <c r="RHM199" s="234"/>
      <c r="RHN199" s="234"/>
      <c r="RHO199" s="234"/>
      <c r="RHP199" s="234"/>
      <c r="RHQ199" s="234"/>
      <c r="RHR199" s="234"/>
      <c r="RHS199" s="234"/>
      <c r="RHT199" s="234"/>
      <c r="RHU199" s="234"/>
      <c r="RHV199" s="234"/>
      <c r="RHW199" s="234"/>
      <c r="RHX199" s="234"/>
      <c r="RHY199" s="234"/>
      <c r="RHZ199" s="234"/>
      <c r="RIA199" s="234"/>
      <c r="RIB199" s="234"/>
      <c r="RIC199" s="234"/>
      <c r="RID199" s="234"/>
      <c r="RIE199" s="234"/>
      <c r="RIF199" s="234"/>
      <c r="RIG199" s="234"/>
      <c r="RIH199" s="234"/>
      <c r="RII199" s="234"/>
      <c r="RIJ199" s="234"/>
      <c r="RIK199" s="234"/>
      <c r="RIL199" s="234"/>
      <c r="RIM199" s="234"/>
      <c r="RIN199" s="234"/>
      <c r="RIO199" s="234"/>
      <c r="RIP199" s="234"/>
      <c r="RIQ199" s="234"/>
      <c r="RIR199" s="234"/>
      <c r="RIS199" s="234"/>
      <c r="RIT199" s="234"/>
      <c r="RIU199" s="234"/>
      <c r="RIV199" s="234"/>
      <c r="RIW199" s="234"/>
      <c r="RIX199" s="234"/>
      <c r="RIY199" s="234"/>
      <c r="RIZ199" s="234"/>
      <c r="RJA199" s="234"/>
      <c r="RJB199" s="234"/>
      <c r="RJC199" s="234"/>
      <c r="RJD199" s="234"/>
      <c r="RJE199" s="234"/>
      <c r="RJF199" s="234"/>
      <c r="RJG199" s="234"/>
      <c r="RJH199" s="234"/>
      <c r="RJI199" s="234"/>
      <c r="RJJ199" s="234"/>
      <c r="RJK199" s="234"/>
      <c r="RJL199" s="234"/>
      <c r="RJM199" s="234"/>
      <c r="RJN199" s="234"/>
      <c r="RJO199" s="234"/>
      <c r="RJP199" s="234"/>
      <c r="RJQ199" s="234"/>
      <c r="RJR199" s="234"/>
      <c r="RJS199" s="234"/>
      <c r="RJT199" s="234"/>
      <c r="RJU199" s="234"/>
      <c r="RJV199" s="234"/>
      <c r="RJW199" s="234"/>
      <c r="RJX199" s="234"/>
      <c r="RJY199" s="234"/>
      <c r="RJZ199" s="234"/>
      <c r="RKA199" s="234"/>
      <c r="RKB199" s="234"/>
      <c r="RKC199" s="234"/>
      <c r="RKD199" s="234"/>
      <c r="RKE199" s="234"/>
      <c r="RKF199" s="234"/>
      <c r="RKG199" s="234"/>
      <c r="RKH199" s="234"/>
      <c r="RKI199" s="234"/>
      <c r="RKJ199" s="234"/>
      <c r="RKK199" s="234"/>
      <c r="RKL199" s="234"/>
      <c r="RKM199" s="234"/>
      <c r="RKN199" s="234"/>
      <c r="RKO199" s="234"/>
      <c r="RKP199" s="234"/>
      <c r="RKQ199" s="234"/>
      <c r="RKR199" s="234"/>
      <c r="RKS199" s="234"/>
      <c r="RKT199" s="234"/>
      <c r="RKU199" s="234"/>
      <c r="RKV199" s="234"/>
      <c r="RKW199" s="234"/>
      <c r="RKX199" s="234"/>
      <c r="RKY199" s="234"/>
      <c r="RKZ199" s="234"/>
      <c r="RLA199" s="234"/>
      <c r="RLB199" s="234"/>
      <c r="RLC199" s="234"/>
      <c r="RLD199" s="234"/>
      <c r="RLE199" s="234"/>
      <c r="RLF199" s="234"/>
      <c r="RLG199" s="234"/>
      <c r="RLH199" s="234"/>
      <c r="RLI199" s="234"/>
      <c r="RLJ199" s="234"/>
      <c r="RLK199" s="234"/>
      <c r="RLL199" s="234"/>
      <c r="RLM199" s="234"/>
      <c r="RLN199" s="234"/>
      <c r="RLO199" s="234"/>
      <c r="RLP199" s="234"/>
      <c r="RLQ199" s="234"/>
      <c r="RLR199" s="234"/>
      <c r="RLS199" s="234"/>
      <c r="RLT199" s="234"/>
      <c r="RLU199" s="234"/>
      <c r="RLV199" s="234"/>
      <c r="RLW199" s="234"/>
      <c r="RLX199" s="234"/>
      <c r="RLY199" s="234"/>
      <c r="RLZ199" s="234"/>
      <c r="RMA199" s="234"/>
      <c r="RMB199" s="234"/>
      <c r="RMC199" s="234"/>
      <c r="RMD199" s="234"/>
      <c r="RME199" s="234"/>
      <c r="RMF199" s="234"/>
      <c r="RMG199" s="234"/>
      <c r="RMH199" s="234"/>
      <c r="RMI199" s="234"/>
      <c r="RMJ199" s="234"/>
      <c r="RMK199" s="234"/>
      <c r="RML199" s="234"/>
      <c r="RMM199" s="234"/>
      <c r="RMN199" s="234"/>
      <c r="RMO199" s="234"/>
      <c r="RMP199" s="234"/>
      <c r="RMQ199" s="234"/>
      <c r="RMR199" s="234"/>
      <c r="RMS199" s="234"/>
      <c r="RMT199" s="234"/>
      <c r="RMU199" s="234"/>
      <c r="RMV199" s="234"/>
      <c r="RMW199" s="234"/>
      <c r="RMX199" s="234"/>
      <c r="RMY199" s="234"/>
      <c r="RMZ199" s="234"/>
      <c r="RNA199" s="234"/>
      <c r="RNB199" s="234"/>
      <c r="RNC199" s="234"/>
      <c r="RND199" s="234"/>
      <c r="RNE199" s="234"/>
      <c r="RNF199" s="234"/>
      <c r="RNG199" s="234"/>
      <c r="RNH199" s="234"/>
      <c r="RNI199" s="234"/>
      <c r="RNJ199" s="234"/>
      <c r="RNK199" s="234"/>
      <c r="RNL199" s="234"/>
      <c r="RNM199" s="234"/>
      <c r="RNN199" s="234"/>
      <c r="RNO199" s="234"/>
      <c r="RNP199" s="234"/>
      <c r="RNQ199" s="234"/>
      <c r="RNR199" s="234"/>
      <c r="RNS199" s="234"/>
      <c r="RNT199" s="234"/>
      <c r="RNU199" s="234"/>
      <c r="RNV199" s="234"/>
      <c r="RNW199" s="234"/>
      <c r="RNX199" s="234"/>
      <c r="RNY199" s="234"/>
      <c r="RNZ199" s="234"/>
      <c r="ROA199" s="234"/>
      <c r="ROB199" s="234"/>
      <c r="ROC199" s="234"/>
      <c r="ROD199" s="234"/>
      <c r="ROE199" s="234"/>
      <c r="ROF199" s="234"/>
      <c r="ROG199" s="234"/>
      <c r="ROH199" s="234"/>
      <c r="ROI199" s="234"/>
      <c r="ROJ199" s="234"/>
      <c r="ROK199" s="234"/>
      <c r="ROL199" s="234"/>
      <c r="ROM199" s="234"/>
      <c r="RON199" s="234"/>
      <c r="ROO199" s="234"/>
      <c r="ROP199" s="234"/>
      <c r="ROQ199" s="234"/>
      <c r="ROR199" s="234"/>
      <c r="ROS199" s="234"/>
      <c r="ROT199" s="234"/>
      <c r="ROU199" s="234"/>
      <c r="ROV199" s="234"/>
      <c r="ROW199" s="234"/>
      <c r="ROX199" s="234"/>
      <c r="ROY199" s="234"/>
      <c r="ROZ199" s="234"/>
      <c r="RPA199" s="234"/>
      <c r="RPB199" s="234"/>
      <c r="RPC199" s="234"/>
      <c r="RPD199" s="234"/>
      <c r="RPE199" s="234"/>
      <c r="RPF199" s="234"/>
      <c r="RPG199" s="234"/>
      <c r="RPH199" s="234"/>
      <c r="RPI199" s="234"/>
      <c r="RPJ199" s="234"/>
      <c r="RPK199" s="234"/>
      <c r="RPL199" s="234"/>
      <c r="RPM199" s="234"/>
      <c r="RPN199" s="234"/>
      <c r="RPO199" s="234"/>
      <c r="RPP199" s="234"/>
      <c r="RPQ199" s="234"/>
      <c r="RPR199" s="234"/>
      <c r="RPS199" s="234"/>
      <c r="RPT199" s="234"/>
      <c r="RPU199" s="234"/>
      <c r="RPV199" s="234"/>
      <c r="RPW199" s="234"/>
      <c r="RPX199" s="234"/>
      <c r="RPY199" s="234"/>
      <c r="RPZ199" s="234"/>
      <c r="RQA199" s="234"/>
      <c r="RQB199" s="234"/>
      <c r="RQC199" s="234"/>
      <c r="RQD199" s="234"/>
      <c r="RQE199" s="234"/>
      <c r="RQF199" s="234"/>
      <c r="RQG199" s="234"/>
      <c r="RQH199" s="234"/>
      <c r="RQI199" s="234"/>
      <c r="RQJ199" s="234"/>
      <c r="RQK199" s="234"/>
      <c r="RQL199" s="234"/>
      <c r="RQM199" s="234"/>
      <c r="RQN199" s="234"/>
      <c r="RQO199" s="234"/>
      <c r="RQP199" s="234"/>
      <c r="RQQ199" s="234"/>
      <c r="RQR199" s="234"/>
      <c r="RQS199" s="234"/>
      <c r="RQT199" s="234"/>
      <c r="RQU199" s="234"/>
      <c r="RQV199" s="234"/>
      <c r="RQW199" s="234"/>
      <c r="RQX199" s="234"/>
      <c r="RQY199" s="234"/>
      <c r="RQZ199" s="234"/>
      <c r="RRA199" s="234"/>
      <c r="RRB199" s="234"/>
      <c r="RRC199" s="234"/>
      <c r="RRD199" s="234"/>
      <c r="RRE199" s="234"/>
      <c r="RRF199" s="234"/>
      <c r="RRG199" s="234"/>
      <c r="RRH199" s="234"/>
      <c r="RRI199" s="234"/>
      <c r="RRJ199" s="234"/>
      <c r="RRK199" s="234"/>
      <c r="RRL199" s="234"/>
      <c r="RRM199" s="234"/>
      <c r="RRN199" s="234"/>
      <c r="RRO199" s="234"/>
      <c r="RRP199" s="234"/>
      <c r="RRQ199" s="234"/>
      <c r="RRR199" s="234"/>
      <c r="RRS199" s="234"/>
      <c r="RRT199" s="234"/>
      <c r="RRU199" s="234"/>
      <c r="RRV199" s="234"/>
      <c r="RRW199" s="234"/>
      <c r="RRX199" s="234"/>
      <c r="RRY199" s="234"/>
      <c r="RRZ199" s="234"/>
      <c r="RSA199" s="234"/>
      <c r="RSB199" s="234"/>
      <c r="RSC199" s="234"/>
      <c r="RSD199" s="234"/>
      <c r="RSE199" s="234"/>
      <c r="RSF199" s="234"/>
      <c r="RSG199" s="234"/>
      <c r="RSH199" s="234"/>
      <c r="RSI199" s="234"/>
      <c r="RSJ199" s="234"/>
      <c r="RSK199" s="234"/>
      <c r="RSL199" s="234"/>
      <c r="RSM199" s="234"/>
      <c r="RSN199" s="234"/>
      <c r="RSO199" s="234"/>
      <c r="RSP199" s="234"/>
      <c r="RSQ199" s="234"/>
      <c r="RSR199" s="234"/>
      <c r="RSS199" s="234"/>
      <c r="RST199" s="234"/>
      <c r="RSU199" s="234"/>
      <c r="RSV199" s="234"/>
      <c r="RSW199" s="234"/>
      <c r="RSX199" s="234"/>
      <c r="RSY199" s="234"/>
      <c r="RSZ199" s="234"/>
      <c r="RTA199" s="234"/>
      <c r="RTB199" s="234"/>
      <c r="RTC199" s="234"/>
      <c r="RTD199" s="234"/>
      <c r="RTE199" s="234"/>
      <c r="RTF199" s="234"/>
      <c r="RTG199" s="234"/>
      <c r="RTH199" s="234"/>
      <c r="RTI199" s="234"/>
      <c r="RTJ199" s="234"/>
      <c r="RTK199" s="234"/>
      <c r="RTL199" s="234"/>
      <c r="RTM199" s="234"/>
      <c r="RTN199" s="234"/>
      <c r="RTO199" s="234"/>
      <c r="RTP199" s="234"/>
      <c r="RTQ199" s="234"/>
      <c r="RTR199" s="234"/>
      <c r="RTS199" s="234"/>
      <c r="RTT199" s="234"/>
      <c r="RTU199" s="234"/>
      <c r="RTV199" s="234"/>
      <c r="RTW199" s="234"/>
      <c r="RTX199" s="234"/>
      <c r="RTY199" s="234"/>
      <c r="RTZ199" s="234"/>
      <c r="RUA199" s="234"/>
      <c r="RUB199" s="234"/>
      <c r="RUC199" s="234"/>
      <c r="RUD199" s="234"/>
      <c r="RUE199" s="234"/>
      <c r="RUF199" s="234"/>
      <c r="RUG199" s="234"/>
      <c r="RUH199" s="234"/>
      <c r="RUI199" s="234"/>
      <c r="RUJ199" s="234"/>
      <c r="RUK199" s="234"/>
      <c r="RUL199" s="234"/>
      <c r="RUM199" s="234"/>
      <c r="RUN199" s="234"/>
      <c r="RUO199" s="234"/>
      <c r="RUP199" s="234"/>
      <c r="RUQ199" s="234"/>
      <c r="RUR199" s="234"/>
      <c r="RUS199" s="234"/>
      <c r="RUT199" s="234"/>
      <c r="RUU199" s="234"/>
      <c r="RUV199" s="234"/>
      <c r="RUW199" s="234"/>
      <c r="RUX199" s="234"/>
      <c r="RUY199" s="234"/>
      <c r="RUZ199" s="234"/>
      <c r="RVA199" s="234"/>
      <c r="RVB199" s="234"/>
      <c r="RVC199" s="234"/>
      <c r="RVD199" s="234"/>
      <c r="RVE199" s="234"/>
      <c r="RVF199" s="234"/>
      <c r="RVG199" s="234"/>
      <c r="RVH199" s="234"/>
      <c r="RVI199" s="234"/>
      <c r="RVJ199" s="234"/>
      <c r="RVK199" s="234"/>
      <c r="RVL199" s="234"/>
      <c r="RVM199" s="234"/>
      <c r="RVN199" s="234"/>
      <c r="RVO199" s="234"/>
      <c r="RVP199" s="234"/>
      <c r="RVQ199" s="234"/>
      <c r="RVR199" s="234"/>
      <c r="RVS199" s="234"/>
      <c r="RVT199" s="234"/>
      <c r="RVU199" s="234"/>
      <c r="RVV199" s="234"/>
      <c r="RVW199" s="234"/>
      <c r="RVX199" s="234"/>
      <c r="RVY199" s="234"/>
      <c r="RVZ199" s="234"/>
      <c r="RWA199" s="234"/>
      <c r="RWB199" s="234"/>
      <c r="RWC199" s="234"/>
      <c r="RWD199" s="234"/>
      <c r="RWE199" s="234"/>
      <c r="RWF199" s="234"/>
      <c r="RWG199" s="234"/>
      <c r="RWH199" s="234"/>
      <c r="RWI199" s="234"/>
      <c r="RWJ199" s="234"/>
      <c r="RWK199" s="234"/>
      <c r="RWL199" s="234"/>
      <c r="RWM199" s="234"/>
      <c r="RWN199" s="234"/>
      <c r="RWO199" s="234"/>
      <c r="RWP199" s="234"/>
      <c r="RWQ199" s="234"/>
      <c r="RWR199" s="234"/>
      <c r="RWS199" s="234"/>
      <c r="RWT199" s="234"/>
      <c r="RWU199" s="234"/>
      <c r="RWV199" s="234"/>
      <c r="RWW199" s="234"/>
      <c r="RWX199" s="234"/>
      <c r="RWY199" s="234"/>
      <c r="RWZ199" s="234"/>
      <c r="RXA199" s="234"/>
      <c r="RXB199" s="234"/>
      <c r="RXC199" s="234"/>
      <c r="RXD199" s="234"/>
      <c r="RXE199" s="234"/>
      <c r="RXF199" s="234"/>
      <c r="RXG199" s="234"/>
      <c r="RXH199" s="234"/>
      <c r="RXI199" s="234"/>
      <c r="RXJ199" s="234"/>
      <c r="RXK199" s="234"/>
      <c r="RXL199" s="234"/>
      <c r="RXM199" s="234"/>
      <c r="RXN199" s="234"/>
      <c r="RXO199" s="234"/>
      <c r="RXP199" s="234"/>
      <c r="RXQ199" s="234"/>
      <c r="RXR199" s="234"/>
      <c r="RXS199" s="234"/>
      <c r="RXT199" s="234"/>
      <c r="RXU199" s="234"/>
      <c r="RXV199" s="234"/>
      <c r="RXW199" s="234"/>
      <c r="RXX199" s="234"/>
      <c r="RXY199" s="234"/>
      <c r="RXZ199" s="234"/>
      <c r="RYA199" s="234"/>
      <c r="RYB199" s="234"/>
      <c r="RYC199" s="234"/>
      <c r="RYD199" s="234"/>
      <c r="RYE199" s="234"/>
      <c r="RYF199" s="234"/>
      <c r="RYG199" s="234"/>
      <c r="RYH199" s="234"/>
      <c r="RYI199" s="234"/>
      <c r="RYJ199" s="234"/>
      <c r="RYK199" s="234"/>
      <c r="RYL199" s="234"/>
      <c r="RYM199" s="234"/>
      <c r="RYN199" s="234"/>
      <c r="RYO199" s="234"/>
      <c r="RYP199" s="234"/>
      <c r="RYQ199" s="234"/>
      <c r="RYR199" s="234"/>
      <c r="RYS199" s="234"/>
      <c r="RYT199" s="234"/>
      <c r="RYU199" s="234"/>
      <c r="RYV199" s="234"/>
      <c r="RYW199" s="234"/>
      <c r="RYX199" s="234"/>
      <c r="RYY199" s="234"/>
      <c r="RYZ199" s="234"/>
      <c r="RZA199" s="234"/>
      <c r="RZB199" s="234"/>
      <c r="RZC199" s="234"/>
      <c r="RZD199" s="234"/>
      <c r="RZE199" s="234"/>
      <c r="RZF199" s="234"/>
      <c r="RZG199" s="234"/>
      <c r="RZH199" s="234"/>
      <c r="RZI199" s="234"/>
      <c r="RZJ199" s="234"/>
      <c r="RZK199" s="234"/>
      <c r="RZL199" s="234"/>
      <c r="RZM199" s="234"/>
      <c r="RZN199" s="234"/>
      <c r="RZO199" s="234"/>
      <c r="RZP199" s="234"/>
      <c r="RZQ199" s="234"/>
      <c r="RZR199" s="234"/>
      <c r="RZS199" s="234"/>
      <c r="RZT199" s="234"/>
      <c r="RZU199" s="234"/>
      <c r="RZV199" s="234"/>
      <c r="RZW199" s="234"/>
      <c r="RZX199" s="234"/>
      <c r="RZY199" s="234"/>
      <c r="RZZ199" s="234"/>
      <c r="SAA199" s="234"/>
      <c r="SAB199" s="234"/>
      <c r="SAC199" s="234"/>
      <c r="SAD199" s="234"/>
      <c r="SAE199" s="234"/>
      <c r="SAF199" s="234"/>
      <c r="SAG199" s="234"/>
      <c r="SAH199" s="234"/>
      <c r="SAI199" s="234"/>
      <c r="SAJ199" s="234"/>
      <c r="SAK199" s="234"/>
      <c r="SAL199" s="234"/>
      <c r="SAM199" s="234"/>
      <c r="SAN199" s="234"/>
      <c r="SAO199" s="234"/>
      <c r="SAP199" s="234"/>
      <c r="SAQ199" s="234"/>
      <c r="SAR199" s="234"/>
      <c r="SAS199" s="234"/>
      <c r="SAT199" s="234"/>
      <c r="SAU199" s="234"/>
      <c r="SAV199" s="234"/>
      <c r="SAW199" s="234"/>
      <c r="SAX199" s="234"/>
      <c r="SAY199" s="234"/>
      <c r="SAZ199" s="234"/>
      <c r="SBA199" s="234"/>
      <c r="SBB199" s="234"/>
      <c r="SBC199" s="234"/>
      <c r="SBD199" s="234"/>
      <c r="SBE199" s="234"/>
      <c r="SBF199" s="234"/>
      <c r="SBG199" s="234"/>
      <c r="SBH199" s="234"/>
      <c r="SBI199" s="234"/>
      <c r="SBJ199" s="234"/>
      <c r="SBK199" s="234"/>
      <c r="SBL199" s="234"/>
      <c r="SBM199" s="234"/>
      <c r="SBN199" s="234"/>
      <c r="SBO199" s="234"/>
      <c r="SBP199" s="234"/>
      <c r="SBQ199" s="234"/>
      <c r="SBR199" s="234"/>
      <c r="SBS199" s="234"/>
      <c r="SBT199" s="234"/>
      <c r="SBU199" s="234"/>
      <c r="SBV199" s="234"/>
      <c r="SBW199" s="234"/>
      <c r="SBX199" s="234"/>
      <c r="SBY199" s="234"/>
      <c r="SBZ199" s="234"/>
      <c r="SCA199" s="234"/>
      <c r="SCB199" s="234"/>
      <c r="SCC199" s="234"/>
      <c r="SCD199" s="234"/>
      <c r="SCE199" s="234"/>
      <c r="SCF199" s="234"/>
      <c r="SCG199" s="234"/>
      <c r="SCH199" s="234"/>
      <c r="SCI199" s="234"/>
      <c r="SCJ199" s="234"/>
      <c r="SCK199" s="234"/>
      <c r="SCL199" s="234"/>
      <c r="SCM199" s="234"/>
      <c r="SCN199" s="234"/>
      <c r="SCO199" s="234"/>
      <c r="SCP199" s="234"/>
      <c r="SCQ199" s="234"/>
      <c r="SCR199" s="234"/>
      <c r="SCS199" s="234"/>
      <c r="SCT199" s="234"/>
      <c r="SCU199" s="234"/>
      <c r="SCV199" s="234"/>
      <c r="SCW199" s="234"/>
      <c r="SCX199" s="234"/>
      <c r="SCY199" s="234"/>
      <c r="SCZ199" s="234"/>
      <c r="SDA199" s="234"/>
      <c r="SDB199" s="234"/>
      <c r="SDC199" s="234"/>
      <c r="SDD199" s="234"/>
      <c r="SDE199" s="234"/>
      <c r="SDF199" s="234"/>
      <c r="SDG199" s="234"/>
      <c r="SDH199" s="234"/>
      <c r="SDI199" s="234"/>
      <c r="SDJ199" s="234"/>
      <c r="SDK199" s="234"/>
      <c r="SDL199" s="234"/>
      <c r="SDM199" s="234"/>
      <c r="SDN199" s="234"/>
      <c r="SDO199" s="234"/>
      <c r="SDP199" s="234"/>
      <c r="SDQ199" s="234"/>
      <c r="SDR199" s="234"/>
      <c r="SDS199" s="234"/>
      <c r="SDT199" s="234"/>
      <c r="SDU199" s="234"/>
      <c r="SDV199" s="234"/>
      <c r="SDW199" s="234"/>
      <c r="SDX199" s="234"/>
      <c r="SDY199" s="234"/>
      <c r="SDZ199" s="234"/>
      <c r="SEA199" s="234"/>
      <c r="SEB199" s="234"/>
      <c r="SEC199" s="234"/>
      <c r="SED199" s="234"/>
      <c r="SEE199" s="234"/>
      <c r="SEF199" s="234"/>
      <c r="SEG199" s="234"/>
      <c r="SEH199" s="234"/>
      <c r="SEI199" s="234"/>
      <c r="SEJ199" s="234"/>
      <c r="SEK199" s="234"/>
      <c r="SEL199" s="234"/>
      <c r="SEM199" s="234"/>
      <c r="SEN199" s="234"/>
      <c r="SEO199" s="234"/>
      <c r="SEP199" s="234"/>
      <c r="SEQ199" s="234"/>
      <c r="SER199" s="234"/>
      <c r="SES199" s="234"/>
      <c r="SET199" s="234"/>
      <c r="SEU199" s="234"/>
      <c r="SEV199" s="234"/>
      <c r="SEW199" s="234"/>
      <c r="SEX199" s="234"/>
      <c r="SEY199" s="234"/>
      <c r="SEZ199" s="234"/>
      <c r="SFA199" s="234"/>
      <c r="SFB199" s="234"/>
      <c r="SFC199" s="234"/>
      <c r="SFD199" s="234"/>
      <c r="SFE199" s="234"/>
      <c r="SFF199" s="234"/>
      <c r="SFG199" s="234"/>
      <c r="SFH199" s="234"/>
      <c r="SFI199" s="234"/>
      <c r="SFJ199" s="234"/>
      <c r="SFK199" s="234"/>
      <c r="SFL199" s="234"/>
      <c r="SFM199" s="234"/>
      <c r="SFN199" s="234"/>
      <c r="SFO199" s="234"/>
      <c r="SFP199" s="234"/>
      <c r="SFQ199" s="234"/>
      <c r="SFR199" s="234"/>
      <c r="SFS199" s="234"/>
      <c r="SFT199" s="234"/>
      <c r="SFU199" s="234"/>
      <c r="SFV199" s="234"/>
      <c r="SFW199" s="234"/>
      <c r="SFX199" s="234"/>
      <c r="SFY199" s="234"/>
      <c r="SFZ199" s="234"/>
      <c r="SGA199" s="234"/>
      <c r="SGB199" s="234"/>
      <c r="SGC199" s="234"/>
      <c r="SGD199" s="234"/>
      <c r="SGE199" s="234"/>
      <c r="SGF199" s="234"/>
      <c r="SGG199" s="234"/>
      <c r="SGH199" s="234"/>
      <c r="SGI199" s="234"/>
      <c r="SGJ199" s="234"/>
      <c r="SGK199" s="234"/>
      <c r="SGL199" s="234"/>
      <c r="SGM199" s="234"/>
      <c r="SGN199" s="234"/>
      <c r="SGO199" s="234"/>
      <c r="SGP199" s="234"/>
      <c r="SGQ199" s="234"/>
      <c r="SGR199" s="234"/>
      <c r="SGS199" s="234"/>
      <c r="SGT199" s="234"/>
      <c r="SGU199" s="234"/>
      <c r="SGV199" s="234"/>
      <c r="SGW199" s="234"/>
      <c r="SGX199" s="234"/>
      <c r="SGY199" s="234"/>
      <c r="SGZ199" s="234"/>
      <c r="SHA199" s="234"/>
      <c r="SHB199" s="234"/>
      <c r="SHC199" s="234"/>
      <c r="SHD199" s="234"/>
      <c r="SHE199" s="234"/>
      <c r="SHF199" s="234"/>
      <c r="SHG199" s="234"/>
      <c r="SHH199" s="234"/>
      <c r="SHI199" s="234"/>
      <c r="SHJ199" s="234"/>
      <c r="SHK199" s="234"/>
      <c r="SHL199" s="234"/>
      <c r="SHM199" s="234"/>
      <c r="SHN199" s="234"/>
      <c r="SHO199" s="234"/>
      <c r="SHP199" s="234"/>
      <c r="SHQ199" s="234"/>
      <c r="SHR199" s="234"/>
      <c r="SHS199" s="234"/>
      <c r="SHT199" s="234"/>
      <c r="SHU199" s="234"/>
      <c r="SHV199" s="234"/>
      <c r="SHW199" s="234"/>
      <c r="SHX199" s="234"/>
      <c r="SHY199" s="234"/>
      <c r="SHZ199" s="234"/>
      <c r="SIA199" s="234"/>
      <c r="SIB199" s="234"/>
      <c r="SIC199" s="234"/>
      <c r="SID199" s="234"/>
      <c r="SIE199" s="234"/>
      <c r="SIF199" s="234"/>
      <c r="SIG199" s="234"/>
      <c r="SIH199" s="234"/>
      <c r="SII199" s="234"/>
      <c r="SIJ199" s="234"/>
      <c r="SIK199" s="234"/>
      <c r="SIL199" s="234"/>
      <c r="SIM199" s="234"/>
      <c r="SIN199" s="234"/>
      <c r="SIO199" s="234"/>
      <c r="SIP199" s="234"/>
      <c r="SIQ199" s="234"/>
      <c r="SIR199" s="234"/>
      <c r="SIS199" s="234"/>
      <c r="SIT199" s="234"/>
      <c r="SIU199" s="234"/>
      <c r="SIV199" s="234"/>
      <c r="SIW199" s="234"/>
      <c r="SIX199" s="234"/>
      <c r="SIY199" s="234"/>
      <c r="SIZ199" s="234"/>
      <c r="SJA199" s="234"/>
      <c r="SJB199" s="234"/>
      <c r="SJC199" s="234"/>
      <c r="SJD199" s="234"/>
      <c r="SJE199" s="234"/>
      <c r="SJF199" s="234"/>
      <c r="SJG199" s="234"/>
      <c r="SJH199" s="234"/>
      <c r="SJI199" s="234"/>
      <c r="SJJ199" s="234"/>
      <c r="SJK199" s="234"/>
      <c r="SJL199" s="234"/>
      <c r="SJM199" s="234"/>
      <c r="SJN199" s="234"/>
      <c r="SJO199" s="234"/>
      <c r="SJP199" s="234"/>
      <c r="SJQ199" s="234"/>
      <c r="SJR199" s="234"/>
      <c r="SJS199" s="234"/>
      <c r="SJT199" s="234"/>
      <c r="SJU199" s="234"/>
      <c r="SJV199" s="234"/>
      <c r="SJW199" s="234"/>
      <c r="SJX199" s="234"/>
      <c r="SJY199" s="234"/>
      <c r="SJZ199" s="234"/>
      <c r="SKA199" s="234"/>
      <c r="SKB199" s="234"/>
      <c r="SKC199" s="234"/>
      <c r="SKD199" s="234"/>
      <c r="SKE199" s="234"/>
      <c r="SKF199" s="234"/>
      <c r="SKG199" s="234"/>
      <c r="SKH199" s="234"/>
      <c r="SKI199" s="234"/>
      <c r="SKJ199" s="234"/>
      <c r="SKK199" s="234"/>
      <c r="SKL199" s="234"/>
      <c r="SKM199" s="234"/>
      <c r="SKN199" s="234"/>
      <c r="SKO199" s="234"/>
      <c r="SKP199" s="234"/>
      <c r="SKQ199" s="234"/>
      <c r="SKR199" s="234"/>
      <c r="SKS199" s="234"/>
      <c r="SKT199" s="234"/>
      <c r="SKU199" s="234"/>
      <c r="SKV199" s="234"/>
      <c r="SKW199" s="234"/>
      <c r="SKX199" s="234"/>
      <c r="SKY199" s="234"/>
      <c r="SKZ199" s="234"/>
      <c r="SLA199" s="234"/>
      <c r="SLB199" s="234"/>
      <c r="SLC199" s="234"/>
      <c r="SLD199" s="234"/>
      <c r="SLE199" s="234"/>
      <c r="SLF199" s="234"/>
      <c r="SLG199" s="234"/>
      <c r="SLH199" s="234"/>
      <c r="SLI199" s="234"/>
      <c r="SLJ199" s="234"/>
      <c r="SLK199" s="234"/>
      <c r="SLL199" s="234"/>
      <c r="SLM199" s="234"/>
      <c r="SLN199" s="234"/>
      <c r="SLO199" s="234"/>
      <c r="SLP199" s="234"/>
      <c r="SLQ199" s="234"/>
      <c r="SLR199" s="234"/>
      <c r="SLS199" s="234"/>
      <c r="SLT199" s="234"/>
      <c r="SLU199" s="234"/>
      <c r="SLV199" s="234"/>
      <c r="SLW199" s="234"/>
      <c r="SLX199" s="234"/>
      <c r="SLY199" s="234"/>
      <c r="SLZ199" s="234"/>
      <c r="SMA199" s="234"/>
      <c r="SMB199" s="234"/>
      <c r="SMC199" s="234"/>
      <c r="SMD199" s="234"/>
      <c r="SME199" s="234"/>
      <c r="SMF199" s="234"/>
      <c r="SMG199" s="234"/>
      <c r="SMH199" s="234"/>
      <c r="SMI199" s="234"/>
      <c r="SMJ199" s="234"/>
      <c r="SMK199" s="234"/>
      <c r="SML199" s="234"/>
      <c r="SMM199" s="234"/>
      <c r="SMN199" s="234"/>
      <c r="SMO199" s="234"/>
      <c r="SMP199" s="234"/>
      <c r="SMQ199" s="234"/>
      <c r="SMR199" s="234"/>
      <c r="SMS199" s="234"/>
      <c r="SMT199" s="234"/>
      <c r="SMU199" s="234"/>
      <c r="SMV199" s="234"/>
      <c r="SMW199" s="234"/>
      <c r="SMX199" s="234"/>
      <c r="SMY199" s="234"/>
      <c r="SMZ199" s="234"/>
      <c r="SNA199" s="234"/>
      <c r="SNB199" s="234"/>
      <c r="SNC199" s="234"/>
      <c r="SND199" s="234"/>
      <c r="SNE199" s="234"/>
      <c r="SNF199" s="234"/>
      <c r="SNG199" s="234"/>
      <c r="SNH199" s="234"/>
      <c r="SNI199" s="234"/>
      <c r="SNJ199" s="234"/>
      <c r="SNK199" s="234"/>
      <c r="SNL199" s="234"/>
      <c r="SNM199" s="234"/>
      <c r="SNN199" s="234"/>
      <c r="SNO199" s="234"/>
      <c r="SNP199" s="234"/>
      <c r="SNQ199" s="234"/>
      <c r="SNR199" s="234"/>
      <c r="SNS199" s="234"/>
      <c r="SNT199" s="234"/>
      <c r="SNU199" s="234"/>
      <c r="SNV199" s="234"/>
      <c r="SNW199" s="234"/>
      <c r="SNX199" s="234"/>
      <c r="SNY199" s="234"/>
      <c r="SNZ199" s="234"/>
      <c r="SOA199" s="234"/>
      <c r="SOB199" s="234"/>
      <c r="SOC199" s="234"/>
      <c r="SOD199" s="234"/>
      <c r="SOE199" s="234"/>
      <c r="SOF199" s="234"/>
      <c r="SOG199" s="234"/>
      <c r="SOH199" s="234"/>
      <c r="SOI199" s="234"/>
      <c r="SOJ199" s="234"/>
      <c r="SOK199" s="234"/>
      <c r="SOL199" s="234"/>
      <c r="SOM199" s="234"/>
      <c r="SON199" s="234"/>
      <c r="SOO199" s="234"/>
      <c r="SOP199" s="234"/>
      <c r="SOQ199" s="234"/>
      <c r="SOR199" s="234"/>
      <c r="SOS199" s="234"/>
      <c r="SOT199" s="234"/>
      <c r="SOU199" s="234"/>
      <c r="SOV199" s="234"/>
      <c r="SOW199" s="234"/>
      <c r="SOX199" s="234"/>
      <c r="SOY199" s="234"/>
      <c r="SOZ199" s="234"/>
      <c r="SPA199" s="234"/>
      <c r="SPB199" s="234"/>
      <c r="SPC199" s="234"/>
      <c r="SPD199" s="234"/>
      <c r="SPE199" s="234"/>
      <c r="SPF199" s="234"/>
      <c r="SPG199" s="234"/>
      <c r="SPH199" s="234"/>
      <c r="SPI199" s="234"/>
      <c r="SPJ199" s="234"/>
      <c r="SPK199" s="234"/>
      <c r="SPL199" s="234"/>
      <c r="SPM199" s="234"/>
      <c r="SPN199" s="234"/>
      <c r="SPO199" s="234"/>
      <c r="SPP199" s="234"/>
      <c r="SPQ199" s="234"/>
      <c r="SPR199" s="234"/>
      <c r="SPS199" s="234"/>
      <c r="SPT199" s="234"/>
      <c r="SPU199" s="234"/>
      <c r="SPV199" s="234"/>
      <c r="SPW199" s="234"/>
      <c r="SPX199" s="234"/>
      <c r="SPY199" s="234"/>
      <c r="SPZ199" s="234"/>
      <c r="SQA199" s="234"/>
      <c r="SQB199" s="234"/>
      <c r="SQC199" s="234"/>
      <c r="SQD199" s="234"/>
      <c r="SQE199" s="234"/>
      <c r="SQF199" s="234"/>
      <c r="SQG199" s="234"/>
      <c r="SQH199" s="234"/>
      <c r="SQI199" s="234"/>
      <c r="SQJ199" s="234"/>
      <c r="SQK199" s="234"/>
      <c r="SQL199" s="234"/>
      <c r="SQM199" s="234"/>
      <c r="SQN199" s="234"/>
      <c r="SQO199" s="234"/>
      <c r="SQP199" s="234"/>
      <c r="SQQ199" s="234"/>
      <c r="SQR199" s="234"/>
      <c r="SQS199" s="234"/>
      <c r="SQT199" s="234"/>
      <c r="SQU199" s="234"/>
      <c r="SQV199" s="234"/>
      <c r="SQW199" s="234"/>
      <c r="SQX199" s="234"/>
      <c r="SQY199" s="234"/>
      <c r="SQZ199" s="234"/>
      <c r="SRA199" s="234"/>
      <c r="SRB199" s="234"/>
      <c r="SRC199" s="234"/>
      <c r="SRD199" s="234"/>
      <c r="SRE199" s="234"/>
      <c r="SRF199" s="234"/>
      <c r="SRG199" s="234"/>
      <c r="SRH199" s="234"/>
      <c r="SRI199" s="234"/>
      <c r="SRJ199" s="234"/>
      <c r="SRK199" s="234"/>
      <c r="SRL199" s="234"/>
      <c r="SRM199" s="234"/>
      <c r="SRN199" s="234"/>
      <c r="SRO199" s="234"/>
      <c r="SRP199" s="234"/>
      <c r="SRQ199" s="234"/>
      <c r="SRR199" s="234"/>
      <c r="SRS199" s="234"/>
      <c r="SRT199" s="234"/>
      <c r="SRU199" s="234"/>
      <c r="SRV199" s="234"/>
      <c r="SRW199" s="234"/>
      <c r="SRX199" s="234"/>
      <c r="SRY199" s="234"/>
      <c r="SRZ199" s="234"/>
      <c r="SSA199" s="234"/>
      <c r="SSB199" s="234"/>
      <c r="SSC199" s="234"/>
      <c r="SSD199" s="234"/>
      <c r="SSE199" s="234"/>
      <c r="SSF199" s="234"/>
      <c r="SSG199" s="234"/>
      <c r="SSH199" s="234"/>
      <c r="SSI199" s="234"/>
      <c r="SSJ199" s="234"/>
      <c r="SSK199" s="234"/>
      <c r="SSL199" s="234"/>
      <c r="SSM199" s="234"/>
      <c r="SSN199" s="234"/>
      <c r="SSO199" s="234"/>
      <c r="SSP199" s="234"/>
      <c r="SSQ199" s="234"/>
      <c r="SSR199" s="234"/>
      <c r="SSS199" s="234"/>
      <c r="SST199" s="234"/>
      <c r="SSU199" s="234"/>
      <c r="SSV199" s="234"/>
      <c r="SSW199" s="234"/>
      <c r="SSX199" s="234"/>
      <c r="SSY199" s="234"/>
      <c r="SSZ199" s="234"/>
      <c r="STA199" s="234"/>
      <c r="STB199" s="234"/>
      <c r="STC199" s="234"/>
      <c r="STD199" s="234"/>
      <c r="STE199" s="234"/>
      <c r="STF199" s="234"/>
      <c r="STG199" s="234"/>
      <c r="STH199" s="234"/>
      <c r="STI199" s="234"/>
      <c r="STJ199" s="234"/>
      <c r="STK199" s="234"/>
      <c r="STL199" s="234"/>
      <c r="STM199" s="234"/>
      <c r="STN199" s="234"/>
      <c r="STO199" s="234"/>
      <c r="STP199" s="234"/>
      <c r="STQ199" s="234"/>
      <c r="STR199" s="234"/>
      <c r="STS199" s="234"/>
      <c r="STT199" s="234"/>
      <c r="STU199" s="234"/>
      <c r="STV199" s="234"/>
      <c r="STW199" s="234"/>
      <c r="STX199" s="234"/>
      <c r="STY199" s="234"/>
      <c r="STZ199" s="234"/>
      <c r="SUA199" s="234"/>
      <c r="SUB199" s="234"/>
      <c r="SUC199" s="234"/>
      <c r="SUD199" s="234"/>
      <c r="SUE199" s="234"/>
      <c r="SUF199" s="234"/>
      <c r="SUG199" s="234"/>
      <c r="SUH199" s="234"/>
      <c r="SUI199" s="234"/>
      <c r="SUJ199" s="234"/>
      <c r="SUK199" s="234"/>
      <c r="SUL199" s="234"/>
      <c r="SUM199" s="234"/>
      <c r="SUN199" s="234"/>
      <c r="SUO199" s="234"/>
      <c r="SUP199" s="234"/>
      <c r="SUQ199" s="234"/>
      <c r="SUR199" s="234"/>
      <c r="SUS199" s="234"/>
      <c r="SUT199" s="234"/>
      <c r="SUU199" s="234"/>
      <c r="SUV199" s="234"/>
      <c r="SUW199" s="234"/>
      <c r="SUX199" s="234"/>
      <c r="SUY199" s="234"/>
      <c r="SUZ199" s="234"/>
      <c r="SVA199" s="234"/>
      <c r="SVB199" s="234"/>
      <c r="SVC199" s="234"/>
      <c r="SVD199" s="234"/>
      <c r="SVE199" s="234"/>
      <c r="SVF199" s="234"/>
      <c r="SVG199" s="234"/>
      <c r="SVH199" s="234"/>
      <c r="SVI199" s="234"/>
      <c r="SVJ199" s="234"/>
      <c r="SVK199" s="234"/>
      <c r="SVL199" s="234"/>
      <c r="SVM199" s="234"/>
      <c r="SVN199" s="234"/>
      <c r="SVO199" s="234"/>
      <c r="SVP199" s="234"/>
      <c r="SVQ199" s="234"/>
      <c r="SVR199" s="234"/>
      <c r="SVS199" s="234"/>
      <c r="SVT199" s="234"/>
      <c r="SVU199" s="234"/>
      <c r="SVV199" s="234"/>
      <c r="SVW199" s="234"/>
      <c r="SVX199" s="234"/>
      <c r="SVY199" s="234"/>
      <c r="SVZ199" s="234"/>
      <c r="SWA199" s="234"/>
      <c r="SWB199" s="234"/>
      <c r="SWC199" s="234"/>
      <c r="SWD199" s="234"/>
      <c r="SWE199" s="234"/>
      <c r="SWF199" s="234"/>
      <c r="SWG199" s="234"/>
      <c r="SWH199" s="234"/>
      <c r="SWI199" s="234"/>
      <c r="SWJ199" s="234"/>
      <c r="SWK199" s="234"/>
      <c r="SWL199" s="234"/>
      <c r="SWM199" s="234"/>
      <c r="SWN199" s="234"/>
      <c r="SWO199" s="234"/>
      <c r="SWP199" s="234"/>
      <c r="SWQ199" s="234"/>
      <c r="SWR199" s="234"/>
      <c r="SWS199" s="234"/>
      <c r="SWT199" s="234"/>
      <c r="SWU199" s="234"/>
      <c r="SWV199" s="234"/>
      <c r="SWW199" s="234"/>
      <c r="SWX199" s="234"/>
      <c r="SWY199" s="234"/>
      <c r="SWZ199" s="234"/>
      <c r="SXA199" s="234"/>
      <c r="SXB199" s="234"/>
      <c r="SXC199" s="234"/>
      <c r="SXD199" s="234"/>
      <c r="SXE199" s="234"/>
      <c r="SXF199" s="234"/>
      <c r="SXG199" s="234"/>
      <c r="SXH199" s="234"/>
      <c r="SXI199" s="234"/>
      <c r="SXJ199" s="234"/>
      <c r="SXK199" s="234"/>
      <c r="SXL199" s="234"/>
      <c r="SXM199" s="234"/>
      <c r="SXN199" s="234"/>
      <c r="SXO199" s="234"/>
      <c r="SXP199" s="234"/>
      <c r="SXQ199" s="234"/>
      <c r="SXR199" s="234"/>
      <c r="SXS199" s="234"/>
      <c r="SXT199" s="234"/>
      <c r="SXU199" s="234"/>
      <c r="SXV199" s="234"/>
      <c r="SXW199" s="234"/>
      <c r="SXX199" s="234"/>
      <c r="SXY199" s="234"/>
      <c r="SXZ199" s="234"/>
      <c r="SYA199" s="234"/>
      <c r="SYB199" s="234"/>
      <c r="SYC199" s="234"/>
      <c r="SYD199" s="234"/>
      <c r="SYE199" s="234"/>
      <c r="SYF199" s="234"/>
      <c r="SYG199" s="234"/>
      <c r="SYH199" s="234"/>
      <c r="SYI199" s="234"/>
      <c r="SYJ199" s="234"/>
      <c r="SYK199" s="234"/>
      <c r="SYL199" s="234"/>
      <c r="SYM199" s="234"/>
      <c r="SYN199" s="234"/>
      <c r="SYO199" s="234"/>
      <c r="SYP199" s="234"/>
      <c r="SYQ199" s="234"/>
      <c r="SYR199" s="234"/>
      <c r="SYS199" s="234"/>
      <c r="SYT199" s="234"/>
      <c r="SYU199" s="234"/>
      <c r="SYV199" s="234"/>
      <c r="SYW199" s="234"/>
      <c r="SYX199" s="234"/>
      <c r="SYY199" s="234"/>
      <c r="SYZ199" s="234"/>
      <c r="SZA199" s="234"/>
      <c r="SZB199" s="234"/>
      <c r="SZC199" s="234"/>
      <c r="SZD199" s="234"/>
      <c r="SZE199" s="234"/>
      <c r="SZF199" s="234"/>
      <c r="SZG199" s="234"/>
      <c r="SZH199" s="234"/>
      <c r="SZI199" s="234"/>
      <c r="SZJ199" s="234"/>
      <c r="SZK199" s="234"/>
      <c r="SZL199" s="234"/>
      <c r="SZM199" s="234"/>
      <c r="SZN199" s="234"/>
      <c r="SZO199" s="234"/>
      <c r="SZP199" s="234"/>
      <c r="SZQ199" s="234"/>
      <c r="SZR199" s="234"/>
      <c r="SZS199" s="234"/>
      <c r="SZT199" s="234"/>
      <c r="SZU199" s="234"/>
      <c r="SZV199" s="234"/>
      <c r="SZW199" s="234"/>
      <c r="SZX199" s="234"/>
      <c r="SZY199" s="234"/>
      <c r="SZZ199" s="234"/>
      <c r="TAA199" s="234"/>
      <c r="TAB199" s="234"/>
      <c r="TAC199" s="234"/>
      <c r="TAD199" s="234"/>
      <c r="TAE199" s="234"/>
      <c r="TAF199" s="234"/>
      <c r="TAG199" s="234"/>
      <c r="TAH199" s="234"/>
      <c r="TAI199" s="234"/>
      <c r="TAJ199" s="234"/>
      <c r="TAK199" s="234"/>
      <c r="TAL199" s="234"/>
      <c r="TAM199" s="234"/>
      <c r="TAN199" s="234"/>
      <c r="TAO199" s="234"/>
      <c r="TAP199" s="234"/>
      <c r="TAQ199" s="234"/>
      <c r="TAR199" s="234"/>
      <c r="TAS199" s="234"/>
      <c r="TAT199" s="234"/>
      <c r="TAU199" s="234"/>
      <c r="TAV199" s="234"/>
      <c r="TAW199" s="234"/>
      <c r="TAX199" s="234"/>
      <c r="TAY199" s="234"/>
      <c r="TAZ199" s="234"/>
      <c r="TBA199" s="234"/>
      <c r="TBB199" s="234"/>
      <c r="TBC199" s="234"/>
      <c r="TBD199" s="234"/>
      <c r="TBE199" s="234"/>
      <c r="TBF199" s="234"/>
      <c r="TBG199" s="234"/>
      <c r="TBH199" s="234"/>
      <c r="TBI199" s="234"/>
      <c r="TBJ199" s="234"/>
      <c r="TBK199" s="234"/>
      <c r="TBL199" s="234"/>
      <c r="TBM199" s="234"/>
      <c r="TBN199" s="234"/>
      <c r="TBO199" s="234"/>
      <c r="TBP199" s="234"/>
      <c r="TBQ199" s="234"/>
      <c r="TBR199" s="234"/>
      <c r="TBS199" s="234"/>
      <c r="TBT199" s="234"/>
      <c r="TBU199" s="234"/>
      <c r="TBV199" s="234"/>
      <c r="TBW199" s="234"/>
      <c r="TBX199" s="234"/>
      <c r="TBY199" s="234"/>
      <c r="TBZ199" s="234"/>
      <c r="TCA199" s="234"/>
      <c r="TCB199" s="234"/>
      <c r="TCC199" s="234"/>
      <c r="TCD199" s="234"/>
      <c r="TCE199" s="234"/>
      <c r="TCF199" s="234"/>
      <c r="TCG199" s="234"/>
      <c r="TCH199" s="234"/>
      <c r="TCI199" s="234"/>
      <c r="TCJ199" s="234"/>
      <c r="TCK199" s="234"/>
      <c r="TCL199" s="234"/>
      <c r="TCM199" s="234"/>
      <c r="TCN199" s="234"/>
      <c r="TCO199" s="234"/>
      <c r="TCP199" s="234"/>
      <c r="TCQ199" s="234"/>
      <c r="TCR199" s="234"/>
      <c r="TCS199" s="234"/>
      <c r="TCT199" s="234"/>
      <c r="TCU199" s="234"/>
      <c r="TCV199" s="234"/>
      <c r="TCW199" s="234"/>
      <c r="TCX199" s="234"/>
      <c r="TCY199" s="234"/>
      <c r="TCZ199" s="234"/>
      <c r="TDA199" s="234"/>
      <c r="TDB199" s="234"/>
      <c r="TDC199" s="234"/>
      <c r="TDD199" s="234"/>
      <c r="TDE199" s="234"/>
      <c r="TDF199" s="234"/>
      <c r="TDG199" s="234"/>
      <c r="TDH199" s="234"/>
      <c r="TDI199" s="234"/>
      <c r="TDJ199" s="234"/>
      <c r="TDK199" s="234"/>
      <c r="TDL199" s="234"/>
      <c r="TDM199" s="234"/>
      <c r="TDN199" s="234"/>
      <c r="TDO199" s="234"/>
      <c r="TDP199" s="234"/>
      <c r="TDQ199" s="234"/>
      <c r="TDR199" s="234"/>
      <c r="TDS199" s="234"/>
      <c r="TDT199" s="234"/>
      <c r="TDU199" s="234"/>
      <c r="TDV199" s="234"/>
      <c r="TDW199" s="234"/>
      <c r="TDX199" s="234"/>
      <c r="TDY199" s="234"/>
      <c r="TDZ199" s="234"/>
      <c r="TEA199" s="234"/>
      <c r="TEB199" s="234"/>
      <c r="TEC199" s="234"/>
      <c r="TED199" s="234"/>
      <c r="TEE199" s="234"/>
      <c r="TEF199" s="234"/>
      <c r="TEG199" s="234"/>
      <c r="TEH199" s="234"/>
      <c r="TEI199" s="234"/>
      <c r="TEJ199" s="234"/>
      <c r="TEK199" s="234"/>
      <c r="TEL199" s="234"/>
      <c r="TEM199" s="234"/>
      <c r="TEN199" s="234"/>
      <c r="TEO199" s="234"/>
      <c r="TEP199" s="234"/>
      <c r="TEQ199" s="234"/>
      <c r="TER199" s="234"/>
      <c r="TES199" s="234"/>
      <c r="TET199" s="234"/>
      <c r="TEU199" s="234"/>
      <c r="TEV199" s="234"/>
      <c r="TEW199" s="234"/>
      <c r="TEX199" s="234"/>
      <c r="TEY199" s="234"/>
      <c r="TEZ199" s="234"/>
      <c r="TFA199" s="234"/>
      <c r="TFB199" s="234"/>
      <c r="TFC199" s="234"/>
      <c r="TFD199" s="234"/>
      <c r="TFE199" s="234"/>
      <c r="TFF199" s="234"/>
      <c r="TFG199" s="234"/>
      <c r="TFH199" s="234"/>
      <c r="TFI199" s="234"/>
      <c r="TFJ199" s="234"/>
      <c r="TFK199" s="234"/>
      <c r="TFL199" s="234"/>
      <c r="TFM199" s="234"/>
      <c r="TFN199" s="234"/>
      <c r="TFO199" s="234"/>
      <c r="TFP199" s="234"/>
      <c r="TFQ199" s="234"/>
      <c r="TFR199" s="234"/>
      <c r="TFS199" s="234"/>
      <c r="TFT199" s="234"/>
      <c r="TFU199" s="234"/>
      <c r="TFV199" s="234"/>
      <c r="TFW199" s="234"/>
      <c r="TFX199" s="234"/>
      <c r="TFY199" s="234"/>
      <c r="TFZ199" s="234"/>
      <c r="TGA199" s="234"/>
      <c r="TGB199" s="234"/>
      <c r="TGC199" s="234"/>
      <c r="TGD199" s="234"/>
      <c r="TGE199" s="234"/>
      <c r="TGF199" s="234"/>
      <c r="TGG199" s="234"/>
      <c r="TGH199" s="234"/>
      <c r="TGI199" s="234"/>
      <c r="TGJ199" s="234"/>
      <c r="TGK199" s="234"/>
      <c r="TGL199" s="234"/>
      <c r="TGM199" s="234"/>
      <c r="TGN199" s="234"/>
      <c r="TGO199" s="234"/>
      <c r="TGP199" s="234"/>
      <c r="TGQ199" s="234"/>
      <c r="TGR199" s="234"/>
      <c r="TGS199" s="234"/>
      <c r="TGT199" s="234"/>
      <c r="TGU199" s="234"/>
      <c r="TGV199" s="234"/>
      <c r="TGW199" s="234"/>
      <c r="TGX199" s="234"/>
      <c r="TGY199" s="234"/>
      <c r="TGZ199" s="234"/>
      <c r="THA199" s="234"/>
      <c r="THB199" s="234"/>
      <c r="THC199" s="234"/>
      <c r="THD199" s="234"/>
      <c r="THE199" s="234"/>
      <c r="THF199" s="234"/>
      <c r="THG199" s="234"/>
      <c r="THH199" s="234"/>
      <c r="THI199" s="234"/>
      <c r="THJ199" s="234"/>
      <c r="THK199" s="234"/>
      <c r="THL199" s="234"/>
      <c r="THM199" s="234"/>
      <c r="THN199" s="234"/>
      <c r="THO199" s="234"/>
      <c r="THP199" s="234"/>
      <c r="THQ199" s="234"/>
      <c r="THR199" s="234"/>
      <c r="THS199" s="234"/>
      <c r="THT199" s="234"/>
      <c r="THU199" s="234"/>
      <c r="THV199" s="234"/>
      <c r="THW199" s="234"/>
      <c r="THX199" s="234"/>
      <c r="THY199" s="234"/>
      <c r="THZ199" s="234"/>
      <c r="TIA199" s="234"/>
      <c r="TIB199" s="234"/>
      <c r="TIC199" s="234"/>
      <c r="TID199" s="234"/>
      <c r="TIE199" s="234"/>
      <c r="TIF199" s="234"/>
      <c r="TIG199" s="234"/>
      <c r="TIH199" s="234"/>
      <c r="TII199" s="234"/>
      <c r="TIJ199" s="234"/>
      <c r="TIK199" s="234"/>
      <c r="TIL199" s="234"/>
      <c r="TIM199" s="234"/>
      <c r="TIN199" s="234"/>
      <c r="TIO199" s="234"/>
      <c r="TIP199" s="234"/>
      <c r="TIQ199" s="234"/>
      <c r="TIR199" s="234"/>
      <c r="TIS199" s="234"/>
      <c r="TIT199" s="234"/>
      <c r="TIU199" s="234"/>
      <c r="TIV199" s="234"/>
      <c r="TIW199" s="234"/>
      <c r="TIX199" s="234"/>
      <c r="TIY199" s="234"/>
      <c r="TIZ199" s="234"/>
      <c r="TJA199" s="234"/>
      <c r="TJB199" s="234"/>
      <c r="TJC199" s="234"/>
      <c r="TJD199" s="234"/>
      <c r="TJE199" s="234"/>
      <c r="TJF199" s="234"/>
      <c r="TJG199" s="234"/>
      <c r="TJH199" s="234"/>
      <c r="TJI199" s="234"/>
      <c r="TJJ199" s="234"/>
      <c r="TJK199" s="234"/>
      <c r="TJL199" s="234"/>
      <c r="TJM199" s="234"/>
      <c r="TJN199" s="234"/>
      <c r="TJO199" s="234"/>
      <c r="TJP199" s="234"/>
      <c r="TJQ199" s="234"/>
      <c r="TJR199" s="234"/>
      <c r="TJS199" s="234"/>
      <c r="TJT199" s="234"/>
      <c r="TJU199" s="234"/>
      <c r="TJV199" s="234"/>
      <c r="TJW199" s="234"/>
      <c r="TJX199" s="234"/>
      <c r="TJY199" s="234"/>
      <c r="TJZ199" s="234"/>
      <c r="TKA199" s="234"/>
      <c r="TKB199" s="234"/>
      <c r="TKC199" s="234"/>
      <c r="TKD199" s="234"/>
      <c r="TKE199" s="234"/>
      <c r="TKF199" s="234"/>
      <c r="TKG199" s="234"/>
      <c r="TKH199" s="234"/>
      <c r="TKI199" s="234"/>
      <c r="TKJ199" s="234"/>
      <c r="TKK199" s="234"/>
      <c r="TKL199" s="234"/>
      <c r="TKM199" s="234"/>
      <c r="TKN199" s="234"/>
      <c r="TKO199" s="234"/>
      <c r="TKP199" s="234"/>
      <c r="TKQ199" s="234"/>
      <c r="TKR199" s="234"/>
      <c r="TKS199" s="234"/>
      <c r="TKT199" s="234"/>
      <c r="TKU199" s="234"/>
      <c r="TKV199" s="234"/>
      <c r="TKW199" s="234"/>
      <c r="TKX199" s="234"/>
      <c r="TKY199" s="234"/>
      <c r="TKZ199" s="234"/>
      <c r="TLA199" s="234"/>
      <c r="TLB199" s="234"/>
      <c r="TLC199" s="234"/>
      <c r="TLD199" s="234"/>
      <c r="TLE199" s="234"/>
      <c r="TLF199" s="234"/>
      <c r="TLG199" s="234"/>
      <c r="TLH199" s="234"/>
      <c r="TLI199" s="234"/>
      <c r="TLJ199" s="234"/>
      <c r="TLK199" s="234"/>
      <c r="TLL199" s="234"/>
      <c r="TLM199" s="234"/>
      <c r="TLN199" s="234"/>
      <c r="TLO199" s="234"/>
      <c r="TLP199" s="234"/>
      <c r="TLQ199" s="234"/>
      <c r="TLR199" s="234"/>
      <c r="TLS199" s="234"/>
      <c r="TLT199" s="234"/>
      <c r="TLU199" s="234"/>
      <c r="TLV199" s="234"/>
      <c r="TLW199" s="234"/>
      <c r="TLX199" s="234"/>
      <c r="TLY199" s="234"/>
      <c r="TLZ199" s="234"/>
      <c r="TMA199" s="234"/>
      <c r="TMB199" s="234"/>
      <c r="TMC199" s="234"/>
      <c r="TMD199" s="234"/>
      <c r="TME199" s="234"/>
      <c r="TMF199" s="234"/>
      <c r="TMG199" s="234"/>
      <c r="TMH199" s="234"/>
      <c r="TMI199" s="234"/>
      <c r="TMJ199" s="234"/>
      <c r="TMK199" s="234"/>
      <c r="TML199" s="234"/>
      <c r="TMM199" s="234"/>
      <c r="TMN199" s="234"/>
      <c r="TMO199" s="234"/>
      <c r="TMP199" s="234"/>
      <c r="TMQ199" s="234"/>
      <c r="TMR199" s="234"/>
      <c r="TMS199" s="234"/>
      <c r="TMT199" s="234"/>
      <c r="TMU199" s="234"/>
      <c r="TMV199" s="234"/>
      <c r="TMW199" s="234"/>
      <c r="TMX199" s="234"/>
      <c r="TMY199" s="234"/>
      <c r="TMZ199" s="234"/>
      <c r="TNA199" s="234"/>
      <c r="TNB199" s="234"/>
      <c r="TNC199" s="234"/>
      <c r="TND199" s="234"/>
      <c r="TNE199" s="234"/>
      <c r="TNF199" s="234"/>
      <c r="TNG199" s="234"/>
      <c r="TNH199" s="234"/>
      <c r="TNI199" s="234"/>
      <c r="TNJ199" s="234"/>
      <c r="TNK199" s="234"/>
      <c r="TNL199" s="234"/>
      <c r="TNM199" s="234"/>
      <c r="TNN199" s="234"/>
      <c r="TNO199" s="234"/>
      <c r="TNP199" s="234"/>
      <c r="TNQ199" s="234"/>
      <c r="TNR199" s="234"/>
      <c r="TNS199" s="234"/>
      <c r="TNT199" s="234"/>
      <c r="TNU199" s="234"/>
      <c r="TNV199" s="234"/>
      <c r="TNW199" s="234"/>
      <c r="TNX199" s="234"/>
      <c r="TNY199" s="234"/>
      <c r="TNZ199" s="234"/>
      <c r="TOA199" s="234"/>
      <c r="TOB199" s="234"/>
      <c r="TOC199" s="234"/>
      <c r="TOD199" s="234"/>
      <c r="TOE199" s="234"/>
      <c r="TOF199" s="234"/>
      <c r="TOG199" s="234"/>
      <c r="TOH199" s="234"/>
      <c r="TOI199" s="234"/>
      <c r="TOJ199" s="234"/>
      <c r="TOK199" s="234"/>
      <c r="TOL199" s="234"/>
      <c r="TOM199" s="234"/>
      <c r="TON199" s="234"/>
      <c r="TOO199" s="234"/>
      <c r="TOP199" s="234"/>
      <c r="TOQ199" s="234"/>
      <c r="TOR199" s="234"/>
      <c r="TOS199" s="234"/>
      <c r="TOT199" s="234"/>
      <c r="TOU199" s="234"/>
      <c r="TOV199" s="234"/>
      <c r="TOW199" s="234"/>
      <c r="TOX199" s="234"/>
      <c r="TOY199" s="234"/>
      <c r="TOZ199" s="234"/>
      <c r="TPA199" s="234"/>
      <c r="TPB199" s="234"/>
      <c r="TPC199" s="234"/>
      <c r="TPD199" s="234"/>
      <c r="TPE199" s="234"/>
      <c r="TPF199" s="234"/>
      <c r="TPG199" s="234"/>
      <c r="TPH199" s="234"/>
      <c r="TPI199" s="234"/>
      <c r="TPJ199" s="234"/>
      <c r="TPK199" s="234"/>
      <c r="TPL199" s="234"/>
      <c r="TPM199" s="234"/>
      <c r="TPN199" s="234"/>
      <c r="TPO199" s="234"/>
      <c r="TPP199" s="234"/>
      <c r="TPQ199" s="234"/>
      <c r="TPR199" s="234"/>
      <c r="TPS199" s="234"/>
      <c r="TPT199" s="234"/>
      <c r="TPU199" s="234"/>
      <c r="TPV199" s="234"/>
      <c r="TPW199" s="234"/>
      <c r="TPX199" s="234"/>
      <c r="TPY199" s="234"/>
      <c r="TPZ199" s="234"/>
      <c r="TQA199" s="234"/>
      <c r="TQB199" s="234"/>
      <c r="TQC199" s="234"/>
      <c r="TQD199" s="234"/>
      <c r="TQE199" s="234"/>
      <c r="TQF199" s="234"/>
      <c r="TQG199" s="234"/>
      <c r="TQH199" s="234"/>
      <c r="TQI199" s="234"/>
      <c r="TQJ199" s="234"/>
      <c r="TQK199" s="234"/>
      <c r="TQL199" s="234"/>
      <c r="TQM199" s="234"/>
      <c r="TQN199" s="234"/>
      <c r="TQO199" s="234"/>
      <c r="TQP199" s="234"/>
      <c r="TQQ199" s="234"/>
      <c r="TQR199" s="234"/>
      <c r="TQS199" s="234"/>
      <c r="TQT199" s="234"/>
      <c r="TQU199" s="234"/>
      <c r="TQV199" s="234"/>
      <c r="TQW199" s="234"/>
      <c r="TQX199" s="234"/>
      <c r="TQY199" s="234"/>
      <c r="TQZ199" s="234"/>
      <c r="TRA199" s="234"/>
      <c r="TRB199" s="234"/>
      <c r="TRC199" s="234"/>
      <c r="TRD199" s="234"/>
      <c r="TRE199" s="234"/>
      <c r="TRF199" s="234"/>
      <c r="TRG199" s="234"/>
      <c r="TRH199" s="234"/>
      <c r="TRI199" s="234"/>
      <c r="TRJ199" s="234"/>
      <c r="TRK199" s="234"/>
      <c r="TRL199" s="234"/>
      <c r="TRM199" s="234"/>
      <c r="TRN199" s="234"/>
      <c r="TRO199" s="234"/>
      <c r="TRP199" s="234"/>
      <c r="TRQ199" s="234"/>
      <c r="TRR199" s="234"/>
      <c r="TRS199" s="234"/>
      <c r="TRT199" s="234"/>
      <c r="TRU199" s="234"/>
      <c r="TRV199" s="234"/>
      <c r="TRW199" s="234"/>
      <c r="TRX199" s="234"/>
      <c r="TRY199" s="234"/>
      <c r="TRZ199" s="234"/>
      <c r="TSA199" s="234"/>
      <c r="TSB199" s="234"/>
      <c r="TSC199" s="234"/>
      <c r="TSD199" s="234"/>
      <c r="TSE199" s="234"/>
      <c r="TSF199" s="234"/>
      <c r="TSG199" s="234"/>
      <c r="TSH199" s="234"/>
      <c r="TSI199" s="234"/>
      <c r="TSJ199" s="234"/>
      <c r="TSK199" s="234"/>
      <c r="TSL199" s="234"/>
      <c r="TSM199" s="234"/>
      <c r="TSN199" s="234"/>
      <c r="TSO199" s="234"/>
      <c r="TSP199" s="234"/>
      <c r="TSQ199" s="234"/>
      <c r="TSR199" s="234"/>
      <c r="TSS199" s="234"/>
      <c r="TST199" s="234"/>
      <c r="TSU199" s="234"/>
      <c r="TSV199" s="234"/>
      <c r="TSW199" s="234"/>
      <c r="TSX199" s="234"/>
      <c r="TSY199" s="234"/>
      <c r="TSZ199" s="234"/>
      <c r="TTA199" s="234"/>
      <c r="TTB199" s="234"/>
      <c r="TTC199" s="234"/>
      <c r="TTD199" s="234"/>
      <c r="TTE199" s="234"/>
      <c r="TTF199" s="234"/>
      <c r="TTG199" s="234"/>
      <c r="TTH199" s="234"/>
      <c r="TTI199" s="234"/>
      <c r="TTJ199" s="234"/>
      <c r="TTK199" s="234"/>
      <c r="TTL199" s="234"/>
      <c r="TTM199" s="234"/>
      <c r="TTN199" s="234"/>
      <c r="TTO199" s="234"/>
      <c r="TTP199" s="234"/>
      <c r="TTQ199" s="234"/>
      <c r="TTR199" s="234"/>
      <c r="TTS199" s="234"/>
      <c r="TTT199" s="234"/>
      <c r="TTU199" s="234"/>
      <c r="TTV199" s="234"/>
      <c r="TTW199" s="234"/>
      <c r="TTX199" s="234"/>
      <c r="TTY199" s="234"/>
      <c r="TTZ199" s="234"/>
      <c r="TUA199" s="234"/>
      <c r="TUB199" s="234"/>
      <c r="TUC199" s="234"/>
      <c r="TUD199" s="234"/>
      <c r="TUE199" s="234"/>
      <c r="TUF199" s="234"/>
      <c r="TUG199" s="234"/>
      <c r="TUH199" s="234"/>
      <c r="TUI199" s="234"/>
      <c r="TUJ199" s="234"/>
      <c r="TUK199" s="234"/>
      <c r="TUL199" s="234"/>
      <c r="TUM199" s="234"/>
      <c r="TUN199" s="234"/>
      <c r="TUO199" s="234"/>
      <c r="TUP199" s="234"/>
      <c r="TUQ199" s="234"/>
      <c r="TUR199" s="234"/>
      <c r="TUS199" s="234"/>
      <c r="TUT199" s="234"/>
      <c r="TUU199" s="234"/>
      <c r="TUV199" s="234"/>
      <c r="TUW199" s="234"/>
      <c r="TUX199" s="234"/>
      <c r="TUY199" s="234"/>
      <c r="TUZ199" s="234"/>
      <c r="TVA199" s="234"/>
      <c r="TVB199" s="234"/>
      <c r="TVC199" s="234"/>
      <c r="TVD199" s="234"/>
      <c r="TVE199" s="234"/>
      <c r="TVF199" s="234"/>
      <c r="TVG199" s="234"/>
      <c r="TVH199" s="234"/>
      <c r="TVI199" s="234"/>
      <c r="TVJ199" s="234"/>
      <c r="TVK199" s="234"/>
      <c r="TVL199" s="234"/>
      <c r="TVM199" s="234"/>
      <c r="TVN199" s="234"/>
      <c r="TVO199" s="234"/>
      <c r="TVP199" s="234"/>
      <c r="TVQ199" s="234"/>
      <c r="TVR199" s="234"/>
      <c r="TVS199" s="234"/>
      <c r="TVT199" s="234"/>
      <c r="TVU199" s="234"/>
      <c r="TVV199" s="234"/>
      <c r="TVW199" s="234"/>
      <c r="TVX199" s="234"/>
      <c r="TVY199" s="234"/>
      <c r="TVZ199" s="234"/>
      <c r="TWA199" s="234"/>
      <c r="TWB199" s="234"/>
      <c r="TWC199" s="234"/>
      <c r="TWD199" s="234"/>
      <c r="TWE199" s="234"/>
      <c r="TWF199" s="234"/>
      <c r="TWG199" s="234"/>
      <c r="TWH199" s="234"/>
      <c r="TWI199" s="234"/>
      <c r="TWJ199" s="234"/>
      <c r="TWK199" s="234"/>
      <c r="TWL199" s="234"/>
      <c r="TWM199" s="234"/>
      <c r="TWN199" s="234"/>
      <c r="TWO199" s="234"/>
      <c r="TWP199" s="234"/>
      <c r="TWQ199" s="234"/>
      <c r="TWR199" s="234"/>
      <c r="TWS199" s="234"/>
      <c r="TWT199" s="234"/>
      <c r="TWU199" s="234"/>
      <c r="TWV199" s="234"/>
      <c r="TWW199" s="234"/>
      <c r="TWX199" s="234"/>
      <c r="TWY199" s="234"/>
      <c r="TWZ199" s="234"/>
      <c r="TXA199" s="234"/>
      <c r="TXB199" s="234"/>
      <c r="TXC199" s="234"/>
      <c r="TXD199" s="234"/>
      <c r="TXE199" s="234"/>
      <c r="TXF199" s="234"/>
      <c r="TXG199" s="234"/>
      <c r="TXH199" s="234"/>
      <c r="TXI199" s="234"/>
      <c r="TXJ199" s="234"/>
      <c r="TXK199" s="234"/>
      <c r="TXL199" s="234"/>
      <c r="TXM199" s="234"/>
      <c r="TXN199" s="234"/>
      <c r="TXO199" s="234"/>
      <c r="TXP199" s="234"/>
      <c r="TXQ199" s="234"/>
      <c r="TXR199" s="234"/>
      <c r="TXS199" s="234"/>
      <c r="TXT199" s="234"/>
      <c r="TXU199" s="234"/>
      <c r="TXV199" s="234"/>
      <c r="TXW199" s="234"/>
      <c r="TXX199" s="234"/>
      <c r="TXY199" s="234"/>
      <c r="TXZ199" s="234"/>
      <c r="TYA199" s="234"/>
      <c r="TYB199" s="234"/>
      <c r="TYC199" s="234"/>
      <c r="TYD199" s="234"/>
      <c r="TYE199" s="234"/>
      <c r="TYF199" s="234"/>
      <c r="TYG199" s="234"/>
      <c r="TYH199" s="234"/>
      <c r="TYI199" s="234"/>
      <c r="TYJ199" s="234"/>
      <c r="TYK199" s="234"/>
      <c r="TYL199" s="234"/>
      <c r="TYM199" s="234"/>
      <c r="TYN199" s="234"/>
      <c r="TYO199" s="234"/>
      <c r="TYP199" s="234"/>
      <c r="TYQ199" s="234"/>
      <c r="TYR199" s="234"/>
      <c r="TYS199" s="234"/>
      <c r="TYT199" s="234"/>
      <c r="TYU199" s="234"/>
      <c r="TYV199" s="234"/>
      <c r="TYW199" s="234"/>
      <c r="TYX199" s="234"/>
      <c r="TYY199" s="234"/>
      <c r="TYZ199" s="234"/>
      <c r="TZA199" s="234"/>
      <c r="TZB199" s="234"/>
      <c r="TZC199" s="234"/>
      <c r="TZD199" s="234"/>
      <c r="TZE199" s="234"/>
      <c r="TZF199" s="234"/>
      <c r="TZG199" s="234"/>
      <c r="TZH199" s="234"/>
      <c r="TZI199" s="234"/>
      <c r="TZJ199" s="234"/>
      <c r="TZK199" s="234"/>
      <c r="TZL199" s="234"/>
      <c r="TZM199" s="234"/>
      <c r="TZN199" s="234"/>
      <c r="TZO199" s="234"/>
      <c r="TZP199" s="234"/>
      <c r="TZQ199" s="234"/>
      <c r="TZR199" s="234"/>
      <c r="TZS199" s="234"/>
      <c r="TZT199" s="234"/>
      <c r="TZU199" s="234"/>
      <c r="TZV199" s="234"/>
      <c r="TZW199" s="234"/>
      <c r="TZX199" s="234"/>
      <c r="TZY199" s="234"/>
      <c r="TZZ199" s="234"/>
      <c r="UAA199" s="234"/>
      <c r="UAB199" s="234"/>
      <c r="UAC199" s="234"/>
      <c r="UAD199" s="234"/>
      <c r="UAE199" s="234"/>
      <c r="UAF199" s="234"/>
      <c r="UAG199" s="234"/>
      <c r="UAH199" s="234"/>
      <c r="UAI199" s="234"/>
      <c r="UAJ199" s="234"/>
      <c r="UAK199" s="234"/>
      <c r="UAL199" s="234"/>
      <c r="UAM199" s="234"/>
      <c r="UAN199" s="234"/>
      <c r="UAO199" s="234"/>
      <c r="UAP199" s="234"/>
      <c r="UAQ199" s="234"/>
      <c r="UAR199" s="234"/>
      <c r="UAS199" s="234"/>
      <c r="UAT199" s="234"/>
      <c r="UAU199" s="234"/>
      <c r="UAV199" s="234"/>
      <c r="UAW199" s="234"/>
      <c r="UAX199" s="234"/>
      <c r="UAY199" s="234"/>
      <c r="UAZ199" s="234"/>
      <c r="UBA199" s="234"/>
      <c r="UBB199" s="234"/>
      <c r="UBC199" s="234"/>
      <c r="UBD199" s="234"/>
      <c r="UBE199" s="234"/>
      <c r="UBF199" s="234"/>
      <c r="UBG199" s="234"/>
      <c r="UBH199" s="234"/>
      <c r="UBI199" s="234"/>
      <c r="UBJ199" s="234"/>
      <c r="UBK199" s="234"/>
      <c r="UBL199" s="234"/>
      <c r="UBM199" s="234"/>
      <c r="UBN199" s="234"/>
      <c r="UBO199" s="234"/>
      <c r="UBP199" s="234"/>
      <c r="UBQ199" s="234"/>
      <c r="UBR199" s="234"/>
      <c r="UBS199" s="234"/>
      <c r="UBT199" s="234"/>
      <c r="UBU199" s="234"/>
      <c r="UBV199" s="234"/>
      <c r="UBW199" s="234"/>
      <c r="UBX199" s="234"/>
      <c r="UBY199" s="234"/>
      <c r="UBZ199" s="234"/>
      <c r="UCA199" s="234"/>
      <c r="UCB199" s="234"/>
      <c r="UCC199" s="234"/>
      <c r="UCD199" s="234"/>
      <c r="UCE199" s="234"/>
      <c r="UCF199" s="234"/>
      <c r="UCG199" s="234"/>
      <c r="UCH199" s="234"/>
      <c r="UCI199" s="234"/>
      <c r="UCJ199" s="234"/>
      <c r="UCK199" s="234"/>
      <c r="UCL199" s="234"/>
      <c r="UCM199" s="234"/>
      <c r="UCN199" s="234"/>
      <c r="UCO199" s="234"/>
      <c r="UCP199" s="234"/>
      <c r="UCQ199" s="234"/>
      <c r="UCR199" s="234"/>
      <c r="UCS199" s="234"/>
      <c r="UCT199" s="234"/>
      <c r="UCU199" s="234"/>
      <c r="UCV199" s="234"/>
      <c r="UCW199" s="234"/>
      <c r="UCX199" s="234"/>
      <c r="UCY199" s="234"/>
      <c r="UCZ199" s="234"/>
      <c r="UDA199" s="234"/>
      <c r="UDB199" s="234"/>
      <c r="UDC199" s="234"/>
      <c r="UDD199" s="234"/>
      <c r="UDE199" s="234"/>
      <c r="UDF199" s="234"/>
      <c r="UDG199" s="234"/>
      <c r="UDH199" s="234"/>
      <c r="UDI199" s="234"/>
      <c r="UDJ199" s="234"/>
      <c r="UDK199" s="234"/>
      <c r="UDL199" s="234"/>
      <c r="UDM199" s="234"/>
      <c r="UDN199" s="234"/>
      <c r="UDO199" s="234"/>
      <c r="UDP199" s="234"/>
      <c r="UDQ199" s="234"/>
      <c r="UDR199" s="234"/>
      <c r="UDS199" s="234"/>
      <c r="UDT199" s="234"/>
      <c r="UDU199" s="234"/>
      <c r="UDV199" s="234"/>
      <c r="UDW199" s="234"/>
      <c r="UDX199" s="234"/>
      <c r="UDY199" s="234"/>
      <c r="UDZ199" s="234"/>
      <c r="UEA199" s="234"/>
      <c r="UEB199" s="234"/>
      <c r="UEC199" s="234"/>
      <c r="UED199" s="234"/>
      <c r="UEE199" s="234"/>
      <c r="UEF199" s="234"/>
      <c r="UEG199" s="234"/>
      <c r="UEH199" s="234"/>
      <c r="UEI199" s="234"/>
      <c r="UEJ199" s="234"/>
      <c r="UEK199" s="234"/>
      <c r="UEL199" s="234"/>
      <c r="UEM199" s="234"/>
      <c r="UEN199" s="234"/>
      <c r="UEO199" s="234"/>
      <c r="UEP199" s="234"/>
      <c r="UEQ199" s="234"/>
      <c r="UER199" s="234"/>
      <c r="UES199" s="234"/>
      <c r="UET199" s="234"/>
      <c r="UEU199" s="234"/>
      <c r="UEV199" s="234"/>
      <c r="UEW199" s="234"/>
      <c r="UEX199" s="234"/>
      <c r="UEY199" s="234"/>
      <c r="UEZ199" s="234"/>
      <c r="UFA199" s="234"/>
      <c r="UFB199" s="234"/>
      <c r="UFC199" s="234"/>
      <c r="UFD199" s="234"/>
      <c r="UFE199" s="234"/>
      <c r="UFF199" s="234"/>
      <c r="UFG199" s="234"/>
      <c r="UFH199" s="234"/>
      <c r="UFI199" s="234"/>
      <c r="UFJ199" s="234"/>
      <c r="UFK199" s="234"/>
      <c r="UFL199" s="234"/>
      <c r="UFM199" s="234"/>
      <c r="UFN199" s="234"/>
      <c r="UFO199" s="234"/>
      <c r="UFP199" s="234"/>
      <c r="UFQ199" s="234"/>
      <c r="UFR199" s="234"/>
      <c r="UFS199" s="234"/>
      <c r="UFT199" s="234"/>
      <c r="UFU199" s="234"/>
      <c r="UFV199" s="234"/>
      <c r="UFW199" s="234"/>
      <c r="UFX199" s="234"/>
      <c r="UFY199" s="234"/>
      <c r="UFZ199" s="234"/>
      <c r="UGA199" s="234"/>
      <c r="UGB199" s="234"/>
      <c r="UGC199" s="234"/>
      <c r="UGD199" s="234"/>
      <c r="UGE199" s="234"/>
      <c r="UGF199" s="234"/>
      <c r="UGG199" s="234"/>
      <c r="UGH199" s="234"/>
      <c r="UGI199" s="234"/>
      <c r="UGJ199" s="234"/>
      <c r="UGK199" s="234"/>
      <c r="UGL199" s="234"/>
      <c r="UGM199" s="234"/>
      <c r="UGN199" s="234"/>
      <c r="UGO199" s="234"/>
      <c r="UGP199" s="234"/>
      <c r="UGQ199" s="234"/>
      <c r="UGR199" s="234"/>
      <c r="UGS199" s="234"/>
      <c r="UGT199" s="234"/>
      <c r="UGU199" s="234"/>
      <c r="UGV199" s="234"/>
      <c r="UGW199" s="234"/>
      <c r="UGX199" s="234"/>
      <c r="UGY199" s="234"/>
      <c r="UGZ199" s="234"/>
      <c r="UHA199" s="234"/>
      <c r="UHB199" s="234"/>
      <c r="UHC199" s="234"/>
      <c r="UHD199" s="234"/>
      <c r="UHE199" s="234"/>
      <c r="UHF199" s="234"/>
      <c r="UHG199" s="234"/>
      <c r="UHH199" s="234"/>
      <c r="UHI199" s="234"/>
      <c r="UHJ199" s="234"/>
      <c r="UHK199" s="234"/>
      <c r="UHL199" s="234"/>
      <c r="UHM199" s="234"/>
      <c r="UHN199" s="234"/>
      <c r="UHO199" s="234"/>
      <c r="UHP199" s="234"/>
      <c r="UHQ199" s="234"/>
      <c r="UHR199" s="234"/>
      <c r="UHS199" s="234"/>
      <c r="UHT199" s="234"/>
      <c r="UHU199" s="234"/>
      <c r="UHV199" s="234"/>
      <c r="UHW199" s="234"/>
      <c r="UHX199" s="234"/>
      <c r="UHY199" s="234"/>
      <c r="UHZ199" s="234"/>
      <c r="UIA199" s="234"/>
      <c r="UIB199" s="234"/>
      <c r="UIC199" s="234"/>
      <c r="UID199" s="234"/>
      <c r="UIE199" s="234"/>
      <c r="UIF199" s="234"/>
      <c r="UIG199" s="234"/>
      <c r="UIH199" s="234"/>
      <c r="UII199" s="234"/>
      <c r="UIJ199" s="234"/>
      <c r="UIK199" s="234"/>
      <c r="UIL199" s="234"/>
      <c r="UIM199" s="234"/>
      <c r="UIN199" s="234"/>
      <c r="UIO199" s="234"/>
      <c r="UIP199" s="234"/>
      <c r="UIQ199" s="234"/>
      <c r="UIR199" s="234"/>
      <c r="UIS199" s="234"/>
      <c r="UIT199" s="234"/>
      <c r="UIU199" s="234"/>
      <c r="UIV199" s="234"/>
      <c r="UIW199" s="234"/>
      <c r="UIX199" s="234"/>
      <c r="UIY199" s="234"/>
      <c r="UIZ199" s="234"/>
      <c r="UJA199" s="234"/>
      <c r="UJB199" s="234"/>
      <c r="UJC199" s="234"/>
      <c r="UJD199" s="234"/>
      <c r="UJE199" s="234"/>
      <c r="UJF199" s="234"/>
      <c r="UJG199" s="234"/>
      <c r="UJH199" s="234"/>
      <c r="UJI199" s="234"/>
      <c r="UJJ199" s="234"/>
      <c r="UJK199" s="234"/>
      <c r="UJL199" s="234"/>
      <c r="UJM199" s="234"/>
      <c r="UJN199" s="234"/>
      <c r="UJO199" s="234"/>
      <c r="UJP199" s="234"/>
      <c r="UJQ199" s="234"/>
      <c r="UJR199" s="234"/>
      <c r="UJS199" s="234"/>
      <c r="UJT199" s="234"/>
      <c r="UJU199" s="234"/>
      <c r="UJV199" s="234"/>
      <c r="UJW199" s="234"/>
      <c r="UJX199" s="234"/>
      <c r="UJY199" s="234"/>
      <c r="UJZ199" s="234"/>
      <c r="UKA199" s="234"/>
      <c r="UKB199" s="234"/>
      <c r="UKC199" s="234"/>
      <c r="UKD199" s="234"/>
      <c r="UKE199" s="234"/>
      <c r="UKF199" s="234"/>
      <c r="UKG199" s="234"/>
      <c r="UKH199" s="234"/>
      <c r="UKI199" s="234"/>
      <c r="UKJ199" s="234"/>
      <c r="UKK199" s="234"/>
      <c r="UKL199" s="234"/>
      <c r="UKM199" s="234"/>
      <c r="UKN199" s="234"/>
      <c r="UKO199" s="234"/>
      <c r="UKP199" s="234"/>
      <c r="UKQ199" s="234"/>
      <c r="UKR199" s="234"/>
      <c r="UKS199" s="234"/>
      <c r="UKT199" s="234"/>
      <c r="UKU199" s="234"/>
      <c r="UKV199" s="234"/>
      <c r="UKW199" s="234"/>
      <c r="UKX199" s="234"/>
      <c r="UKY199" s="234"/>
      <c r="UKZ199" s="234"/>
      <c r="ULA199" s="234"/>
      <c r="ULB199" s="234"/>
      <c r="ULC199" s="234"/>
      <c r="ULD199" s="234"/>
      <c r="ULE199" s="234"/>
      <c r="ULF199" s="234"/>
      <c r="ULG199" s="234"/>
      <c r="ULH199" s="234"/>
      <c r="ULI199" s="234"/>
      <c r="ULJ199" s="234"/>
      <c r="ULK199" s="234"/>
      <c r="ULL199" s="234"/>
      <c r="ULM199" s="234"/>
      <c r="ULN199" s="234"/>
      <c r="ULO199" s="234"/>
      <c r="ULP199" s="234"/>
      <c r="ULQ199" s="234"/>
      <c r="ULR199" s="234"/>
      <c r="ULS199" s="234"/>
      <c r="ULT199" s="234"/>
      <c r="ULU199" s="234"/>
      <c r="ULV199" s="234"/>
      <c r="ULW199" s="234"/>
      <c r="ULX199" s="234"/>
      <c r="ULY199" s="234"/>
      <c r="ULZ199" s="234"/>
      <c r="UMA199" s="234"/>
      <c r="UMB199" s="234"/>
      <c r="UMC199" s="234"/>
      <c r="UMD199" s="234"/>
      <c r="UME199" s="234"/>
      <c r="UMF199" s="234"/>
      <c r="UMG199" s="234"/>
      <c r="UMH199" s="234"/>
      <c r="UMI199" s="234"/>
      <c r="UMJ199" s="234"/>
      <c r="UMK199" s="234"/>
      <c r="UML199" s="234"/>
      <c r="UMM199" s="234"/>
      <c r="UMN199" s="234"/>
      <c r="UMO199" s="234"/>
      <c r="UMP199" s="234"/>
      <c r="UMQ199" s="234"/>
      <c r="UMR199" s="234"/>
      <c r="UMS199" s="234"/>
      <c r="UMT199" s="234"/>
      <c r="UMU199" s="234"/>
      <c r="UMV199" s="234"/>
      <c r="UMW199" s="234"/>
      <c r="UMX199" s="234"/>
      <c r="UMY199" s="234"/>
      <c r="UMZ199" s="234"/>
      <c r="UNA199" s="234"/>
      <c r="UNB199" s="234"/>
      <c r="UNC199" s="234"/>
      <c r="UND199" s="234"/>
      <c r="UNE199" s="234"/>
      <c r="UNF199" s="234"/>
      <c r="UNG199" s="234"/>
      <c r="UNH199" s="234"/>
      <c r="UNI199" s="234"/>
      <c r="UNJ199" s="234"/>
      <c r="UNK199" s="234"/>
      <c r="UNL199" s="234"/>
      <c r="UNM199" s="234"/>
      <c r="UNN199" s="234"/>
      <c r="UNO199" s="234"/>
      <c r="UNP199" s="234"/>
      <c r="UNQ199" s="234"/>
      <c r="UNR199" s="234"/>
      <c r="UNS199" s="234"/>
      <c r="UNT199" s="234"/>
      <c r="UNU199" s="234"/>
      <c r="UNV199" s="234"/>
      <c r="UNW199" s="234"/>
      <c r="UNX199" s="234"/>
      <c r="UNY199" s="234"/>
      <c r="UNZ199" s="234"/>
      <c r="UOA199" s="234"/>
      <c r="UOB199" s="234"/>
      <c r="UOC199" s="234"/>
      <c r="UOD199" s="234"/>
      <c r="UOE199" s="234"/>
      <c r="UOF199" s="234"/>
      <c r="UOG199" s="234"/>
      <c r="UOH199" s="234"/>
      <c r="UOI199" s="234"/>
      <c r="UOJ199" s="234"/>
      <c r="UOK199" s="234"/>
      <c r="UOL199" s="234"/>
      <c r="UOM199" s="234"/>
      <c r="UON199" s="234"/>
      <c r="UOO199" s="234"/>
      <c r="UOP199" s="234"/>
      <c r="UOQ199" s="234"/>
      <c r="UOR199" s="234"/>
      <c r="UOS199" s="234"/>
      <c r="UOT199" s="234"/>
      <c r="UOU199" s="234"/>
      <c r="UOV199" s="234"/>
      <c r="UOW199" s="234"/>
      <c r="UOX199" s="234"/>
      <c r="UOY199" s="234"/>
      <c r="UOZ199" s="234"/>
      <c r="UPA199" s="234"/>
      <c r="UPB199" s="234"/>
      <c r="UPC199" s="234"/>
      <c r="UPD199" s="234"/>
      <c r="UPE199" s="234"/>
      <c r="UPF199" s="234"/>
      <c r="UPG199" s="234"/>
      <c r="UPH199" s="234"/>
      <c r="UPI199" s="234"/>
      <c r="UPJ199" s="234"/>
      <c r="UPK199" s="234"/>
      <c r="UPL199" s="234"/>
      <c r="UPM199" s="234"/>
      <c r="UPN199" s="234"/>
      <c r="UPO199" s="234"/>
      <c r="UPP199" s="234"/>
      <c r="UPQ199" s="234"/>
      <c r="UPR199" s="234"/>
      <c r="UPS199" s="234"/>
      <c r="UPT199" s="234"/>
      <c r="UPU199" s="234"/>
      <c r="UPV199" s="234"/>
      <c r="UPW199" s="234"/>
      <c r="UPX199" s="234"/>
      <c r="UPY199" s="234"/>
      <c r="UPZ199" s="234"/>
      <c r="UQA199" s="234"/>
      <c r="UQB199" s="234"/>
      <c r="UQC199" s="234"/>
      <c r="UQD199" s="234"/>
      <c r="UQE199" s="234"/>
      <c r="UQF199" s="234"/>
      <c r="UQG199" s="234"/>
      <c r="UQH199" s="234"/>
      <c r="UQI199" s="234"/>
      <c r="UQJ199" s="234"/>
      <c r="UQK199" s="234"/>
      <c r="UQL199" s="234"/>
      <c r="UQM199" s="234"/>
      <c r="UQN199" s="234"/>
      <c r="UQO199" s="234"/>
      <c r="UQP199" s="234"/>
      <c r="UQQ199" s="234"/>
      <c r="UQR199" s="234"/>
      <c r="UQS199" s="234"/>
      <c r="UQT199" s="234"/>
      <c r="UQU199" s="234"/>
      <c r="UQV199" s="234"/>
      <c r="UQW199" s="234"/>
      <c r="UQX199" s="234"/>
      <c r="UQY199" s="234"/>
      <c r="UQZ199" s="234"/>
      <c r="URA199" s="234"/>
      <c r="URB199" s="234"/>
      <c r="URC199" s="234"/>
      <c r="URD199" s="234"/>
      <c r="URE199" s="234"/>
      <c r="URF199" s="234"/>
      <c r="URG199" s="234"/>
      <c r="URH199" s="234"/>
      <c r="URI199" s="234"/>
      <c r="URJ199" s="234"/>
      <c r="URK199" s="234"/>
      <c r="URL199" s="234"/>
      <c r="URM199" s="234"/>
      <c r="URN199" s="234"/>
      <c r="URO199" s="234"/>
      <c r="URP199" s="234"/>
      <c r="URQ199" s="234"/>
      <c r="URR199" s="234"/>
      <c r="URS199" s="234"/>
      <c r="URT199" s="234"/>
      <c r="URU199" s="234"/>
      <c r="URV199" s="234"/>
      <c r="URW199" s="234"/>
      <c r="URX199" s="234"/>
      <c r="URY199" s="234"/>
      <c r="URZ199" s="234"/>
      <c r="USA199" s="234"/>
      <c r="USB199" s="234"/>
      <c r="USC199" s="234"/>
      <c r="USD199" s="234"/>
      <c r="USE199" s="234"/>
      <c r="USF199" s="234"/>
      <c r="USG199" s="234"/>
      <c r="USH199" s="234"/>
      <c r="USI199" s="234"/>
      <c r="USJ199" s="234"/>
      <c r="USK199" s="234"/>
      <c r="USL199" s="234"/>
      <c r="USM199" s="234"/>
      <c r="USN199" s="234"/>
      <c r="USO199" s="234"/>
      <c r="USP199" s="234"/>
      <c r="USQ199" s="234"/>
      <c r="USR199" s="234"/>
      <c r="USS199" s="234"/>
      <c r="UST199" s="234"/>
      <c r="USU199" s="234"/>
      <c r="USV199" s="234"/>
      <c r="USW199" s="234"/>
      <c r="USX199" s="234"/>
      <c r="USY199" s="234"/>
      <c r="USZ199" s="234"/>
      <c r="UTA199" s="234"/>
      <c r="UTB199" s="234"/>
      <c r="UTC199" s="234"/>
      <c r="UTD199" s="234"/>
      <c r="UTE199" s="234"/>
      <c r="UTF199" s="234"/>
      <c r="UTG199" s="234"/>
      <c r="UTH199" s="234"/>
      <c r="UTI199" s="234"/>
      <c r="UTJ199" s="234"/>
      <c r="UTK199" s="234"/>
      <c r="UTL199" s="234"/>
      <c r="UTM199" s="234"/>
      <c r="UTN199" s="234"/>
      <c r="UTO199" s="234"/>
      <c r="UTP199" s="234"/>
      <c r="UTQ199" s="234"/>
      <c r="UTR199" s="234"/>
      <c r="UTS199" s="234"/>
      <c r="UTT199" s="234"/>
      <c r="UTU199" s="234"/>
      <c r="UTV199" s="234"/>
      <c r="UTW199" s="234"/>
      <c r="UTX199" s="234"/>
      <c r="UTY199" s="234"/>
      <c r="UTZ199" s="234"/>
      <c r="UUA199" s="234"/>
      <c r="UUB199" s="234"/>
      <c r="UUC199" s="234"/>
      <c r="UUD199" s="234"/>
      <c r="UUE199" s="234"/>
      <c r="UUF199" s="234"/>
      <c r="UUG199" s="234"/>
      <c r="UUH199" s="234"/>
      <c r="UUI199" s="234"/>
      <c r="UUJ199" s="234"/>
      <c r="UUK199" s="234"/>
      <c r="UUL199" s="234"/>
      <c r="UUM199" s="234"/>
      <c r="UUN199" s="234"/>
      <c r="UUO199" s="234"/>
      <c r="UUP199" s="234"/>
      <c r="UUQ199" s="234"/>
      <c r="UUR199" s="234"/>
      <c r="UUS199" s="234"/>
      <c r="UUT199" s="234"/>
      <c r="UUU199" s="234"/>
      <c r="UUV199" s="234"/>
      <c r="UUW199" s="234"/>
      <c r="UUX199" s="234"/>
      <c r="UUY199" s="234"/>
      <c r="UUZ199" s="234"/>
      <c r="UVA199" s="234"/>
      <c r="UVB199" s="234"/>
      <c r="UVC199" s="234"/>
      <c r="UVD199" s="234"/>
      <c r="UVE199" s="234"/>
      <c r="UVF199" s="234"/>
      <c r="UVG199" s="234"/>
      <c r="UVH199" s="234"/>
      <c r="UVI199" s="234"/>
      <c r="UVJ199" s="234"/>
      <c r="UVK199" s="234"/>
      <c r="UVL199" s="234"/>
      <c r="UVM199" s="234"/>
      <c r="UVN199" s="234"/>
      <c r="UVO199" s="234"/>
      <c r="UVP199" s="234"/>
      <c r="UVQ199" s="234"/>
      <c r="UVR199" s="234"/>
      <c r="UVS199" s="234"/>
      <c r="UVT199" s="234"/>
      <c r="UVU199" s="234"/>
      <c r="UVV199" s="234"/>
      <c r="UVW199" s="234"/>
      <c r="UVX199" s="234"/>
      <c r="UVY199" s="234"/>
      <c r="UVZ199" s="234"/>
      <c r="UWA199" s="234"/>
      <c r="UWB199" s="234"/>
      <c r="UWC199" s="234"/>
      <c r="UWD199" s="234"/>
      <c r="UWE199" s="234"/>
      <c r="UWF199" s="234"/>
      <c r="UWG199" s="234"/>
      <c r="UWH199" s="234"/>
      <c r="UWI199" s="234"/>
      <c r="UWJ199" s="234"/>
      <c r="UWK199" s="234"/>
      <c r="UWL199" s="234"/>
      <c r="UWM199" s="234"/>
      <c r="UWN199" s="234"/>
      <c r="UWO199" s="234"/>
      <c r="UWP199" s="234"/>
      <c r="UWQ199" s="234"/>
      <c r="UWR199" s="234"/>
      <c r="UWS199" s="234"/>
      <c r="UWT199" s="234"/>
      <c r="UWU199" s="234"/>
      <c r="UWV199" s="234"/>
      <c r="UWW199" s="234"/>
      <c r="UWX199" s="234"/>
      <c r="UWY199" s="234"/>
      <c r="UWZ199" s="234"/>
      <c r="UXA199" s="234"/>
      <c r="UXB199" s="234"/>
      <c r="UXC199" s="234"/>
      <c r="UXD199" s="234"/>
      <c r="UXE199" s="234"/>
      <c r="UXF199" s="234"/>
      <c r="UXG199" s="234"/>
      <c r="UXH199" s="234"/>
      <c r="UXI199" s="234"/>
      <c r="UXJ199" s="234"/>
      <c r="UXK199" s="234"/>
      <c r="UXL199" s="234"/>
      <c r="UXM199" s="234"/>
      <c r="UXN199" s="234"/>
      <c r="UXO199" s="234"/>
      <c r="UXP199" s="234"/>
      <c r="UXQ199" s="234"/>
      <c r="UXR199" s="234"/>
      <c r="UXS199" s="234"/>
      <c r="UXT199" s="234"/>
      <c r="UXU199" s="234"/>
      <c r="UXV199" s="234"/>
      <c r="UXW199" s="234"/>
      <c r="UXX199" s="234"/>
      <c r="UXY199" s="234"/>
      <c r="UXZ199" s="234"/>
      <c r="UYA199" s="234"/>
      <c r="UYB199" s="234"/>
      <c r="UYC199" s="234"/>
      <c r="UYD199" s="234"/>
      <c r="UYE199" s="234"/>
      <c r="UYF199" s="234"/>
      <c r="UYG199" s="234"/>
      <c r="UYH199" s="234"/>
      <c r="UYI199" s="234"/>
      <c r="UYJ199" s="234"/>
      <c r="UYK199" s="234"/>
      <c r="UYL199" s="234"/>
      <c r="UYM199" s="234"/>
      <c r="UYN199" s="234"/>
      <c r="UYO199" s="234"/>
      <c r="UYP199" s="234"/>
      <c r="UYQ199" s="234"/>
      <c r="UYR199" s="234"/>
      <c r="UYS199" s="234"/>
      <c r="UYT199" s="234"/>
      <c r="UYU199" s="234"/>
      <c r="UYV199" s="234"/>
      <c r="UYW199" s="234"/>
      <c r="UYX199" s="234"/>
      <c r="UYY199" s="234"/>
      <c r="UYZ199" s="234"/>
      <c r="UZA199" s="234"/>
      <c r="UZB199" s="234"/>
      <c r="UZC199" s="234"/>
      <c r="UZD199" s="234"/>
      <c r="UZE199" s="234"/>
      <c r="UZF199" s="234"/>
      <c r="UZG199" s="234"/>
      <c r="UZH199" s="234"/>
      <c r="UZI199" s="234"/>
      <c r="UZJ199" s="234"/>
      <c r="UZK199" s="234"/>
      <c r="UZL199" s="234"/>
      <c r="UZM199" s="234"/>
      <c r="UZN199" s="234"/>
      <c r="UZO199" s="234"/>
      <c r="UZP199" s="234"/>
      <c r="UZQ199" s="234"/>
      <c r="UZR199" s="234"/>
      <c r="UZS199" s="234"/>
      <c r="UZT199" s="234"/>
      <c r="UZU199" s="234"/>
      <c r="UZV199" s="234"/>
      <c r="UZW199" s="234"/>
      <c r="UZX199" s="234"/>
      <c r="UZY199" s="234"/>
      <c r="UZZ199" s="234"/>
      <c r="VAA199" s="234"/>
      <c r="VAB199" s="234"/>
      <c r="VAC199" s="234"/>
      <c r="VAD199" s="234"/>
      <c r="VAE199" s="234"/>
      <c r="VAF199" s="234"/>
      <c r="VAG199" s="234"/>
      <c r="VAH199" s="234"/>
      <c r="VAI199" s="234"/>
      <c r="VAJ199" s="234"/>
      <c r="VAK199" s="234"/>
      <c r="VAL199" s="234"/>
      <c r="VAM199" s="234"/>
      <c r="VAN199" s="234"/>
      <c r="VAO199" s="234"/>
      <c r="VAP199" s="234"/>
      <c r="VAQ199" s="234"/>
      <c r="VAR199" s="234"/>
      <c r="VAS199" s="234"/>
      <c r="VAT199" s="234"/>
      <c r="VAU199" s="234"/>
      <c r="VAV199" s="234"/>
      <c r="VAW199" s="234"/>
      <c r="VAX199" s="234"/>
      <c r="VAY199" s="234"/>
      <c r="VAZ199" s="234"/>
      <c r="VBA199" s="234"/>
      <c r="VBB199" s="234"/>
      <c r="VBC199" s="234"/>
      <c r="VBD199" s="234"/>
      <c r="VBE199" s="234"/>
      <c r="VBF199" s="234"/>
      <c r="VBG199" s="234"/>
      <c r="VBH199" s="234"/>
      <c r="VBI199" s="234"/>
      <c r="VBJ199" s="234"/>
      <c r="VBK199" s="234"/>
      <c r="VBL199" s="234"/>
      <c r="VBM199" s="234"/>
      <c r="VBN199" s="234"/>
      <c r="VBO199" s="234"/>
      <c r="VBP199" s="234"/>
      <c r="VBQ199" s="234"/>
      <c r="VBR199" s="234"/>
      <c r="VBS199" s="234"/>
      <c r="VBT199" s="234"/>
      <c r="VBU199" s="234"/>
      <c r="VBV199" s="234"/>
      <c r="VBW199" s="234"/>
      <c r="VBX199" s="234"/>
      <c r="VBY199" s="234"/>
      <c r="VBZ199" s="234"/>
      <c r="VCA199" s="234"/>
      <c r="VCB199" s="234"/>
      <c r="VCC199" s="234"/>
      <c r="VCD199" s="234"/>
      <c r="VCE199" s="234"/>
      <c r="VCF199" s="234"/>
      <c r="VCG199" s="234"/>
      <c r="VCH199" s="234"/>
      <c r="VCI199" s="234"/>
      <c r="VCJ199" s="234"/>
      <c r="VCK199" s="234"/>
      <c r="VCL199" s="234"/>
      <c r="VCM199" s="234"/>
      <c r="VCN199" s="234"/>
      <c r="VCO199" s="234"/>
      <c r="VCP199" s="234"/>
      <c r="VCQ199" s="234"/>
      <c r="VCR199" s="234"/>
      <c r="VCS199" s="234"/>
      <c r="VCT199" s="234"/>
      <c r="VCU199" s="234"/>
      <c r="VCV199" s="234"/>
      <c r="VCW199" s="234"/>
      <c r="VCX199" s="234"/>
      <c r="VCY199" s="234"/>
      <c r="VCZ199" s="234"/>
      <c r="VDA199" s="234"/>
      <c r="VDB199" s="234"/>
      <c r="VDC199" s="234"/>
      <c r="VDD199" s="234"/>
      <c r="VDE199" s="234"/>
      <c r="VDF199" s="234"/>
      <c r="VDG199" s="234"/>
      <c r="VDH199" s="234"/>
      <c r="VDI199" s="234"/>
      <c r="VDJ199" s="234"/>
      <c r="VDK199" s="234"/>
      <c r="VDL199" s="234"/>
      <c r="VDM199" s="234"/>
      <c r="VDN199" s="234"/>
      <c r="VDO199" s="234"/>
      <c r="VDP199" s="234"/>
      <c r="VDQ199" s="234"/>
      <c r="VDR199" s="234"/>
      <c r="VDS199" s="234"/>
      <c r="VDT199" s="234"/>
      <c r="VDU199" s="234"/>
      <c r="VDV199" s="234"/>
      <c r="VDW199" s="234"/>
      <c r="VDX199" s="234"/>
      <c r="VDY199" s="234"/>
      <c r="VDZ199" s="234"/>
      <c r="VEA199" s="234"/>
      <c r="VEB199" s="234"/>
      <c r="VEC199" s="234"/>
      <c r="VED199" s="234"/>
      <c r="VEE199" s="234"/>
      <c r="VEF199" s="234"/>
      <c r="VEG199" s="234"/>
      <c r="VEH199" s="234"/>
      <c r="VEI199" s="234"/>
      <c r="VEJ199" s="234"/>
      <c r="VEK199" s="234"/>
      <c r="VEL199" s="234"/>
      <c r="VEM199" s="234"/>
      <c r="VEN199" s="234"/>
      <c r="VEO199" s="234"/>
      <c r="VEP199" s="234"/>
      <c r="VEQ199" s="234"/>
      <c r="VER199" s="234"/>
      <c r="VES199" s="234"/>
      <c r="VET199" s="234"/>
      <c r="VEU199" s="234"/>
      <c r="VEV199" s="234"/>
      <c r="VEW199" s="234"/>
      <c r="VEX199" s="234"/>
      <c r="VEY199" s="234"/>
      <c r="VEZ199" s="234"/>
      <c r="VFA199" s="234"/>
      <c r="VFB199" s="234"/>
      <c r="VFC199" s="234"/>
      <c r="VFD199" s="234"/>
      <c r="VFE199" s="234"/>
      <c r="VFF199" s="234"/>
      <c r="VFG199" s="234"/>
      <c r="VFH199" s="234"/>
      <c r="VFI199" s="234"/>
      <c r="VFJ199" s="234"/>
      <c r="VFK199" s="234"/>
      <c r="VFL199" s="234"/>
      <c r="VFM199" s="234"/>
      <c r="VFN199" s="234"/>
      <c r="VFO199" s="234"/>
      <c r="VFP199" s="234"/>
      <c r="VFQ199" s="234"/>
      <c r="VFR199" s="234"/>
      <c r="VFS199" s="234"/>
      <c r="VFT199" s="234"/>
      <c r="VFU199" s="234"/>
      <c r="VFV199" s="234"/>
      <c r="VFW199" s="234"/>
      <c r="VFX199" s="234"/>
      <c r="VFY199" s="234"/>
      <c r="VFZ199" s="234"/>
      <c r="VGA199" s="234"/>
      <c r="VGB199" s="234"/>
      <c r="VGC199" s="234"/>
      <c r="VGD199" s="234"/>
      <c r="VGE199" s="234"/>
      <c r="VGF199" s="234"/>
      <c r="VGG199" s="234"/>
      <c r="VGH199" s="234"/>
      <c r="VGI199" s="234"/>
      <c r="VGJ199" s="234"/>
      <c r="VGK199" s="234"/>
      <c r="VGL199" s="234"/>
      <c r="VGM199" s="234"/>
      <c r="VGN199" s="234"/>
      <c r="VGO199" s="234"/>
      <c r="VGP199" s="234"/>
      <c r="VGQ199" s="234"/>
      <c r="VGR199" s="234"/>
      <c r="VGS199" s="234"/>
      <c r="VGT199" s="234"/>
      <c r="VGU199" s="234"/>
      <c r="VGV199" s="234"/>
      <c r="VGW199" s="234"/>
      <c r="VGX199" s="234"/>
      <c r="VGY199" s="234"/>
      <c r="VGZ199" s="234"/>
      <c r="VHA199" s="234"/>
      <c r="VHB199" s="234"/>
      <c r="VHC199" s="234"/>
      <c r="VHD199" s="234"/>
      <c r="VHE199" s="234"/>
      <c r="VHF199" s="234"/>
      <c r="VHG199" s="234"/>
      <c r="VHH199" s="234"/>
      <c r="VHI199" s="234"/>
      <c r="VHJ199" s="234"/>
      <c r="VHK199" s="234"/>
      <c r="VHL199" s="234"/>
      <c r="VHM199" s="234"/>
      <c r="VHN199" s="234"/>
      <c r="VHO199" s="234"/>
      <c r="VHP199" s="234"/>
      <c r="VHQ199" s="234"/>
      <c r="VHR199" s="234"/>
      <c r="VHS199" s="234"/>
      <c r="VHT199" s="234"/>
      <c r="VHU199" s="234"/>
      <c r="VHV199" s="234"/>
      <c r="VHW199" s="234"/>
      <c r="VHX199" s="234"/>
      <c r="VHY199" s="234"/>
      <c r="VHZ199" s="234"/>
      <c r="VIA199" s="234"/>
      <c r="VIB199" s="234"/>
      <c r="VIC199" s="234"/>
      <c r="VID199" s="234"/>
      <c r="VIE199" s="234"/>
      <c r="VIF199" s="234"/>
      <c r="VIG199" s="234"/>
      <c r="VIH199" s="234"/>
      <c r="VII199" s="234"/>
      <c r="VIJ199" s="234"/>
      <c r="VIK199" s="234"/>
      <c r="VIL199" s="234"/>
      <c r="VIM199" s="234"/>
      <c r="VIN199" s="234"/>
      <c r="VIO199" s="234"/>
      <c r="VIP199" s="234"/>
      <c r="VIQ199" s="234"/>
      <c r="VIR199" s="234"/>
      <c r="VIS199" s="234"/>
      <c r="VIT199" s="234"/>
      <c r="VIU199" s="234"/>
      <c r="VIV199" s="234"/>
      <c r="VIW199" s="234"/>
      <c r="VIX199" s="234"/>
      <c r="VIY199" s="234"/>
      <c r="VIZ199" s="234"/>
      <c r="VJA199" s="234"/>
      <c r="VJB199" s="234"/>
      <c r="VJC199" s="234"/>
      <c r="VJD199" s="234"/>
      <c r="VJE199" s="234"/>
      <c r="VJF199" s="234"/>
      <c r="VJG199" s="234"/>
      <c r="VJH199" s="234"/>
      <c r="VJI199" s="234"/>
      <c r="VJJ199" s="234"/>
      <c r="VJK199" s="234"/>
      <c r="VJL199" s="234"/>
      <c r="VJM199" s="234"/>
      <c r="VJN199" s="234"/>
      <c r="VJO199" s="234"/>
      <c r="VJP199" s="234"/>
      <c r="VJQ199" s="234"/>
      <c r="VJR199" s="234"/>
      <c r="VJS199" s="234"/>
      <c r="VJT199" s="234"/>
      <c r="VJU199" s="234"/>
      <c r="VJV199" s="234"/>
      <c r="VJW199" s="234"/>
      <c r="VJX199" s="234"/>
      <c r="VJY199" s="234"/>
      <c r="VJZ199" s="234"/>
      <c r="VKA199" s="234"/>
      <c r="VKB199" s="234"/>
      <c r="VKC199" s="234"/>
      <c r="VKD199" s="234"/>
      <c r="VKE199" s="234"/>
      <c r="VKF199" s="234"/>
      <c r="VKG199" s="234"/>
      <c r="VKH199" s="234"/>
      <c r="VKI199" s="234"/>
      <c r="VKJ199" s="234"/>
      <c r="VKK199" s="234"/>
      <c r="VKL199" s="234"/>
      <c r="VKM199" s="234"/>
      <c r="VKN199" s="234"/>
      <c r="VKO199" s="234"/>
      <c r="VKP199" s="234"/>
      <c r="VKQ199" s="234"/>
      <c r="VKR199" s="234"/>
      <c r="VKS199" s="234"/>
      <c r="VKT199" s="234"/>
      <c r="VKU199" s="234"/>
      <c r="VKV199" s="234"/>
      <c r="VKW199" s="234"/>
      <c r="VKX199" s="234"/>
      <c r="VKY199" s="234"/>
      <c r="VKZ199" s="234"/>
      <c r="VLA199" s="234"/>
      <c r="VLB199" s="234"/>
      <c r="VLC199" s="234"/>
      <c r="VLD199" s="234"/>
      <c r="VLE199" s="234"/>
      <c r="VLF199" s="234"/>
      <c r="VLG199" s="234"/>
      <c r="VLH199" s="234"/>
      <c r="VLI199" s="234"/>
      <c r="VLJ199" s="234"/>
      <c r="VLK199" s="234"/>
      <c r="VLL199" s="234"/>
      <c r="VLM199" s="234"/>
      <c r="VLN199" s="234"/>
      <c r="VLO199" s="234"/>
      <c r="VLP199" s="234"/>
      <c r="VLQ199" s="234"/>
      <c r="VLR199" s="234"/>
      <c r="VLS199" s="234"/>
      <c r="VLT199" s="234"/>
      <c r="VLU199" s="234"/>
      <c r="VLV199" s="234"/>
      <c r="VLW199" s="234"/>
      <c r="VLX199" s="234"/>
      <c r="VLY199" s="234"/>
      <c r="VLZ199" s="234"/>
      <c r="VMA199" s="234"/>
      <c r="VMB199" s="234"/>
      <c r="VMC199" s="234"/>
      <c r="VMD199" s="234"/>
      <c r="VME199" s="234"/>
      <c r="VMF199" s="234"/>
      <c r="VMG199" s="234"/>
      <c r="VMH199" s="234"/>
      <c r="VMI199" s="234"/>
      <c r="VMJ199" s="234"/>
      <c r="VMK199" s="234"/>
      <c r="VML199" s="234"/>
      <c r="VMM199" s="234"/>
      <c r="VMN199" s="234"/>
      <c r="VMO199" s="234"/>
      <c r="VMP199" s="234"/>
      <c r="VMQ199" s="234"/>
      <c r="VMR199" s="234"/>
      <c r="VMS199" s="234"/>
      <c r="VMT199" s="234"/>
      <c r="VMU199" s="234"/>
      <c r="VMV199" s="234"/>
      <c r="VMW199" s="234"/>
      <c r="VMX199" s="234"/>
      <c r="VMY199" s="234"/>
      <c r="VMZ199" s="234"/>
      <c r="VNA199" s="234"/>
      <c r="VNB199" s="234"/>
      <c r="VNC199" s="234"/>
      <c r="VND199" s="234"/>
      <c r="VNE199" s="234"/>
      <c r="VNF199" s="234"/>
      <c r="VNG199" s="234"/>
      <c r="VNH199" s="234"/>
      <c r="VNI199" s="234"/>
      <c r="VNJ199" s="234"/>
      <c r="VNK199" s="234"/>
      <c r="VNL199" s="234"/>
      <c r="VNM199" s="234"/>
      <c r="VNN199" s="234"/>
      <c r="VNO199" s="234"/>
      <c r="VNP199" s="234"/>
      <c r="VNQ199" s="234"/>
      <c r="VNR199" s="234"/>
      <c r="VNS199" s="234"/>
      <c r="VNT199" s="234"/>
      <c r="VNU199" s="234"/>
      <c r="VNV199" s="234"/>
      <c r="VNW199" s="234"/>
      <c r="VNX199" s="234"/>
      <c r="VNY199" s="234"/>
      <c r="VNZ199" s="234"/>
      <c r="VOA199" s="234"/>
      <c r="VOB199" s="234"/>
      <c r="VOC199" s="234"/>
      <c r="VOD199" s="234"/>
      <c r="VOE199" s="234"/>
      <c r="VOF199" s="234"/>
      <c r="VOG199" s="234"/>
      <c r="VOH199" s="234"/>
      <c r="VOI199" s="234"/>
      <c r="VOJ199" s="234"/>
      <c r="VOK199" s="234"/>
      <c r="VOL199" s="234"/>
      <c r="VOM199" s="234"/>
      <c r="VON199" s="234"/>
      <c r="VOO199" s="234"/>
      <c r="VOP199" s="234"/>
      <c r="VOQ199" s="234"/>
      <c r="VOR199" s="234"/>
      <c r="VOS199" s="234"/>
      <c r="VOT199" s="234"/>
      <c r="VOU199" s="234"/>
      <c r="VOV199" s="234"/>
      <c r="VOW199" s="234"/>
      <c r="VOX199" s="234"/>
      <c r="VOY199" s="234"/>
      <c r="VOZ199" s="234"/>
      <c r="VPA199" s="234"/>
      <c r="VPB199" s="234"/>
      <c r="VPC199" s="234"/>
      <c r="VPD199" s="234"/>
      <c r="VPE199" s="234"/>
      <c r="VPF199" s="234"/>
      <c r="VPG199" s="234"/>
      <c r="VPH199" s="234"/>
      <c r="VPI199" s="234"/>
      <c r="VPJ199" s="234"/>
      <c r="VPK199" s="234"/>
      <c r="VPL199" s="234"/>
      <c r="VPM199" s="234"/>
      <c r="VPN199" s="234"/>
      <c r="VPO199" s="234"/>
      <c r="VPP199" s="234"/>
      <c r="VPQ199" s="234"/>
      <c r="VPR199" s="234"/>
      <c r="VPS199" s="234"/>
      <c r="VPT199" s="234"/>
      <c r="VPU199" s="234"/>
      <c r="VPV199" s="234"/>
      <c r="VPW199" s="234"/>
      <c r="VPX199" s="234"/>
      <c r="VPY199" s="234"/>
      <c r="VPZ199" s="234"/>
      <c r="VQA199" s="234"/>
      <c r="VQB199" s="234"/>
      <c r="VQC199" s="234"/>
      <c r="VQD199" s="234"/>
      <c r="VQE199" s="234"/>
      <c r="VQF199" s="234"/>
      <c r="VQG199" s="234"/>
      <c r="VQH199" s="234"/>
      <c r="VQI199" s="234"/>
      <c r="VQJ199" s="234"/>
      <c r="VQK199" s="234"/>
      <c r="VQL199" s="234"/>
      <c r="VQM199" s="234"/>
      <c r="VQN199" s="234"/>
      <c r="VQO199" s="234"/>
      <c r="VQP199" s="234"/>
      <c r="VQQ199" s="234"/>
      <c r="VQR199" s="234"/>
      <c r="VQS199" s="234"/>
      <c r="VQT199" s="234"/>
      <c r="VQU199" s="234"/>
      <c r="VQV199" s="234"/>
      <c r="VQW199" s="234"/>
      <c r="VQX199" s="234"/>
      <c r="VQY199" s="234"/>
      <c r="VQZ199" s="234"/>
      <c r="VRA199" s="234"/>
      <c r="VRB199" s="234"/>
      <c r="VRC199" s="234"/>
      <c r="VRD199" s="234"/>
      <c r="VRE199" s="234"/>
      <c r="VRF199" s="234"/>
      <c r="VRG199" s="234"/>
      <c r="VRH199" s="234"/>
      <c r="VRI199" s="234"/>
      <c r="VRJ199" s="234"/>
      <c r="VRK199" s="234"/>
      <c r="VRL199" s="234"/>
      <c r="VRM199" s="234"/>
      <c r="VRN199" s="234"/>
      <c r="VRO199" s="234"/>
      <c r="VRP199" s="234"/>
      <c r="VRQ199" s="234"/>
      <c r="VRR199" s="234"/>
      <c r="VRS199" s="234"/>
      <c r="VRT199" s="234"/>
      <c r="VRU199" s="234"/>
      <c r="VRV199" s="234"/>
      <c r="VRW199" s="234"/>
      <c r="VRX199" s="234"/>
      <c r="VRY199" s="234"/>
      <c r="VRZ199" s="234"/>
      <c r="VSA199" s="234"/>
      <c r="VSB199" s="234"/>
      <c r="VSC199" s="234"/>
      <c r="VSD199" s="234"/>
      <c r="VSE199" s="234"/>
      <c r="VSF199" s="234"/>
      <c r="VSG199" s="234"/>
      <c r="VSH199" s="234"/>
      <c r="VSI199" s="234"/>
      <c r="VSJ199" s="234"/>
      <c r="VSK199" s="234"/>
      <c r="VSL199" s="234"/>
      <c r="VSM199" s="234"/>
      <c r="VSN199" s="234"/>
      <c r="VSO199" s="234"/>
      <c r="VSP199" s="234"/>
      <c r="VSQ199" s="234"/>
      <c r="VSR199" s="234"/>
      <c r="VSS199" s="234"/>
      <c r="VST199" s="234"/>
      <c r="VSU199" s="234"/>
      <c r="VSV199" s="234"/>
      <c r="VSW199" s="234"/>
      <c r="VSX199" s="234"/>
      <c r="VSY199" s="234"/>
      <c r="VSZ199" s="234"/>
      <c r="VTA199" s="234"/>
      <c r="VTB199" s="234"/>
      <c r="VTC199" s="234"/>
      <c r="VTD199" s="234"/>
      <c r="VTE199" s="234"/>
      <c r="VTF199" s="234"/>
      <c r="VTG199" s="234"/>
      <c r="VTH199" s="234"/>
      <c r="VTI199" s="234"/>
      <c r="VTJ199" s="234"/>
      <c r="VTK199" s="234"/>
      <c r="VTL199" s="234"/>
      <c r="VTM199" s="234"/>
      <c r="VTN199" s="234"/>
      <c r="VTO199" s="234"/>
      <c r="VTP199" s="234"/>
      <c r="VTQ199" s="234"/>
      <c r="VTR199" s="234"/>
      <c r="VTS199" s="234"/>
      <c r="VTT199" s="234"/>
      <c r="VTU199" s="234"/>
      <c r="VTV199" s="234"/>
      <c r="VTW199" s="234"/>
      <c r="VTX199" s="234"/>
      <c r="VTY199" s="234"/>
      <c r="VTZ199" s="234"/>
      <c r="VUA199" s="234"/>
      <c r="VUB199" s="234"/>
      <c r="VUC199" s="234"/>
      <c r="VUD199" s="234"/>
      <c r="VUE199" s="234"/>
      <c r="VUF199" s="234"/>
      <c r="VUG199" s="234"/>
      <c r="VUH199" s="234"/>
      <c r="VUI199" s="234"/>
      <c r="VUJ199" s="234"/>
      <c r="VUK199" s="234"/>
      <c r="VUL199" s="234"/>
      <c r="VUM199" s="234"/>
      <c r="VUN199" s="234"/>
      <c r="VUO199" s="234"/>
      <c r="VUP199" s="234"/>
      <c r="VUQ199" s="234"/>
      <c r="VUR199" s="234"/>
      <c r="VUS199" s="234"/>
      <c r="VUT199" s="234"/>
      <c r="VUU199" s="234"/>
      <c r="VUV199" s="234"/>
      <c r="VUW199" s="234"/>
      <c r="VUX199" s="234"/>
      <c r="VUY199" s="234"/>
      <c r="VUZ199" s="234"/>
      <c r="VVA199" s="234"/>
      <c r="VVB199" s="234"/>
      <c r="VVC199" s="234"/>
      <c r="VVD199" s="234"/>
      <c r="VVE199" s="234"/>
      <c r="VVF199" s="234"/>
      <c r="VVG199" s="234"/>
      <c r="VVH199" s="234"/>
      <c r="VVI199" s="234"/>
      <c r="VVJ199" s="234"/>
      <c r="VVK199" s="234"/>
      <c r="VVL199" s="234"/>
      <c r="VVM199" s="234"/>
      <c r="VVN199" s="234"/>
      <c r="VVO199" s="234"/>
      <c r="VVP199" s="234"/>
      <c r="VVQ199" s="234"/>
      <c r="VVR199" s="234"/>
      <c r="VVS199" s="234"/>
      <c r="VVT199" s="234"/>
      <c r="VVU199" s="234"/>
      <c r="VVV199" s="234"/>
      <c r="VVW199" s="234"/>
      <c r="VVX199" s="234"/>
      <c r="VVY199" s="234"/>
      <c r="VVZ199" s="234"/>
      <c r="VWA199" s="234"/>
      <c r="VWB199" s="234"/>
      <c r="VWC199" s="234"/>
      <c r="VWD199" s="234"/>
      <c r="VWE199" s="234"/>
      <c r="VWF199" s="234"/>
      <c r="VWG199" s="234"/>
      <c r="VWH199" s="234"/>
      <c r="VWI199" s="234"/>
      <c r="VWJ199" s="234"/>
      <c r="VWK199" s="234"/>
      <c r="VWL199" s="234"/>
      <c r="VWM199" s="234"/>
      <c r="VWN199" s="234"/>
      <c r="VWO199" s="234"/>
      <c r="VWP199" s="234"/>
      <c r="VWQ199" s="234"/>
      <c r="VWR199" s="234"/>
      <c r="VWS199" s="234"/>
      <c r="VWT199" s="234"/>
      <c r="VWU199" s="234"/>
      <c r="VWV199" s="234"/>
      <c r="VWW199" s="234"/>
      <c r="VWX199" s="234"/>
      <c r="VWY199" s="234"/>
      <c r="VWZ199" s="234"/>
      <c r="VXA199" s="234"/>
      <c r="VXB199" s="234"/>
      <c r="VXC199" s="234"/>
      <c r="VXD199" s="234"/>
      <c r="VXE199" s="234"/>
      <c r="VXF199" s="234"/>
      <c r="VXG199" s="234"/>
      <c r="VXH199" s="234"/>
      <c r="VXI199" s="234"/>
      <c r="VXJ199" s="234"/>
      <c r="VXK199" s="234"/>
      <c r="VXL199" s="234"/>
      <c r="VXM199" s="234"/>
      <c r="VXN199" s="234"/>
      <c r="VXO199" s="234"/>
      <c r="VXP199" s="234"/>
      <c r="VXQ199" s="234"/>
      <c r="VXR199" s="234"/>
      <c r="VXS199" s="234"/>
      <c r="VXT199" s="234"/>
      <c r="VXU199" s="234"/>
      <c r="VXV199" s="234"/>
      <c r="VXW199" s="234"/>
      <c r="VXX199" s="234"/>
      <c r="VXY199" s="234"/>
      <c r="VXZ199" s="234"/>
      <c r="VYA199" s="234"/>
      <c r="VYB199" s="234"/>
      <c r="VYC199" s="234"/>
      <c r="VYD199" s="234"/>
      <c r="VYE199" s="234"/>
      <c r="VYF199" s="234"/>
      <c r="VYG199" s="234"/>
      <c r="VYH199" s="234"/>
      <c r="VYI199" s="234"/>
      <c r="VYJ199" s="234"/>
      <c r="VYK199" s="234"/>
      <c r="VYL199" s="234"/>
      <c r="VYM199" s="234"/>
      <c r="VYN199" s="234"/>
      <c r="VYO199" s="234"/>
      <c r="VYP199" s="234"/>
      <c r="VYQ199" s="234"/>
      <c r="VYR199" s="234"/>
      <c r="VYS199" s="234"/>
      <c r="VYT199" s="234"/>
      <c r="VYU199" s="234"/>
      <c r="VYV199" s="234"/>
      <c r="VYW199" s="234"/>
      <c r="VYX199" s="234"/>
      <c r="VYY199" s="234"/>
      <c r="VYZ199" s="234"/>
      <c r="VZA199" s="234"/>
      <c r="VZB199" s="234"/>
      <c r="VZC199" s="234"/>
      <c r="VZD199" s="234"/>
      <c r="VZE199" s="234"/>
      <c r="VZF199" s="234"/>
      <c r="VZG199" s="234"/>
      <c r="VZH199" s="234"/>
      <c r="VZI199" s="234"/>
      <c r="VZJ199" s="234"/>
      <c r="VZK199" s="234"/>
      <c r="VZL199" s="234"/>
      <c r="VZM199" s="234"/>
      <c r="VZN199" s="234"/>
      <c r="VZO199" s="234"/>
      <c r="VZP199" s="234"/>
      <c r="VZQ199" s="234"/>
      <c r="VZR199" s="234"/>
      <c r="VZS199" s="234"/>
      <c r="VZT199" s="234"/>
      <c r="VZU199" s="234"/>
      <c r="VZV199" s="234"/>
      <c r="VZW199" s="234"/>
      <c r="VZX199" s="234"/>
      <c r="VZY199" s="234"/>
      <c r="VZZ199" s="234"/>
      <c r="WAA199" s="234"/>
      <c r="WAB199" s="234"/>
      <c r="WAC199" s="234"/>
      <c r="WAD199" s="234"/>
      <c r="WAE199" s="234"/>
      <c r="WAF199" s="234"/>
      <c r="WAG199" s="234"/>
      <c r="WAH199" s="234"/>
      <c r="WAI199" s="234"/>
      <c r="WAJ199" s="234"/>
      <c r="WAK199" s="234"/>
      <c r="WAL199" s="234"/>
      <c r="WAM199" s="234"/>
      <c r="WAN199" s="234"/>
      <c r="WAO199" s="234"/>
      <c r="WAP199" s="234"/>
      <c r="WAQ199" s="234"/>
      <c r="WAR199" s="234"/>
      <c r="WAS199" s="234"/>
      <c r="WAT199" s="234"/>
      <c r="WAU199" s="234"/>
      <c r="WAV199" s="234"/>
      <c r="WAW199" s="234"/>
      <c r="WAX199" s="234"/>
      <c r="WAY199" s="234"/>
      <c r="WAZ199" s="234"/>
      <c r="WBA199" s="234"/>
      <c r="WBB199" s="234"/>
      <c r="WBC199" s="234"/>
      <c r="WBD199" s="234"/>
      <c r="WBE199" s="234"/>
      <c r="WBF199" s="234"/>
      <c r="WBG199" s="234"/>
      <c r="WBH199" s="234"/>
      <c r="WBI199" s="234"/>
      <c r="WBJ199" s="234"/>
      <c r="WBK199" s="234"/>
      <c r="WBL199" s="234"/>
      <c r="WBM199" s="234"/>
      <c r="WBN199" s="234"/>
      <c r="WBO199" s="234"/>
      <c r="WBP199" s="234"/>
      <c r="WBQ199" s="234"/>
      <c r="WBR199" s="234"/>
      <c r="WBS199" s="234"/>
      <c r="WBT199" s="234"/>
      <c r="WBU199" s="234"/>
      <c r="WBV199" s="234"/>
      <c r="WBW199" s="234"/>
      <c r="WBX199" s="234"/>
      <c r="WBY199" s="234"/>
      <c r="WBZ199" s="234"/>
      <c r="WCA199" s="234"/>
      <c r="WCB199" s="234"/>
      <c r="WCC199" s="234"/>
      <c r="WCD199" s="234"/>
      <c r="WCE199" s="234"/>
      <c r="WCF199" s="234"/>
      <c r="WCG199" s="234"/>
      <c r="WCH199" s="234"/>
      <c r="WCI199" s="234"/>
      <c r="WCJ199" s="234"/>
      <c r="WCK199" s="234"/>
      <c r="WCL199" s="234"/>
      <c r="WCM199" s="234"/>
      <c r="WCN199" s="234"/>
      <c r="WCO199" s="234"/>
      <c r="WCP199" s="234"/>
      <c r="WCQ199" s="234"/>
      <c r="WCR199" s="234"/>
      <c r="WCS199" s="234"/>
      <c r="WCT199" s="234"/>
      <c r="WCU199" s="234"/>
      <c r="WCV199" s="234"/>
      <c r="WCW199" s="234"/>
      <c r="WCX199" s="234"/>
      <c r="WCY199" s="234"/>
      <c r="WCZ199" s="234"/>
      <c r="WDA199" s="234"/>
      <c r="WDB199" s="234"/>
      <c r="WDC199" s="234"/>
      <c r="WDD199" s="234"/>
      <c r="WDE199" s="234"/>
      <c r="WDF199" s="234"/>
      <c r="WDG199" s="234"/>
      <c r="WDH199" s="234"/>
      <c r="WDI199" s="234"/>
      <c r="WDJ199" s="234"/>
      <c r="WDK199" s="234"/>
      <c r="WDL199" s="234"/>
      <c r="WDM199" s="234"/>
      <c r="WDN199" s="234"/>
      <c r="WDO199" s="234"/>
      <c r="WDP199" s="234"/>
      <c r="WDQ199" s="234"/>
      <c r="WDR199" s="234"/>
      <c r="WDS199" s="234"/>
      <c r="WDT199" s="234"/>
      <c r="WDU199" s="234"/>
      <c r="WDV199" s="234"/>
      <c r="WDW199" s="234"/>
      <c r="WDX199" s="234"/>
      <c r="WDY199" s="234"/>
      <c r="WDZ199" s="234"/>
      <c r="WEA199" s="234"/>
      <c r="WEB199" s="234"/>
      <c r="WEC199" s="234"/>
      <c r="WED199" s="234"/>
      <c r="WEE199" s="234"/>
      <c r="WEF199" s="234"/>
      <c r="WEG199" s="234"/>
      <c r="WEH199" s="234"/>
      <c r="WEI199" s="234"/>
      <c r="WEJ199" s="234"/>
      <c r="WEK199" s="234"/>
      <c r="WEL199" s="234"/>
      <c r="WEM199" s="234"/>
      <c r="WEN199" s="234"/>
      <c r="WEO199" s="234"/>
      <c r="WEP199" s="234"/>
      <c r="WEQ199" s="234"/>
      <c r="WER199" s="234"/>
      <c r="WES199" s="234"/>
      <c r="WET199" s="234"/>
      <c r="WEU199" s="234"/>
      <c r="WEV199" s="234"/>
      <c r="WEW199" s="234"/>
      <c r="WEX199" s="234"/>
      <c r="WEY199" s="234"/>
      <c r="WEZ199" s="234"/>
      <c r="WFA199" s="234"/>
      <c r="WFB199" s="234"/>
      <c r="WFC199" s="234"/>
      <c r="WFD199" s="234"/>
      <c r="WFE199" s="234"/>
      <c r="WFF199" s="234"/>
      <c r="WFG199" s="234"/>
      <c r="WFH199" s="234"/>
      <c r="WFI199" s="234"/>
      <c r="WFJ199" s="234"/>
      <c r="WFK199" s="234"/>
      <c r="WFL199" s="234"/>
      <c r="WFM199" s="234"/>
      <c r="WFN199" s="234"/>
      <c r="WFO199" s="234"/>
      <c r="WFP199" s="234"/>
      <c r="WFQ199" s="234"/>
      <c r="WFR199" s="234"/>
      <c r="WFS199" s="234"/>
      <c r="WFT199" s="234"/>
      <c r="WFU199" s="234"/>
      <c r="WFV199" s="234"/>
      <c r="WFW199" s="234"/>
      <c r="WFX199" s="234"/>
      <c r="WFY199" s="234"/>
      <c r="WFZ199" s="234"/>
      <c r="WGA199" s="234"/>
      <c r="WGB199" s="234"/>
      <c r="WGC199" s="234"/>
      <c r="WGD199" s="234"/>
      <c r="WGE199" s="234"/>
      <c r="WGF199" s="234"/>
      <c r="WGG199" s="234"/>
      <c r="WGH199" s="234"/>
      <c r="WGI199" s="234"/>
      <c r="WGJ199" s="234"/>
      <c r="WGK199" s="234"/>
      <c r="WGL199" s="234"/>
      <c r="WGM199" s="234"/>
      <c r="WGN199" s="234"/>
      <c r="WGO199" s="234"/>
      <c r="WGP199" s="234"/>
      <c r="WGQ199" s="234"/>
      <c r="WGR199" s="234"/>
      <c r="WGS199" s="234"/>
      <c r="WGT199" s="234"/>
      <c r="WGU199" s="234"/>
      <c r="WGV199" s="234"/>
      <c r="WGW199" s="234"/>
      <c r="WGX199" s="234"/>
      <c r="WGY199" s="234"/>
      <c r="WGZ199" s="234"/>
      <c r="WHA199" s="234"/>
      <c r="WHB199" s="234"/>
      <c r="WHC199" s="234"/>
      <c r="WHD199" s="234"/>
      <c r="WHE199" s="234"/>
      <c r="WHF199" s="234"/>
      <c r="WHG199" s="234"/>
      <c r="WHH199" s="234"/>
      <c r="WHI199" s="234"/>
      <c r="WHJ199" s="234"/>
      <c r="WHK199" s="234"/>
      <c r="WHL199" s="234"/>
      <c r="WHM199" s="234"/>
      <c r="WHN199" s="234"/>
      <c r="WHO199" s="234"/>
      <c r="WHP199" s="234"/>
      <c r="WHQ199" s="234"/>
      <c r="WHR199" s="234"/>
      <c r="WHS199" s="234"/>
      <c r="WHT199" s="234"/>
      <c r="WHU199" s="234"/>
      <c r="WHV199" s="234"/>
      <c r="WHW199" s="234"/>
      <c r="WHX199" s="234"/>
      <c r="WHY199" s="234"/>
      <c r="WHZ199" s="234"/>
      <c r="WIA199" s="234"/>
      <c r="WIB199" s="234"/>
      <c r="WIC199" s="234"/>
      <c r="WID199" s="234"/>
      <c r="WIE199" s="234"/>
      <c r="WIF199" s="234"/>
      <c r="WIG199" s="234"/>
      <c r="WIH199" s="234"/>
      <c r="WII199" s="234"/>
      <c r="WIJ199" s="234"/>
      <c r="WIK199" s="234"/>
      <c r="WIL199" s="234"/>
      <c r="WIM199" s="234"/>
      <c r="WIN199" s="234"/>
      <c r="WIO199" s="234"/>
      <c r="WIP199" s="234"/>
      <c r="WIQ199" s="234"/>
      <c r="WIR199" s="234"/>
      <c r="WIS199" s="234"/>
      <c r="WIT199" s="234"/>
      <c r="WIU199" s="234"/>
      <c r="WIV199" s="234"/>
      <c r="WIW199" s="234"/>
      <c r="WIX199" s="234"/>
      <c r="WIY199" s="234"/>
      <c r="WIZ199" s="234"/>
      <c r="WJA199" s="234"/>
      <c r="WJB199" s="234"/>
      <c r="WJC199" s="234"/>
      <c r="WJD199" s="234"/>
      <c r="WJE199" s="234"/>
      <c r="WJF199" s="234"/>
      <c r="WJG199" s="234"/>
      <c r="WJH199" s="234"/>
      <c r="WJI199" s="234"/>
      <c r="WJJ199" s="234"/>
      <c r="WJK199" s="234"/>
      <c r="WJL199" s="234"/>
      <c r="WJM199" s="234"/>
      <c r="WJN199" s="234"/>
      <c r="WJO199" s="234"/>
      <c r="WJP199" s="234"/>
      <c r="WJQ199" s="234"/>
      <c r="WJR199" s="234"/>
      <c r="WJS199" s="234"/>
      <c r="WJT199" s="234"/>
      <c r="WJU199" s="234"/>
      <c r="WJV199" s="234"/>
      <c r="WJW199" s="234"/>
      <c r="WJX199" s="234"/>
      <c r="WJY199" s="234"/>
      <c r="WJZ199" s="234"/>
      <c r="WKA199" s="234"/>
      <c r="WKB199" s="234"/>
      <c r="WKC199" s="234"/>
      <c r="WKD199" s="234"/>
      <c r="WKE199" s="234"/>
      <c r="WKF199" s="234"/>
      <c r="WKG199" s="234"/>
      <c r="WKH199" s="234"/>
      <c r="WKI199" s="234"/>
      <c r="WKJ199" s="234"/>
      <c r="WKK199" s="234"/>
      <c r="WKL199" s="234"/>
      <c r="WKM199" s="234"/>
      <c r="WKN199" s="234"/>
      <c r="WKO199" s="234"/>
      <c r="WKP199" s="234"/>
      <c r="WKQ199" s="234"/>
      <c r="WKR199" s="234"/>
      <c r="WKS199" s="234"/>
      <c r="WKT199" s="234"/>
      <c r="WKU199" s="234"/>
      <c r="WKV199" s="234"/>
      <c r="WKW199" s="234"/>
      <c r="WKX199" s="234"/>
      <c r="WKY199" s="234"/>
      <c r="WKZ199" s="234"/>
      <c r="WLA199" s="234"/>
      <c r="WLB199" s="234"/>
      <c r="WLC199" s="234"/>
      <c r="WLD199" s="234"/>
      <c r="WLE199" s="234"/>
      <c r="WLF199" s="234"/>
      <c r="WLG199" s="234"/>
      <c r="WLH199" s="234"/>
      <c r="WLI199" s="234"/>
      <c r="WLJ199" s="234"/>
      <c r="WLK199" s="234"/>
      <c r="WLL199" s="234"/>
      <c r="WLM199" s="234"/>
      <c r="WLN199" s="234"/>
      <c r="WLO199" s="234"/>
      <c r="WLP199" s="234"/>
      <c r="WLQ199" s="234"/>
      <c r="WLR199" s="234"/>
      <c r="WLS199" s="234"/>
      <c r="WLT199" s="234"/>
      <c r="WLU199" s="234"/>
      <c r="WLV199" s="234"/>
      <c r="WLW199" s="234"/>
      <c r="WLX199" s="234"/>
      <c r="WLY199" s="234"/>
      <c r="WLZ199" s="234"/>
      <c r="WMA199" s="234"/>
      <c r="WMB199" s="234"/>
      <c r="WMC199" s="234"/>
      <c r="WMD199" s="234"/>
      <c r="WME199" s="234"/>
      <c r="WMF199" s="234"/>
      <c r="WMG199" s="234"/>
      <c r="WMH199" s="234"/>
      <c r="WMI199" s="234"/>
      <c r="WMJ199" s="234"/>
      <c r="WMK199" s="234"/>
      <c r="WML199" s="234"/>
      <c r="WMM199" s="234"/>
      <c r="WMN199" s="234"/>
      <c r="WMO199" s="234"/>
      <c r="WMP199" s="234"/>
      <c r="WMQ199" s="234"/>
      <c r="WMR199" s="234"/>
      <c r="WMS199" s="234"/>
      <c r="WMT199" s="234"/>
      <c r="WMU199" s="234"/>
      <c r="WMV199" s="234"/>
      <c r="WMW199" s="234"/>
      <c r="WMX199" s="234"/>
      <c r="WMY199" s="234"/>
      <c r="WMZ199" s="234"/>
      <c r="WNA199" s="234"/>
      <c r="WNB199" s="234"/>
      <c r="WNC199" s="234"/>
      <c r="WND199" s="234"/>
      <c r="WNE199" s="234"/>
      <c r="WNF199" s="234"/>
      <c r="WNG199" s="234"/>
      <c r="WNH199" s="234"/>
      <c r="WNI199" s="234"/>
      <c r="WNJ199" s="234"/>
      <c r="WNK199" s="234"/>
      <c r="WNL199" s="234"/>
      <c r="WNM199" s="234"/>
      <c r="WNN199" s="234"/>
      <c r="WNO199" s="234"/>
      <c r="WNP199" s="234"/>
      <c r="WNQ199" s="234"/>
      <c r="WNR199" s="234"/>
      <c r="WNS199" s="234"/>
      <c r="WNT199" s="234"/>
      <c r="WNU199" s="234"/>
      <c r="WNV199" s="234"/>
      <c r="WNW199" s="234"/>
      <c r="WNX199" s="234"/>
      <c r="WNY199" s="234"/>
      <c r="WNZ199" s="234"/>
      <c r="WOA199" s="234"/>
      <c r="WOB199" s="234"/>
      <c r="WOC199" s="234"/>
      <c r="WOD199" s="234"/>
      <c r="WOE199" s="234"/>
      <c r="WOF199" s="234"/>
      <c r="WOG199" s="234"/>
      <c r="WOH199" s="234"/>
      <c r="WOI199" s="234"/>
      <c r="WOJ199" s="234"/>
      <c r="WOK199" s="234"/>
      <c r="WOL199" s="234"/>
      <c r="WOM199" s="234"/>
      <c r="WON199" s="234"/>
      <c r="WOO199" s="234"/>
      <c r="WOP199" s="234"/>
      <c r="WOQ199" s="234"/>
      <c r="WOR199" s="234"/>
      <c r="WOS199" s="234"/>
      <c r="WOT199" s="234"/>
      <c r="WOU199" s="234"/>
      <c r="WOV199" s="234"/>
      <c r="WOW199" s="234"/>
      <c r="WOX199" s="234"/>
      <c r="WOY199" s="234"/>
      <c r="WOZ199" s="234"/>
      <c r="WPA199" s="234"/>
      <c r="WPB199" s="234"/>
      <c r="WPC199" s="234"/>
      <c r="WPD199" s="234"/>
      <c r="WPE199" s="234"/>
      <c r="WPF199" s="234"/>
      <c r="WPG199" s="234"/>
      <c r="WPH199" s="234"/>
      <c r="WPI199" s="234"/>
      <c r="WPJ199" s="234"/>
      <c r="WPK199" s="234"/>
      <c r="WPL199" s="234"/>
      <c r="WPM199" s="234"/>
      <c r="WPN199" s="234"/>
      <c r="WPO199" s="234"/>
      <c r="WPP199" s="234"/>
      <c r="WPQ199" s="234"/>
      <c r="WPR199" s="234"/>
      <c r="WPS199" s="234"/>
      <c r="WPT199" s="234"/>
      <c r="WPU199" s="234"/>
      <c r="WPV199" s="234"/>
      <c r="WPW199" s="234"/>
      <c r="WPX199" s="234"/>
      <c r="WPY199" s="234"/>
      <c r="WPZ199" s="234"/>
      <c r="WQA199" s="234"/>
      <c r="WQB199" s="234"/>
      <c r="WQC199" s="234"/>
      <c r="WQD199" s="234"/>
      <c r="WQE199" s="234"/>
      <c r="WQF199" s="234"/>
      <c r="WQG199" s="234"/>
      <c r="WQH199" s="234"/>
      <c r="WQI199" s="234"/>
      <c r="WQJ199" s="234"/>
      <c r="WQK199" s="234"/>
      <c r="WQL199" s="234"/>
      <c r="WQM199" s="234"/>
      <c r="WQN199" s="234"/>
      <c r="WQO199" s="234"/>
      <c r="WQP199" s="234"/>
      <c r="WQQ199" s="234"/>
      <c r="WQR199" s="234"/>
      <c r="WQS199" s="234"/>
      <c r="WQT199" s="234"/>
      <c r="WQU199" s="234"/>
      <c r="WQV199" s="234"/>
      <c r="WQW199" s="234"/>
      <c r="WQX199" s="234"/>
      <c r="WQY199" s="234"/>
      <c r="WQZ199" s="234"/>
      <c r="WRA199" s="234"/>
      <c r="WRB199" s="234"/>
      <c r="WRC199" s="234"/>
      <c r="WRD199" s="234"/>
      <c r="WRE199" s="234"/>
      <c r="WRF199" s="234"/>
      <c r="WRG199" s="234"/>
      <c r="WRH199" s="234"/>
      <c r="WRI199" s="234"/>
      <c r="WRJ199" s="234"/>
      <c r="WRK199" s="234"/>
      <c r="WRL199" s="234"/>
      <c r="WRM199" s="234"/>
      <c r="WRN199" s="234"/>
      <c r="WRO199" s="234"/>
      <c r="WRP199" s="234"/>
      <c r="WRQ199" s="234"/>
      <c r="WRR199" s="234"/>
      <c r="WRS199" s="234"/>
      <c r="WRT199" s="234"/>
      <c r="WRU199" s="234"/>
      <c r="WRV199" s="234"/>
      <c r="WRW199" s="234"/>
      <c r="WRX199" s="234"/>
      <c r="WRY199" s="234"/>
      <c r="WRZ199" s="234"/>
      <c r="WSA199" s="234"/>
      <c r="WSB199" s="234"/>
      <c r="WSC199" s="234"/>
      <c r="WSD199" s="234"/>
      <c r="WSE199" s="234"/>
      <c r="WSF199" s="234"/>
      <c r="WSG199" s="234"/>
      <c r="WSH199" s="234"/>
      <c r="WSI199" s="234"/>
      <c r="WSJ199" s="234"/>
      <c r="WSK199" s="234"/>
      <c r="WSL199" s="234"/>
      <c r="WSM199" s="234"/>
      <c r="WSN199" s="234"/>
      <c r="WSO199" s="234"/>
      <c r="WSP199" s="234"/>
      <c r="WSQ199" s="234"/>
      <c r="WSR199" s="234"/>
      <c r="WSS199" s="234"/>
      <c r="WST199" s="234"/>
      <c r="WSU199" s="234"/>
      <c r="WSV199" s="234"/>
      <c r="WSW199" s="234"/>
      <c r="WSX199" s="234"/>
      <c r="WSY199" s="234"/>
      <c r="WSZ199" s="234"/>
      <c r="WTA199" s="234"/>
      <c r="WTB199" s="234"/>
      <c r="WTC199" s="234"/>
      <c r="WTD199" s="234"/>
      <c r="WTE199" s="234"/>
      <c r="WTF199" s="234"/>
      <c r="WTG199" s="234"/>
      <c r="WTH199" s="234"/>
      <c r="WTI199" s="234"/>
      <c r="WTJ199" s="234"/>
      <c r="WTK199" s="234"/>
      <c r="WTL199" s="234"/>
      <c r="WTM199" s="234"/>
      <c r="WTN199" s="234"/>
      <c r="WTO199" s="234"/>
      <c r="WTP199" s="234"/>
      <c r="WTQ199" s="234"/>
      <c r="WTR199" s="234"/>
      <c r="WTS199" s="234"/>
      <c r="WTT199" s="234"/>
      <c r="WTU199" s="234"/>
      <c r="WTV199" s="234"/>
      <c r="WTW199" s="234"/>
      <c r="WTX199" s="234"/>
      <c r="WTY199" s="234"/>
      <c r="WTZ199" s="234"/>
      <c r="WUA199" s="234"/>
      <c r="WUB199" s="234"/>
      <c r="WUC199" s="234"/>
      <c r="WUD199" s="234"/>
      <c r="WUE199" s="234"/>
      <c r="WUF199" s="234"/>
      <c r="WUG199" s="234"/>
      <c r="WUH199" s="234"/>
      <c r="WUI199" s="234"/>
      <c r="WUJ199" s="234"/>
      <c r="WUK199" s="234"/>
      <c r="WUL199" s="234"/>
      <c r="WUM199" s="234"/>
      <c r="WUN199" s="234"/>
      <c r="WUO199" s="234"/>
      <c r="WUP199" s="234"/>
      <c r="WUQ199" s="234"/>
      <c r="WUR199" s="234"/>
      <c r="WUS199" s="234"/>
      <c r="WUT199" s="234"/>
      <c r="WUU199" s="234"/>
      <c r="WUV199" s="234"/>
      <c r="WUW199" s="234"/>
      <c r="WUX199" s="234"/>
      <c r="WUY199" s="234"/>
      <c r="WUZ199" s="234"/>
      <c r="WVA199" s="234"/>
      <c r="WVB199" s="234"/>
      <c r="WVC199" s="234"/>
      <c r="WVD199" s="234"/>
      <c r="WVE199" s="234"/>
      <c r="WVF199" s="234"/>
      <c r="WVG199" s="234"/>
      <c r="WVH199" s="234"/>
      <c r="WVI199" s="234"/>
      <c r="WVJ199" s="234"/>
      <c r="WVK199" s="234"/>
      <c r="WVL199" s="234"/>
      <c r="WVM199" s="234"/>
      <c r="WVN199" s="234"/>
      <c r="WVO199" s="234"/>
      <c r="WVP199" s="234"/>
      <c r="WVQ199" s="234"/>
      <c r="WVR199" s="234"/>
      <c r="WVS199" s="234"/>
      <c r="WVT199" s="234"/>
      <c r="WVU199" s="234"/>
      <c r="WVV199" s="234"/>
      <c r="WVW199" s="234"/>
      <c r="WVX199" s="234"/>
      <c r="WVY199" s="234"/>
      <c r="WVZ199" s="234"/>
      <c r="WWA199" s="234"/>
    </row>
    <row r="200" spans="1:16147" s="234" customFormat="1" x14ac:dyDescent="0.2">
      <c r="B200" s="257" t="s">
        <v>484</v>
      </c>
      <c r="C200" s="234" t="s">
        <v>469</v>
      </c>
      <c r="D200" s="234">
        <v>2016</v>
      </c>
      <c r="E200" s="234">
        <v>6</v>
      </c>
      <c r="F200" s="234">
        <v>0</v>
      </c>
      <c r="H200" s="234" t="s">
        <v>351</v>
      </c>
      <c r="I200" s="234">
        <v>10</v>
      </c>
      <c r="J200" s="233">
        <f t="shared" si="56"/>
        <v>2026</v>
      </c>
      <c r="K200" s="237">
        <f t="shared" si="57"/>
        <v>2026.5</v>
      </c>
      <c r="L200" s="245">
        <v>5040.6000000000004</v>
      </c>
      <c r="M200" s="239">
        <f t="shared" si="58"/>
        <v>5040.6000000000004</v>
      </c>
      <c r="N200" s="239">
        <f t="shared" si="59"/>
        <v>42.005000000000003</v>
      </c>
      <c r="O200" s="239">
        <f t="shared" si="60"/>
        <v>504.06000000000006</v>
      </c>
      <c r="P200" s="261">
        <f t="shared" si="61"/>
        <v>504.06000000000006</v>
      </c>
      <c r="Q200" s="261">
        <f t="shared" si="62"/>
        <v>3024.3600000000006</v>
      </c>
      <c r="R200" s="261">
        <f t="shared" si="63"/>
        <v>3528.4200000000005</v>
      </c>
      <c r="S200" s="261">
        <f t="shared" si="64"/>
        <v>1512.1799999999998</v>
      </c>
    </row>
    <row r="201" spans="1:16147" s="234" customFormat="1" x14ac:dyDescent="0.2">
      <c r="B201" s="257" t="s">
        <v>485</v>
      </c>
      <c r="C201" s="234" t="s">
        <v>470</v>
      </c>
      <c r="D201" s="234">
        <v>2016</v>
      </c>
      <c r="E201" s="234">
        <v>7</v>
      </c>
      <c r="F201" s="234">
        <v>0</v>
      </c>
      <c r="H201" s="234" t="s">
        <v>351</v>
      </c>
      <c r="I201" s="234">
        <v>10</v>
      </c>
      <c r="J201" s="233">
        <f t="shared" ref="J201:J220" si="65">D201+I201</f>
        <v>2026</v>
      </c>
      <c r="K201" s="237">
        <f t="shared" ref="K201:K220" si="66">+J201+(E201/12)</f>
        <v>2026.5833333333333</v>
      </c>
      <c r="L201" s="245">
        <v>3631.39</v>
      </c>
      <c r="M201" s="239">
        <f t="shared" ref="M201:M220" si="67">L201-L201*F201</f>
        <v>3631.39</v>
      </c>
      <c r="N201" s="239">
        <f t="shared" ref="N201:N220" si="68">M201/I201/12</f>
        <v>30.261583333333334</v>
      </c>
      <c r="O201" s="239">
        <f t="shared" ref="O201:O220" si="69">+N201*12</f>
        <v>363.13900000000001</v>
      </c>
      <c r="P201" s="261">
        <f t="shared" ref="P201:P220" si="70">+IF(K201&lt;=$M$5,0,IF(J201&gt;$M$4,O201,(N201*E201)))</f>
        <v>363.13900000000001</v>
      </c>
      <c r="Q201" s="261">
        <f t="shared" ref="Q201:Q220" si="71">+IF(P201=0,M201,IF($M$3-D201&lt;1,0,(($M$3-D201)*O201)))</f>
        <v>2178.8339999999998</v>
      </c>
      <c r="R201" s="261">
        <f t="shared" ref="R201:R220" si="72">+IF(P201=0,Q201,Q201+P201)</f>
        <v>2541.973</v>
      </c>
      <c r="S201" s="261">
        <f t="shared" ref="S201:S220" si="73">+L201-R201</f>
        <v>1089.4169999999999</v>
      </c>
    </row>
    <row r="202" spans="1:16147" s="234" customFormat="1" x14ac:dyDescent="0.2">
      <c r="B202" s="257" t="s">
        <v>463</v>
      </c>
      <c r="C202" s="234" t="s">
        <v>466</v>
      </c>
      <c r="D202" s="234">
        <v>2016</v>
      </c>
      <c r="E202" s="234">
        <v>7</v>
      </c>
      <c r="F202" s="234">
        <v>0</v>
      </c>
      <c r="H202" s="234" t="s">
        <v>351</v>
      </c>
      <c r="I202" s="234">
        <v>10</v>
      </c>
      <c r="J202" s="233">
        <f t="shared" si="65"/>
        <v>2026</v>
      </c>
      <c r="K202" s="237">
        <f t="shared" si="66"/>
        <v>2026.5833333333333</v>
      </c>
      <c r="L202" s="245">
        <v>4065</v>
      </c>
      <c r="M202" s="239">
        <f t="shared" si="67"/>
        <v>4065</v>
      </c>
      <c r="N202" s="239">
        <f t="shared" si="68"/>
        <v>33.875</v>
      </c>
      <c r="O202" s="239">
        <f t="shared" si="69"/>
        <v>406.5</v>
      </c>
      <c r="P202" s="261">
        <f t="shared" si="70"/>
        <v>406.5</v>
      </c>
      <c r="Q202" s="261">
        <f t="shared" si="71"/>
        <v>2439</v>
      </c>
      <c r="R202" s="261">
        <f t="shared" si="72"/>
        <v>2845.5</v>
      </c>
      <c r="S202" s="261">
        <f t="shared" si="73"/>
        <v>1219.5</v>
      </c>
    </row>
    <row r="203" spans="1:16147" s="234" customFormat="1" x14ac:dyDescent="0.2">
      <c r="B203" s="257" t="s">
        <v>463</v>
      </c>
      <c r="C203" s="234" t="s">
        <v>467</v>
      </c>
      <c r="D203" s="234">
        <v>2016</v>
      </c>
      <c r="E203" s="234">
        <v>9</v>
      </c>
      <c r="F203" s="234">
        <v>0</v>
      </c>
      <c r="H203" s="234" t="s">
        <v>351</v>
      </c>
      <c r="I203" s="234">
        <v>10</v>
      </c>
      <c r="J203" s="233">
        <f t="shared" si="65"/>
        <v>2026</v>
      </c>
      <c r="K203" s="237">
        <f t="shared" si="66"/>
        <v>2026.75</v>
      </c>
      <c r="L203" s="245">
        <v>4065</v>
      </c>
      <c r="M203" s="239">
        <f t="shared" si="67"/>
        <v>4065</v>
      </c>
      <c r="N203" s="239">
        <f t="shared" si="68"/>
        <v>33.875</v>
      </c>
      <c r="O203" s="239">
        <f t="shared" si="69"/>
        <v>406.5</v>
      </c>
      <c r="P203" s="261">
        <f t="shared" si="70"/>
        <v>406.5</v>
      </c>
      <c r="Q203" s="261">
        <f t="shared" si="71"/>
        <v>2439</v>
      </c>
      <c r="R203" s="261">
        <f t="shared" si="72"/>
        <v>2845.5</v>
      </c>
      <c r="S203" s="261">
        <f t="shared" si="73"/>
        <v>1219.5</v>
      </c>
    </row>
    <row r="204" spans="1:16147" s="234" customFormat="1" x14ac:dyDescent="0.2">
      <c r="B204" s="257" t="s">
        <v>463</v>
      </c>
      <c r="C204" s="234" t="s">
        <v>467</v>
      </c>
      <c r="D204" s="234">
        <v>2016</v>
      </c>
      <c r="E204" s="234">
        <v>9</v>
      </c>
      <c r="F204" s="234">
        <v>0</v>
      </c>
      <c r="H204" s="234" t="s">
        <v>351</v>
      </c>
      <c r="I204" s="234">
        <v>10</v>
      </c>
      <c r="J204" s="233">
        <f t="shared" si="65"/>
        <v>2026</v>
      </c>
      <c r="K204" s="237">
        <f t="shared" si="66"/>
        <v>2026.75</v>
      </c>
      <c r="L204" s="245">
        <v>4065</v>
      </c>
      <c r="M204" s="239">
        <f t="shared" si="67"/>
        <v>4065</v>
      </c>
      <c r="N204" s="239">
        <f t="shared" si="68"/>
        <v>33.875</v>
      </c>
      <c r="O204" s="239">
        <f t="shared" si="69"/>
        <v>406.5</v>
      </c>
      <c r="P204" s="261">
        <f t="shared" si="70"/>
        <v>406.5</v>
      </c>
      <c r="Q204" s="261">
        <f t="shared" si="71"/>
        <v>2439</v>
      </c>
      <c r="R204" s="261">
        <f t="shared" si="72"/>
        <v>2845.5</v>
      </c>
      <c r="S204" s="261">
        <f t="shared" si="73"/>
        <v>1219.5</v>
      </c>
    </row>
    <row r="205" spans="1:16147" s="234" customFormat="1" x14ac:dyDescent="0.2">
      <c r="B205" s="257" t="s">
        <v>463</v>
      </c>
      <c r="C205" s="234" t="s">
        <v>468</v>
      </c>
      <c r="D205" s="234">
        <v>2016</v>
      </c>
      <c r="E205" s="234">
        <v>11</v>
      </c>
      <c r="F205" s="234">
        <v>0</v>
      </c>
      <c r="H205" s="234" t="s">
        <v>351</v>
      </c>
      <c r="I205" s="234">
        <v>10</v>
      </c>
      <c r="J205" s="233">
        <f t="shared" si="65"/>
        <v>2026</v>
      </c>
      <c r="K205" s="237">
        <f t="shared" si="66"/>
        <v>2026.9166666666667</v>
      </c>
      <c r="L205" s="245">
        <v>4769.6000000000004</v>
      </c>
      <c r="M205" s="239">
        <f t="shared" si="67"/>
        <v>4769.6000000000004</v>
      </c>
      <c r="N205" s="239">
        <f t="shared" si="68"/>
        <v>39.74666666666667</v>
      </c>
      <c r="O205" s="239">
        <f t="shared" si="69"/>
        <v>476.96000000000004</v>
      </c>
      <c r="P205" s="261">
        <f t="shared" si="70"/>
        <v>476.96000000000004</v>
      </c>
      <c r="Q205" s="261">
        <f t="shared" si="71"/>
        <v>2861.76</v>
      </c>
      <c r="R205" s="261">
        <f t="shared" si="72"/>
        <v>3338.7200000000003</v>
      </c>
      <c r="S205" s="261">
        <f t="shared" si="73"/>
        <v>1430.88</v>
      </c>
    </row>
    <row r="206" spans="1:16147" s="234" customFormat="1" x14ac:dyDescent="0.2">
      <c r="B206" s="257" t="s">
        <v>463</v>
      </c>
      <c r="C206" s="234" t="s">
        <v>467</v>
      </c>
      <c r="D206" s="234">
        <v>2016</v>
      </c>
      <c r="E206" s="234">
        <v>12</v>
      </c>
      <c r="F206" s="234">
        <v>0</v>
      </c>
      <c r="H206" s="234" t="s">
        <v>351</v>
      </c>
      <c r="I206" s="234">
        <v>10</v>
      </c>
      <c r="J206" s="233">
        <f t="shared" si="65"/>
        <v>2026</v>
      </c>
      <c r="K206" s="237">
        <f t="shared" si="66"/>
        <v>2027</v>
      </c>
      <c r="L206" s="245">
        <v>4065</v>
      </c>
      <c r="M206" s="239">
        <f t="shared" si="67"/>
        <v>4065</v>
      </c>
      <c r="N206" s="239">
        <f t="shared" si="68"/>
        <v>33.875</v>
      </c>
      <c r="O206" s="239">
        <f t="shared" si="69"/>
        <v>406.5</v>
      </c>
      <c r="P206" s="261">
        <f t="shared" si="70"/>
        <v>406.5</v>
      </c>
      <c r="Q206" s="261">
        <f t="shared" si="71"/>
        <v>2439</v>
      </c>
      <c r="R206" s="261">
        <f t="shared" si="72"/>
        <v>2845.5</v>
      </c>
      <c r="S206" s="261">
        <f t="shared" si="73"/>
        <v>1219.5</v>
      </c>
    </row>
    <row r="207" spans="1:16147" s="234" customFormat="1" x14ac:dyDescent="0.2">
      <c r="B207" s="257" t="s">
        <v>486</v>
      </c>
      <c r="C207" s="234" t="s">
        <v>471</v>
      </c>
      <c r="D207" s="234">
        <v>2017</v>
      </c>
      <c r="E207" s="234">
        <v>1</v>
      </c>
      <c r="F207" s="234">
        <v>0</v>
      </c>
      <c r="H207" s="234" t="s">
        <v>351</v>
      </c>
      <c r="I207" s="234">
        <v>10</v>
      </c>
      <c r="J207" s="233">
        <f t="shared" si="65"/>
        <v>2027</v>
      </c>
      <c r="K207" s="237">
        <f t="shared" si="66"/>
        <v>2027.0833333333333</v>
      </c>
      <c r="L207" s="245">
        <v>3338.72</v>
      </c>
      <c r="M207" s="239">
        <f t="shared" si="67"/>
        <v>3338.72</v>
      </c>
      <c r="N207" s="239">
        <f t="shared" si="68"/>
        <v>27.822666666666663</v>
      </c>
      <c r="O207" s="239">
        <f t="shared" si="69"/>
        <v>333.87199999999996</v>
      </c>
      <c r="P207" s="261">
        <f t="shared" si="70"/>
        <v>333.87199999999996</v>
      </c>
      <c r="Q207" s="261">
        <f t="shared" si="71"/>
        <v>1669.3599999999997</v>
      </c>
      <c r="R207" s="261">
        <f t="shared" si="72"/>
        <v>2003.2319999999995</v>
      </c>
      <c r="S207" s="261">
        <f t="shared" si="73"/>
        <v>1335.4880000000003</v>
      </c>
    </row>
    <row r="208" spans="1:16147" s="234" customFormat="1" x14ac:dyDescent="0.2">
      <c r="B208" s="257" t="s">
        <v>487</v>
      </c>
      <c r="C208" s="234" t="s">
        <v>472</v>
      </c>
      <c r="D208" s="234">
        <v>2017</v>
      </c>
      <c r="E208" s="234">
        <v>2</v>
      </c>
      <c r="F208" s="234">
        <v>0</v>
      </c>
      <c r="H208" s="234" t="s">
        <v>351</v>
      </c>
      <c r="I208" s="234">
        <v>10</v>
      </c>
      <c r="J208" s="233">
        <f t="shared" si="65"/>
        <v>2027</v>
      </c>
      <c r="K208" s="237">
        <f t="shared" si="66"/>
        <v>2027.1666666666667</v>
      </c>
      <c r="L208" s="245">
        <v>2851.2</v>
      </c>
      <c r="M208" s="239">
        <f t="shared" si="67"/>
        <v>2851.2</v>
      </c>
      <c r="N208" s="239">
        <f t="shared" si="68"/>
        <v>23.76</v>
      </c>
      <c r="O208" s="239">
        <f t="shared" si="69"/>
        <v>285.12</v>
      </c>
      <c r="P208" s="261">
        <f t="shared" si="70"/>
        <v>285.12</v>
      </c>
      <c r="Q208" s="261">
        <f t="shared" si="71"/>
        <v>1425.6</v>
      </c>
      <c r="R208" s="261">
        <f t="shared" si="72"/>
        <v>1710.7199999999998</v>
      </c>
      <c r="S208" s="261">
        <f t="shared" si="73"/>
        <v>1140.48</v>
      </c>
    </row>
    <row r="209" spans="1:19" s="234" customFormat="1" x14ac:dyDescent="0.2">
      <c r="B209" s="257" t="s">
        <v>488</v>
      </c>
      <c r="C209" s="234" t="s">
        <v>473</v>
      </c>
      <c r="D209" s="234">
        <v>2017</v>
      </c>
      <c r="E209" s="234">
        <v>3</v>
      </c>
      <c r="F209" s="234">
        <v>0</v>
      </c>
      <c r="H209" s="234" t="s">
        <v>351</v>
      </c>
      <c r="I209" s="234">
        <v>10</v>
      </c>
      <c r="J209" s="233">
        <f t="shared" si="65"/>
        <v>2027</v>
      </c>
      <c r="K209" s="237">
        <f t="shared" si="66"/>
        <v>2027.25</v>
      </c>
      <c r="L209" s="245">
        <v>3252</v>
      </c>
      <c r="M209" s="239">
        <f t="shared" si="67"/>
        <v>3252</v>
      </c>
      <c r="N209" s="239">
        <f t="shared" si="68"/>
        <v>27.099999999999998</v>
      </c>
      <c r="O209" s="239">
        <f t="shared" si="69"/>
        <v>325.2</v>
      </c>
      <c r="P209" s="261">
        <f t="shared" si="70"/>
        <v>325.2</v>
      </c>
      <c r="Q209" s="261">
        <f t="shared" si="71"/>
        <v>1626</v>
      </c>
      <c r="R209" s="261">
        <f t="shared" si="72"/>
        <v>1951.2</v>
      </c>
      <c r="S209" s="261">
        <f t="shared" si="73"/>
        <v>1300.8</v>
      </c>
    </row>
    <row r="210" spans="1:19" s="234" customFormat="1" x14ac:dyDescent="0.2">
      <c r="B210" s="257" t="s">
        <v>488</v>
      </c>
      <c r="C210" s="234" t="s">
        <v>473</v>
      </c>
      <c r="D210" s="234">
        <v>2017</v>
      </c>
      <c r="E210" s="234">
        <v>3</v>
      </c>
      <c r="F210" s="234">
        <v>0</v>
      </c>
      <c r="H210" s="234" t="s">
        <v>351</v>
      </c>
      <c r="I210" s="234">
        <v>10</v>
      </c>
      <c r="J210" s="233">
        <f t="shared" si="65"/>
        <v>2027</v>
      </c>
      <c r="K210" s="237">
        <f t="shared" si="66"/>
        <v>2027.25</v>
      </c>
      <c r="L210" s="245">
        <v>2551.7399999999998</v>
      </c>
      <c r="M210" s="239">
        <f t="shared" si="67"/>
        <v>2551.7399999999998</v>
      </c>
      <c r="N210" s="239">
        <f t="shared" si="68"/>
        <v>21.264499999999998</v>
      </c>
      <c r="O210" s="239">
        <f t="shared" si="69"/>
        <v>255.17399999999998</v>
      </c>
      <c r="P210" s="261">
        <f t="shared" si="70"/>
        <v>255.17399999999998</v>
      </c>
      <c r="Q210" s="261">
        <f t="shared" si="71"/>
        <v>1275.8699999999999</v>
      </c>
      <c r="R210" s="261">
        <f t="shared" si="72"/>
        <v>1531.0439999999999</v>
      </c>
      <c r="S210" s="261">
        <f t="shared" si="73"/>
        <v>1020.6959999999999</v>
      </c>
    </row>
    <row r="211" spans="1:19" s="234" customFormat="1" x14ac:dyDescent="0.2">
      <c r="B211" s="257" t="s">
        <v>463</v>
      </c>
      <c r="C211" s="234" t="s">
        <v>467</v>
      </c>
      <c r="D211" s="234">
        <v>2017</v>
      </c>
      <c r="E211" s="234">
        <v>4</v>
      </c>
      <c r="F211" s="234">
        <v>0</v>
      </c>
      <c r="H211" s="234" t="s">
        <v>351</v>
      </c>
      <c r="I211" s="234">
        <v>10</v>
      </c>
      <c r="J211" s="233">
        <f t="shared" si="65"/>
        <v>2027</v>
      </c>
      <c r="K211" s="237">
        <f t="shared" si="66"/>
        <v>2027.3333333333333</v>
      </c>
      <c r="L211" s="245">
        <v>4065</v>
      </c>
      <c r="M211" s="239">
        <f t="shared" si="67"/>
        <v>4065</v>
      </c>
      <c r="N211" s="239">
        <f t="shared" si="68"/>
        <v>33.875</v>
      </c>
      <c r="O211" s="239">
        <f t="shared" si="69"/>
        <v>406.5</v>
      </c>
      <c r="P211" s="261">
        <f t="shared" si="70"/>
        <v>406.5</v>
      </c>
      <c r="Q211" s="261">
        <f t="shared" si="71"/>
        <v>2032.5</v>
      </c>
      <c r="R211" s="261">
        <f t="shared" si="72"/>
        <v>2439</v>
      </c>
      <c r="S211" s="261">
        <f t="shared" si="73"/>
        <v>1626</v>
      </c>
    </row>
    <row r="212" spans="1:19" s="234" customFormat="1" x14ac:dyDescent="0.2">
      <c r="B212" s="257" t="s">
        <v>489</v>
      </c>
      <c r="C212" s="234" t="s">
        <v>474</v>
      </c>
      <c r="D212" s="234">
        <v>2017</v>
      </c>
      <c r="E212" s="234">
        <v>4</v>
      </c>
      <c r="F212" s="234">
        <v>0</v>
      </c>
      <c r="H212" s="234" t="s">
        <v>351</v>
      </c>
      <c r="I212" s="234">
        <v>10</v>
      </c>
      <c r="J212" s="233">
        <f t="shared" si="65"/>
        <v>2027</v>
      </c>
      <c r="K212" s="237">
        <f t="shared" si="66"/>
        <v>2027.3333333333333</v>
      </c>
      <c r="L212" s="245">
        <v>3486.14</v>
      </c>
      <c r="M212" s="239">
        <f t="shared" si="67"/>
        <v>3486.14</v>
      </c>
      <c r="N212" s="239">
        <f t="shared" si="68"/>
        <v>29.051166666666663</v>
      </c>
      <c r="O212" s="239">
        <f t="shared" si="69"/>
        <v>348.61399999999998</v>
      </c>
      <c r="P212" s="261">
        <f t="shared" si="70"/>
        <v>348.61399999999998</v>
      </c>
      <c r="Q212" s="261">
        <f t="shared" si="71"/>
        <v>1743.07</v>
      </c>
      <c r="R212" s="261">
        <f t="shared" si="72"/>
        <v>2091.6839999999997</v>
      </c>
      <c r="S212" s="261">
        <f t="shared" si="73"/>
        <v>1394.4560000000001</v>
      </c>
    </row>
    <row r="213" spans="1:19" s="234" customFormat="1" x14ac:dyDescent="0.2">
      <c r="B213" s="257" t="s">
        <v>490</v>
      </c>
      <c r="C213" s="234" t="s">
        <v>475</v>
      </c>
      <c r="D213" s="234">
        <v>2017</v>
      </c>
      <c r="E213" s="234">
        <v>6</v>
      </c>
      <c r="F213" s="234">
        <v>0</v>
      </c>
      <c r="H213" s="234" t="s">
        <v>351</v>
      </c>
      <c r="I213" s="234">
        <v>10</v>
      </c>
      <c r="J213" s="233">
        <f t="shared" si="65"/>
        <v>2027</v>
      </c>
      <c r="K213" s="237">
        <f t="shared" si="66"/>
        <v>2027.5</v>
      </c>
      <c r="L213" s="245">
        <v>5001.3999999999996</v>
      </c>
      <c r="M213" s="239">
        <f t="shared" si="67"/>
        <v>5001.3999999999996</v>
      </c>
      <c r="N213" s="239">
        <f t="shared" si="68"/>
        <v>41.678333333333335</v>
      </c>
      <c r="O213" s="239">
        <f t="shared" si="69"/>
        <v>500.14</v>
      </c>
      <c r="P213" s="261">
        <f t="shared" si="70"/>
        <v>500.14</v>
      </c>
      <c r="Q213" s="261">
        <f t="shared" si="71"/>
        <v>2500.6999999999998</v>
      </c>
      <c r="R213" s="261">
        <f t="shared" si="72"/>
        <v>3000.8399999999997</v>
      </c>
      <c r="S213" s="261">
        <f t="shared" si="73"/>
        <v>2000.56</v>
      </c>
    </row>
    <row r="214" spans="1:19" s="234" customFormat="1" x14ac:dyDescent="0.2">
      <c r="B214" s="257" t="s">
        <v>491</v>
      </c>
      <c r="C214" s="234" t="s">
        <v>476</v>
      </c>
      <c r="D214" s="234">
        <v>2017</v>
      </c>
      <c r="E214" s="234">
        <v>6</v>
      </c>
      <c r="F214" s="234">
        <v>0</v>
      </c>
      <c r="H214" s="234" t="s">
        <v>351</v>
      </c>
      <c r="I214" s="234">
        <v>10</v>
      </c>
      <c r="J214" s="233">
        <f t="shared" si="65"/>
        <v>2027</v>
      </c>
      <c r="K214" s="237">
        <f t="shared" si="66"/>
        <v>2027.5</v>
      </c>
      <c r="L214" s="245">
        <v>4471.5</v>
      </c>
      <c r="M214" s="239">
        <f t="shared" si="67"/>
        <v>4471.5</v>
      </c>
      <c r="N214" s="239">
        <f t="shared" si="68"/>
        <v>37.262499999999996</v>
      </c>
      <c r="O214" s="239">
        <f t="shared" si="69"/>
        <v>447.15</v>
      </c>
      <c r="P214" s="261">
        <f t="shared" si="70"/>
        <v>447.15</v>
      </c>
      <c r="Q214" s="261">
        <f t="shared" si="71"/>
        <v>2235.75</v>
      </c>
      <c r="R214" s="261">
        <f t="shared" si="72"/>
        <v>2682.9</v>
      </c>
      <c r="S214" s="261">
        <f t="shared" si="73"/>
        <v>1788.6</v>
      </c>
    </row>
    <row r="215" spans="1:19" s="234" customFormat="1" x14ac:dyDescent="0.2">
      <c r="B215" s="257" t="s">
        <v>492</v>
      </c>
      <c r="C215" s="234" t="s">
        <v>477</v>
      </c>
      <c r="D215" s="234">
        <v>2017</v>
      </c>
      <c r="E215" s="234">
        <v>7</v>
      </c>
      <c r="F215" s="234">
        <v>0</v>
      </c>
      <c r="H215" s="234" t="s">
        <v>351</v>
      </c>
      <c r="I215" s="234">
        <v>10</v>
      </c>
      <c r="J215" s="233">
        <f t="shared" si="65"/>
        <v>2027</v>
      </c>
      <c r="K215" s="237">
        <f t="shared" si="66"/>
        <v>2027.5833333333333</v>
      </c>
      <c r="L215" s="245">
        <v>5205.54</v>
      </c>
      <c r="M215" s="239">
        <f t="shared" si="67"/>
        <v>5205.54</v>
      </c>
      <c r="N215" s="239">
        <f t="shared" si="68"/>
        <v>43.3795</v>
      </c>
      <c r="O215" s="239">
        <f t="shared" si="69"/>
        <v>520.55399999999997</v>
      </c>
      <c r="P215" s="261">
        <f t="shared" si="70"/>
        <v>520.55399999999997</v>
      </c>
      <c r="Q215" s="261">
        <f t="shared" si="71"/>
        <v>2602.77</v>
      </c>
      <c r="R215" s="261">
        <f t="shared" si="72"/>
        <v>3123.3240000000001</v>
      </c>
      <c r="S215" s="261">
        <f t="shared" si="73"/>
        <v>2082.2159999999999</v>
      </c>
    </row>
    <row r="216" spans="1:19" s="234" customFormat="1" x14ac:dyDescent="0.2">
      <c r="B216" s="257" t="s">
        <v>493</v>
      </c>
      <c r="C216" s="234" t="s">
        <v>478</v>
      </c>
      <c r="D216" s="234">
        <v>2017</v>
      </c>
      <c r="E216" s="234">
        <v>7</v>
      </c>
      <c r="F216" s="234">
        <v>0</v>
      </c>
      <c r="H216" s="234" t="s">
        <v>351</v>
      </c>
      <c r="I216" s="234">
        <v>10</v>
      </c>
      <c r="J216" s="233">
        <f t="shared" si="65"/>
        <v>2027</v>
      </c>
      <c r="K216" s="237">
        <f t="shared" si="66"/>
        <v>2027.5833333333333</v>
      </c>
      <c r="L216" s="245">
        <v>2926.8</v>
      </c>
      <c r="M216" s="239">
        <f t="shared" si="67"/>
        <v>2926.8</v>
      </c>
      <c r="N216" s="239">
        <f t="shared" si="68"/>
        <v>24.39</v>
      </c>
      <c r="O216" s="239">
        <f t="shared" si="69"/>
        <v>292.68</v>
      </c>
      <c r="P216" s="261">
        <f t="shared" si="70"/>
        <v>292.68</v>
      </c>
      <c r="Q216" s="261">
        <f t="shared" si="71"/>
        <v>1463.4</v>
      </c>
      <c r="R216" s="261">
        <f t="shared" si="72"/>
        <v>1756.0800000000002</v>
      </c>
      <c r="S216" s="261">
        <f t="shared" si="73"/>
        <v>1170.72</v>
      </c>
    </row>
    <row r="217" spans="1:19" s="234" customFormat="1" x14ac:dyDescent="0.2">
      <c r="B217" s="257" t="s">
        <v>494</v>
      </c>
      <c r="C217" s="234" t="s">
        <v>479</v>
      </c>
      <c r="D217" s="234">
        <v>2017</v>
      </c>
      <c r="E217" s="234">
        <v>8</v>
      </c>
      <c r="F217" s="234">
        <v>0</v>
      </c>
      <c r="H217" s="234" t="s">
        <v>351</v>
      </c>
      <c r="I217" s="234">
        <v>10</v>
      </c>
      <c r="J217" s="233">
        <f t="shared" si="65"/>
        <v>2027</v>
      </c>
      <c r="K217" s="237">
        <f t="shared" si="66"/>
        <v>2027.6666666666667</v>
      </c>
      <c r="L217" s="245">
        <v>2960.01</v>
      </c>
      <c r="M217" s="239">
        <f t="shared" si="67"/>
        <v>2960.01</v>
      </c>
      <c r="N217" s="239">
        <f t="shared" si="68"/>
        <v>24.666750000000004</v>
      </c>
      <c r="O217" s="239">
        <f t="shared" si="69"/>
        <v>296.00100000000003</v>
      </c>
      <c r="P217" s="261">
        <f t="shared" si="70"/>
        <v>296.00100000000003</v>
      </c>
      <c r="Q217" s="261">
        <f t="shared" si="71"/>
        <v>1480.0050000000001</v>
      </c>
      <c r="R217" s="261">
        <f t="shared" si="72"/>
        <v>1776.0060000000001</v>
      </c>
      <c r="S217" s="261">
        <f t="shared" si="73"/>
        <v>1184.0040000000001</v>
      </c>
    </row>
    <row r="218" spans="1:19" s="234" customFormat="1" x14ac:dyDescent="0.2">
      <c r="B218" s="257" t="s">
        <v>495</v>
      </c>
      <c r="C218" s="234" t="s">
        <v>480</v>
      </c>
      <c r="D218" s="234">
        <v>2017</v>
      </c>
      <c r="E218" s="234">
        <v>9</v>
      </c>
      <c r="F218" s="234">
        <v>0</v>
      </c>
      <c r="H218" s="234" t="s">
        <v>351</v>
      </c>
      <c r="I218" s="234">
        <v>10</v>
      </c>
      <c r="J218" s="233">
        <f t="shared" si="65"/>
        <v>2027</v>
      </c>
      <c r="K218" s="237">
        <f t="shared" si="66"/>
        <v>2027.75</v>
      </c>
      <c r="L218" s="245">
        <v>2551.7399999999998</v>
      </c>
      <c r="M218" s="239">
        <f t="shared" si="67"/>
        <v>2551.7399999999998</v>
      </c>
      <c r="N218" s="239">
        <f t="shared" si="68"/>
        <v>21.264499999999998</v>
      </c>
      <c r="O218" s="239">
        <f t="shared" si="69"/>
        <v>255.17399999999998</v>
      </c>
      <c r="P218" s="261">
        <f t="shared" si="70"/>
        <v>255.17399999999998</v>
      </c>
      <c r="Q218" s="261">
        <f t="shared" si="71"/>
        <v>1275.8699999999999</v>
      </c>
      <c r="R218" s="261">
        <f t="shared" si="72"/>
        <v>1531.0439999999999</v>
      </c>
      <c r="S218" s="261">
        <f t="shared" si="73"/>
        <v>1020.6959999999999</v>
      </c>
    </row>
    <row r="219" spans="1:19" s="234" customFormat="1" x14ac:dyDescent="0.2">
      <c r="B219" s="257" t="s">
        <v>496</v>
      </c>
      <c r="C219" s="234" t="s">
        <v>481</v>
      </c>
      <c r="D219" s="234">
        <v>2017</v>
      </c>
      <c r="E219" s="234">
        <v>10</v>
      </c>
      <c r="F219" s="234">
        <v>0</v>
      </c>
      <c r="H219" s="234" t="s">
        <v>351</v>
      </c>
      <c r="I219" s="234">
        <v>10</v>
      </c>
      <c r="J219" s="233">
        <f t="shared" si="65"/>
        <v>2027</v>
      </c>
      <c r="K219" s="237">
        <f t="shared" si="66"/>
        <v>2027.8333333333333</v>
      </c>
      <c r="L219" s="245">
        <v>7961.42</v>
      </c>
      <c r="M219" s="239">
        <f t="shared" si="67"/>
        <v>7961.42</v>
      </c>
      <c r="N219" s="239">
        <f t="shared" si="68"/>
        <v>66.345166666666671</v>
      </c>
      <c r="O219" s="239">
        <f t="shared" si="69"/>
        <v>796.14200000000005</v>
      </c>
      <c r="P219" s="261">
        <f t="shared" si="70"/>
        <v>796.14200000000005</v>
      </c>
      <c r="Q219" s="261">
        <f t="shared" si="71"/>
        <v>3980.71</v>
      </c>
      <c r="R219" s="261">
        <f t="shared" si="72"/>
        <v>4776.8519999999999</v>
      </c>
      <c r="S219" s="261">
        <f t="shared" si="73"/>
        <v>3184.5680000000002</v>
      </c>
    </row>
    <row r="220" spans="1:19" s="234" customFormat="1" x14ac:dyDescent="0.2">
      <c r="B220" s="257" t="s">
        <v>497</v>
      </c>
      <c r="C220" s="234" t="s">
        <v>482</v>
      </c>
      <c r="D220" s="234">
        <v>2017</v>
      </c>
      <c r="E220" s="234">
        <v>12</v>
      </c>
      <c r="F220" s="234">
        <v>0</v>
      </c>
      <c r="H220" s="234" t="s">
        <v>351</v>
      </c>
      <c r="I220" s="234">
        <v>10</v>
      </c>
      <c r="J220" s="233">
        <f t="shared" si="65"/>
        <v>2027</v>
      </c>
      <c r="K220" s="237">
        <f t="shared" si="66"/>
        <v>2028</v>
      </c>
      <c r="L220" s="245">
        <v>4697.51</v>
      </c>
      <c r="M220" s="239">
        <f t="shared" si="67"/>
        <v>4697.51</v>
      </c>
      <c r="N220" s="239">
        <f t="shared" si="68"/>
        <v>39.145916666666672</v>
      </c>
      <c r="O220" s="239">
        <f t="shared" si="69"/>
        <v>469.75100000000009</v>
      </c>
      <c r="P220" s="261">
        <f t="shared" si="70"/>
        <v>469.75100000000009</v>
      </c>
      <c r="Q220" s="261">
        <f t="shared" si="71"/>
        <v>2348.7550000000006</v>
      </c>
      <c r="R220" s="261">
        <f t="shared" si="72"/>
        <v>2818.5060000000008</v>
      </c>
      <c r="S220" s="261">
        <f t="shared" si="73"/>
        <v>1879.0039999999995</v>
      </c>
    </row>
    <row r="221" spans="1:19" x14ac:dyDescent="0.2">
      <c r="C221" s="73"/>
      <c r="D221" s="33"/>
      <c r="E221" s="33"/>
      <c r="I221" s="33"/>
      <c r="J221" s="60"/>
      <c r="L221" s="143"/>
      <c r="M221" s="143"/>
      <c r="N221" s="143"/>
      <c r="O221" s="143"/>
      <c r="P221" s="143"/>
      <c r="Q221" s="147"/>
      <c r="R221" s="147"/>
      <c r="S221" s="143"/>
    </row>
    <row r="222" spans="1:19" x14ac:dyDescent="0.2">
      <c r="A222" s="144"/>
      <c r="B222" s="144"/>
      <c r="C222" s="144" t="s">
        <v>744</v>
      </c>
      <c r="D222" s="136"/>
      <c r="E222" s="136"/>
      <c r="F222" s="145"/>
      <c r="G222" s="144"/>
      <c r="H222" s="136"/>
      <c r="I222" s="136"/>
      <c r="J222" s="146"/>
      <c r="K222" s="144"/>
      <c r="L222" s="107">
        <f t="shared" ref="L222:S222" si="74">SUM(L108:L221)</f>
        <v>547428.77000000014</v>
      </c>
      <c r="M222" s="107">
        <f t="shared" si="74"/>
        <v>547428.77000000014</v>
      </c>
      <c r="N222" s="107">
        <f t="shared" si="74"/>
        <v>5291.1638333333349</v>
      </c>
      <c r="O222" s="107">
        <f t="shared" si="74"/>
        <v>63493.966000000008</v>
      </c>
      <c r="P222" s="107">
        <f t="shared" si="74"/>
        <v>19738.521000000001</v>
      </c>
      <c r="Q222" s="107">
        <f t="shared" si="74"/>
        <v>476098.37900000007</v>
      </c>
      <c r="R222" s="107">
        <f t="shared" si="74"/>
        <v>495836.90000000014</v>
      </c>
      <c r="S222" s="107">
        <f t="shared" si="74"/>
        <v>51591.869999999995</v>
      </c>
    </row>
    <row r="223" spans="1:19" x14ac:dyDescent="0.2">
      <c r="D223" s="33"/>
      <c r="E223" s="33"/>
      <c r="I223" s="33"/>
      <c r="J223" s="62"/>
      <c r="L223" s="150"/>
      <c r="M223" s="150"/>
      <c r="N223" s="150"/>
      <c r="O223" s="150"/>
      <c r="P223" s="150"/>
      <c r="Q223" s="150"/>
      <c r="R223" s="150"/>
      <c r="S223" s="150"/>
    </row>
    <row r="224" spans="1:19" x14ac:dyDescent="0.2">
      <c r="C224" s="70" t="s">
        <v>368</v>
      </c>
      <c r="D224" s="33"/>
      <c r="E224" s="33"/>
      <c r="I224" s="33"/>
      <c r="J224" s="62"/>
      <c r="L224" s="150"/>
      <c r="M224" s="150"/>
      <c r="N224" s="150"/>
      <c r="O224" s="150"/>
      <c r="P224" s="150"/>
      <c r="Q224" s="150"/>
      <c r="R224" s="150"/>
      <c r="S224" s="150"/>
    </row>
    <row r="225" spans="1:19" x14ac:dyDescent="0.2">
      <c r="D225" s="33"/>
      <c r="E225" s="33"/>
      <c r="I225" s="33"/>
      <c r="J225" s="62"/>
      <c r="L225" s="150"/>
      <c r="M225" s="150"/>
      <c r="N225" s="150"/>
      <c r="O225" s="150"/>
      <c r="P225" s="150"/>
      <c r="Q225" s="150"/>
      <c r="R225" s="150"/>
      <c r="S225" s="150"/>
    </row>
    <row r="226" spans="1:19" x14ac:dyDescent="0.2">
      <c r="A226" s="144"/>
      <c r="B226" s="144"/>
      <c r="C226" s="144" t="s">
        <v>369</v>
      </c>
      <c r="D226" s="136"/>
      <c r="E226" s="136"/>
      <c r="F226" s="145"/>
      <c r="G226" s="144"/>
      <c r="H226" s="136"/>
      <c r="I226" s="136"/>
      <c r="J226" s="146"/>
      <c r="K226" s="144"/>
      <c r="L226" s="107">
        <f>SUM(L224:L225)</f>
        <v>0</v>
      </c>
      <c r="M226" s="107">
        <f t="shared" ref="M226:S226" si="75">SUM(M224:M225)</f>
        <v>0</v>
      </c>
      <c r="N226" s="107">
        <f t="shared" si="75"/>
        <v>0</v>
      </c>
      <c r="O226" s="107">
        <f t="shared" si="75"/>
        <v>0</v>
      </c>
      <c r="P226" s="107">
        <f t="shared" si="75"/>
        <v>0</v>
      </c>
      <c r="Q226" s="107">
        <f t="shared" si="75"/>
        <v>0</v>
      </c>
      <c r="R226" s="107">
        <f t="shared" si="75"/>
        <v>0</v>
      </c>
      <c r="S226" s="107">
        <f t="shared" si="75"/>
        <v>0</v>
      </c>
    </row>
    <row r="227" spans="1:19" x14ac:dyDescent="0.2">
      <c r="D227" s="33"/>
      <c r="E227" s="33"/>
      <c r="I227" s="33"/>
      <c r="J227" s="62"/>
      <c r="L227" s="150"/>
      <c r="M227" s="150"/>
      <c r="N227" s="150"/>
      <c r="O227" s="150"/>
      <c r="P227" s="150"/>
      <c r="Q227" s="150"/>
      <c r="R227" s="150"/>
      <c r="S227" s="150"/>
    </row>
    <row r="228" spans="1:19" x14ac:dyDescent="0.2">
      <c r="F228" s="95"/>
      <c r="H228" s="60"/>
      <c r="I228" s="82"/>
      <c r="J228" s="62"/>
      <c r="L228" s="93"/>
      <c r="M228" s="63"/>
      <c r="N228" s="63"/>
      <c r="O228" s="63"/>
      <c r="P228" s="63"/>
      <c r="Q228" s="63"/>
      <c r="R228" s="63"/>
      <c r="S228" s="63"/>
    </row>
    <row r="229" spans="1:19" x14ac:dyDescent="0.2">
      <c r="C229" s="70" t="s">
        <v>370</v>
      </c>
      <c r="F229" s="95"/>
      <c r="H229" s="60"/>
      <c r="I229" s="82"/>
      <c r="J229" s="62"/>
      <c r="L229" s="93"/>
      <c r="M229" s="63"/>
      <c r="N229" s="63"/>
      <c r="O229" s="63"/>
      <c r="P229" s="63"/>
      <c r="Q229" s="63"/>
      <c r="R229" s="63"/>
      <c r="S229" s="63"/>
    </row>
    <row r="230" spans="1:19" x14ac:dyDescent="0.2">
      <c r="B230" s="92"/>
      <c r="C230" s="134"/>
      <c r="F230" s="95"/>
      <c r="G230" s="63"/>
      <c r="H230" s="60"/>
      <c r="I230" s="82"/>
      <c r="J230" s="62"/>
      <c r="L230" s="93"/>
      <c r="M230" s="63"/>
      <c r="N230" s="63"/>
      <c r="O230" s="63"/>
      <c r="P230" s="63"/>
      <c r="Q230" s="63"/>
      <c r="R230" s="63"/>
      <c r="S230" s="63"/>
    </row>
    <row r="231" spans="1:19" x14ac:dyDescent="0.2">
      <c r="A231" s="144"/>
      <c r="B231" s="144"/>
      <c r="C231" s="144" t="s">
        <v>371</v>
      </c>
      <c r="D231" s="136"/>
      <c r="E231" s="136"/>
      <c r="F231" s="145"/>
      <c r="G231" s="144"/>
      <c r="H231" s="136"/>
      <c r="I231" s="136"/>
      <c r="J231" s="146"/>
      <c r="K231" s="144"/>
      <c r="L231" s="107">
        <f t="shared" ref="L231:S231" si="76">SUM(L230:L230)</f>
        <v>0</v>
      </c>
      <c r="M231" s="107">
        <f t="shared" si="76"/>
        <v>0</v>
      </c>
      <c r="N231" s="107">
        <f t="shared" si="76"/>
        <v>0</v>
      </c>
      <c r="O231" s="107">
        <f t="shared" si="76"/>
        <v>0</v>
      </c>
      <c r="P231" s="107">
        <f t="shared" si="76"/>
        <v>0</v>
      </c>
      <c r="Q231" s="107">
        <f t="shared" si="76"/>
        <v>0</v>
      </c>
      <c r="R231" s="107">
        <f t="shared" si="76"/>
        <v>0</v>
      </c>
      <c r="S231" s="107">
        <f t="shared" si="76"/>
        <v>0</v>
      </c>
    </row>
    <row r="232" spans="1:19" x14ac:dyDescent="0.2">
      <c r="L232" s="150"/>
      <c r="M232" s="150"/>
      <c r="N232" s="150"/>
      <c r="O232" s="150"/>
      <c r="P232" s="150"/>
      <c r="Q232" s="150"/>
      <c r="R232" s="150"/>
      <c r="S232" s="150"/>
    </row>
    <row r="233" spans="1:19" x14ac:dyDescent="0.2">
      <c r="C233" s="104" t="s">
        <v>747</v>
      </c>
      <c r="L233" s="150"/>
      <c r="M233" s="150"/>
      <c r="N233" s="150"/>
      <c r="O233" s="150"/>
      <c r="P233" s="150"/>
      <c r="Q233" s="150"/>
      <c r="R233" s="150"/>
      <c r="S233" s="150"/>
    </row>
    <row r="234" spans="1:19" x14ac:dyDescent="0.2">
      <c r="A234" s="234"/>
      <c r="B234" s="257">
        <v>39</v>
      </c>
      <c r="C234" s="234" t="s">
        <v>508</v>
      </c>
      <c r="D234" s="234">
        <v>2002</v>
      </c>
      <c r="E234" s="234">
        <v>8</v>
      </c>
      <c r="F234" s="234">
        <v>0</v>
      </c>
      <c r="G234" s="234"/>
      <c r="H234" s="234" t="s">
        <v>351</v>
      </c>
      <c r="I234" s="234">
        <v>8</v>
      </c>
      <c r="J234" s="233">
        <f>D234+I234</f>
        <v>2010</v>
      </c>
      <c r="K234" s="237">
        <f>+J234+(E234/12)</f>
        <v>2010.6666666666667</v>
      </c>
      <c r="L234" s="245">
        <v>3967.76</v>
      </c>
      <c r="M234" s="239">
        <f>L234-L234*F234</f>
        <v>3967.76</v>
      </c>
      <c r="N234" s="239">
        <f>M234/I234/12</f>
        <v>41.330833333333338</v>
      </c>
      <c r="O234" s="239">
        <f>+N234*12</f>
        <v>495.97</v>
      </c>
      <c r="P234" s="261">
        <f>+IF(K234&lt;=$M$5,0,IF(J234&gt;$M$4,O234,(N234*E234)))</f>
        <v>0</v>
      </c>
      <c r="Q234" s="261">
        <f>+IF(P234=0,M234,IF($M$3-D234&lt;1,0,(($M$3-D234)*O234)))</f>
        <v>3967.76</v>
      </c>
      <c r="R234" s="261">
        <f>+IF(P234=0,Q234,Q234+P234)</f>
        <v>3967.76</v>
      </c>
      <c r="S234" s="261">
        <f>+L234-R234</f>
        <v>0</v>
      </c>
    </row>
    <row r="235" spans="1:19" s="234" customFormat="1" x14ac:dyDescent="0.2">
      <c r="B235" s="257">
        <v>160</v>
      </c>
      <c r="C235" s="234" t="s">
        <v>509</v>
      </c>
      <c r="D235" s="234">
        <v>2009</v>
      </c>
      <c r="E235" s="234">
        <v>9</v>
      </c>
      <c r="F235" s="234">
        <v>0</v>
      </c>
      <c r="H235" s="234" t="s">
        <v>351</v>
      </c>
      <c r="I235" s="234">
        <v>8</v>
      </c>
      <c r="J235" s="233">
        <f>D235+I235</f>
        <v>2017</v>
      </c>
      <c r="K235" s="237">
        <f>+J235+(E235/12)</f>
        <v>2017.75</v>
      </c>
      <c r="L235" s="245">
        <v>3560.7</v>
      </c>
      <c r="M235" s="239">
        <f>L235-L235*F235</f>
        <v>3560.7</v>
      </c>
      <c r="N235" s="239">
        <f>M235/I235/12</f>
        <v>37.090624999999996</v>
      </c>
      <c r="O235" s="239">
        <f>+N235*12</f>
        <v>445.08749999999998</v>
      </c>
      <c r="P235" s="261">
        <f>+IF(K235&lt;=$M$5,0,IF(J235&gt;$M$4,O235,(N235*E235)))</f>
        <v>0</v>
      </c>
      <c r="Q235" s="261">
        <f>+IF(P235=0,M235,IF($M$3-D235&lt;1,0,(($M$3-D235)*O235)))</f>
        <v>3560.7</v>
      </c>
      <c r="R235" s="261">
        <f>+IF(P235=0,Q235,Q235+P235)</f>
        <v>3560.7</v>
      </c>
      <c r="S235" s="261">
        <f>+L235-R235</f>
        <v>0</v>
      </c>
    </row>
    <row r="236" spans="1:19" s="234" customFormat="1" x14ac:dyDescent="0.2">
      <c r="B236" s="257">
        <v>174</v>
      </c>
      <c r="C236" s="234" t="s">
        <v>510</v>
      </c>
      <c r="D236" s="234">
        <v>2010</v>
      </c>
      <c r="E236" s="234">
        <v>11</v>
      </c>
      <c r="F236" s="234">
        <v>0</v>
      </c>
      <c r="H236" s="234" t="s">
        <v>351</v>
      </c>
      <c r="I236" s="234">
        <v>8</v>
      </c>
      <c r="J236" s="233">
        <f>D236+I236</f>
        <v>2018</v>
      </c>
      <c r="K236" s="237">
        <f>+J236+(E236/12)</f>
        <v>2018.9166666666667</v>
      </c>
      <c r="L236" s="245">
        <v>2018.23</v>
      </c>
      <c r="M236" s="239">
        <f>L236-L236*F236</f>
        <v>2018.23</v>
      </c>
      <c r="N236" s="239">
        <f>M236/I236/12</f>
        <v>21.023229166666667</v>
      </c>
      <c r="O236" s="239">
        <f>+N236*12</f>
        <v>252.27875</v>
      </c>
      <c r="P236" s="261">
        <f>+IF(K236&lt;=$M$5,0,IF(J236&gt;$M$4,O236,(N236*E236)))</f>
        <v>0</v>
      </c>
      <c r="Q236" s="261">
        <f>+IF(P236=0,M236,IF($M$3-D236&lt;1,0,(($M$3-D236)*O236)))</f>
        <v>2018.23</v>
      </c>
      <c r="R236" s="261">
        <f>+IF(P236=0,Q236,Q236+P236)</f>
        <v>2018.23</v>
      </c>
      <c r="S236" s="261">
        <f>+L236-R236</f>
        <v>0</v>
      </c>
    </row>
    <row r="237" spans="1:19" x14ac:dyDescent="0.2">
      <c r="L237" s="67"/>
    </row>
    <row r="238" spans="1:19" x14ac:dyDescent="0.2">
      <c r="A238" s="138"/>
      <c r="B238" s="138"/>
      <c r="C238" s="144" t="s">
        <v>746</v>
      </c>
      <c r="D238" s="139"/>
      <c r="E238" s="139"/>
      <c r="F238" s="138"/>
      <c r="G238" s="138"/>
      <c r="H238" s="138"/>
      <c r="I238" s="139"/>
      <c r="J238" s="138"/>
      <c r="K238" s="138"/>
      <c r="L238" s="107">
        <f t="shared" ref="L238:S238" si="77">SUM(L232:L237)</f>
        <v>9546.69</v>
      </c>
      <c r="M238" s="107">
        <f t="shared" si="77"/>
        <v>9546.69</v>
      </c>
      <c r="N238" s="107">
        <f t="shared" si="77"/>
        <v>99.444687500000001</v>
      </c>
      <c r="O238" s="107">
        <f t="shared" si="77"/>
        <v>1193.3362500000001</v>
      </c>
      <c r="P238" s="107">
        <f t="shared" si="77"/>
        <v>0</v>
      </c>
      <c r="Q238" s="107">
        <f t="shared" si="77"/>
        <v>9546.69</v>
      </c>
      <c r="R238" s="107">
        <f t="shared" si="77"/>
        <v>9546.69</v>
      </c>
      <c r="S238" s="107">
        <f t="shared" si="77"/>
        <v>0</v>
      </c>
    </row>
    <row r="240" spans="1:19" ht="12.75" thickBot="1" x14ac:dyDescent="0.25">
      <c r="L240" s="151"/>
      <c r="M240" s="151"/>
      <c r="N240" s="151"/>
      <c r="O240" s="151"/>
      <c r="P240" s="151"/>
      <c r="Q240" s="151"/>
      <c r="R240" s="151"/>
      <c r="S240" s="151"/>
    </row>
    <row r="241" spans="1:19" ht="13.5" thickTop="1" thickBot="1" x14ac:dyDescent="0.25">
      <c r="D241" s="33"/>
      <c r="E241" s="33"/>
      <c r="I241" s="33"/>
      <c r="J241" s="62"/>
      <c r="L241" s="264">
        <f t="shared" ref="L241:S241" si="78">+L222+L105+L66+L226+L231+L238</f>
        <v>914534.75</v>
      </c>
      <c r="M241" s="151">
        <f t="shared" si="78"/>
        <v>914534.75</v>
      </c>
      <c r="N241" s="151">
        <f t="shared" si="78"/>
        <v>8615.1196458333325</v>
      </c>
      <c r="O241" s="151">
        <f t="shared" si="78"/>
        <v>103381.43575</v>
      </c>
      <c r="P241" s="151">
        <f t="shared" si="78"/>
        <v>43741.632000000005</v>
      </c>
      <c r="Q241" s="151">
        <f t="shared" si="78"/>
        <v>711709.16599999997</v>
      </c>
      <c r="R241" s="151">
        <f t="shared" si="78"/>
        <v>755450.79800000007</v>
      </c>
      <c r="S241" s="151">
        <f t="shared" si="78"/>
        <v>159083.95200000002</v>
      </c>
    </row>
    <row r="242" spans="1:19" ht="12.75" thickTop="1" x14ac:dyDescent="0.2"/>
    <row r="243" spans="1:19" x14ac:dyDescent="0.2">
      <c r="A243" s="60"/>
      <c r="B243" s="92"/>
      <c r="D243" s="152"/>
      <c r="E243" s="152"/>
      <c r="F243" s="95"/>
      <c r="G243" s="63"/>
      <c r="H243" s="60"/>
      <c r="J243" s="62"/>
      <c r="L243" s="53"/>
      <c r="M243" s="63"/>
      <c r="N243" s="63"/>
      <c r="O243" s="63"/>
      <c r="P243" s="63"/>
      <c r="Q243" s="63"/>
      <c r="R243" s="63"/>
      <c r="S243" s="63"/>
    </row>
    <row r="244" spans="1:19" x14ac:dyDescent="0.2">
      <c r="A244" s="60"/>
      <c r="B244" s="92"/>
      <c r="D244" s="82"/>
      <c r="E244" s="82"/>
      <c r="F244" s="95"/>
      <c r="G244" s="63"/>
      <c r="H244" s="60"/>
      <c r="I244" s="82"/>
      <c r="J244" s="62"/>
      <c r="L244" s="93"/>
      <c r="M244" s="63"/>
      <c r="N244" s="63"/>
      <c r="O244" s="63"/>
      <c r="P244" s="63"/>
      <c r="Q244" s="63"/>
      <c r="R244" s="63"/>
      <c r="S244" s="63"/>
    </row>
    <row r="245" spans="1:19" x14ac:dyDescent="0.2">
      <c r="A245" s="60"/>
      <c r="B245" s="92"/>
      <c r="D245" s="82"/>
      <c r="E245" s="82"/>
      <c r="F245" s="95"/>
      <c r="G245" s="63"/>
      <c r="H245" s="60"/>
      <c r="I245" s="82"/>
      <c r="J245" s="62"/>
      <c r="L245" s="93"/>
      <c r="M245" s="63"/>
      <c r="N245" s="63"/>
      <c r="O245" s="63"/>
      <c r="P245" s="63"/>
      <c r="Q245" s="63"/>
      <c r="R245" s="63"/>
      <c r="S245" s="63"/>
    </row>
    <row r="246" spans="1:19" x14ac:dyDescent="0.2">
      <c r="A246" s="60"/>
      <c r="B246" s="92"/>
      <c r="F246" s="95"/>
      <c r="G246" s="63"/>
      <c r="H246" s="60"/>
      <c r="I246" s="82"/>
      <c r="J246" s="62"/>
      <c r="L246" s="93"/>
      <c r="M246" s="63"/>
      <c r="N246" s="63"/>
      <c r="O246" s="63"/>
      <c r="P246" s="63"/>
      <c r="Q246" s="63"/>
      <c r="R246" s="63"/>
      <c r="S246" s="63"/>
    </row>
    <row r="247" spans="1:19" x14ac:dyDescent="0.2">
      <c r="A247" s="60"/>
      <c r="B247" s="92"/>
      <c r="F247" s="95"/>
      <c r="G247" s="63"/>
      <c r="H247" s="60"/>
      <c r="I247" s="82"/>
      <c r="J247" s="62"/>
      <c r="L247" s="93"/>
      <c r="M247" s="63"/>
      <c r="N247" s="63"/>
      <c r="O247" s="63"/>
      <c r="P247" s="63"/>
      <c r="Q247" s="63"/>
      <c r="R247" s="63"/>
      <c r="S247" s="63"/>
    </row>
    <row r="248" spans="1:19" x14ac:dyDescent="0.2">
      <c r="A248" s="60"/>
      <c r="B248" s="92"/>
      <c r="F248" s="95"/>
      <c r="G248" s="63"/>
      <c r="H248" s="60"/>
      <c r="I248" s="82"/>
      <c r="J248" s="62"/>
      <c r="L248" s="93"/>
      <c r="M248" s="63"/>
      <c r="N248" s="63"/>
      <c r="O248" s="63"/>
      <c r="P248" s="63"/>
      <c r="Q248" s="63"/>
      <c r="R248" s="63"/>
      <c r="S248" s="63"/>
    </row>
    <row r="249" spans="1:19" x14ac:dyDescent="0.2">
      <c r="A249" s="60"/>
      <c r="B249" s="92"/>
      <c r="F249" s="95"/>
      <c r="G249" s="63"/>
      <c r="H249" s="60"/>
      <c r="I249" s="82"/>
      <c r="J249" s="62"/>
      <c r="L249" s="93"/>
      <c r="M249" s="63"/>
      <c r="N249" s="63"/>
      <c r="O249" s="63"/>
      <c r="P249" s="63"/>
      <c r="Q249" s="63"/>
      <c r="R249" s="63"/>
      <c r="S249" s="63"/>
    </row>
    <row r="250" spans="1:19" x14ac:dyDescent="0.2">
      <c r="A250" s="60"/>
      <c r="B250" s="92"/>
      <c r="F250" s="95"/>
      <c r="G250" s="63"/>
      <c r="H250" s="60"/>
      <c r="I250" s="82"/>
      <c r="J250" s="62"/>
      <c r="L250" s="103"/>
      <c r="M250" s="63"/>
      <c r="N250" s="63"/>
      <c r="O250" s="63"/>
      <c r="P250" s="63"/>
      <c r="Q250" s="63"/>
      <c r="R250" s="63"/>
      <c r="S250" s="63"/>
    </row>
    <row r="251" spans="1:19" x14ac:dyDescent="0.2">
      <c r="A251" s="60"/>
      <c r="B251" s="92"/>
      <c r="F251" s="95"/>
      <c r="G251" s="63"/>
      <c r="H251" s="60"/>
      <c r="I251" s="82"/>
      <c r="J251" s="62"/>
      <c r="L251" s="103"/>
      <c r="M251" s="63"/>
      <c r="N251" s="63"/>
      <c r="O251" s="63"/>
      <c r="P251" s="63"/>
      <c r="Q251" s="63"/>
      <c r="R251" s="63"/>
      <c r="S251" s="63"/>
    </row>
    <row r="252" spans="1:19" x14ac:dyDescent="0.2">
      <c r="A252" s="60"/>
      <c r="B252" s="92"/>
      <c r="F252" s="95"/>
      <c r="G252" s="63"/>
      <c r="H252" s="60"/>
      <c r="I252" s="82"/>
      <c r="J252" s="62"/>
      <c r="L252" s="93"/>
      <c r="M252" s="63"/>
      <c r="N252" s="63"/>
      <c r="O252" s="63"/>
      <c r="P252" s="63"/>
      <c r="Q252" s="63"/>
      <c r="R252" s="63"/>
      <c r="S252" s="63"/>
    </row>
    <row r="253" spans="1:19" x14ac:dyDescent="0.2">
      <c r="A253" s="60"/>
      <c r="B253" s="92"/>
      <c r="F253" s="95"/>
      <c r="G253" s="63"/>
      <c r="H253" s="60"/>
      <c r="I253" s="82"/>
      <c r="J253" s="62"/>
      <c r="L253" s="93"/>
      <c r="M253" s="63"/>
      <c r="N253" s="63"/>
      <c r="O253" s="63"/>
      <c r="P253" s="63"/>
      <c r="Q253" s="63"/>
      <c r="R253" s="63"/>
      <c r="S253" s="63"/>
    </row>
    <row r="254" spans="1:19" ht="12" customHeight="1" x14ac:dyDescent="0.2">
      <c r="A254" s="60"/>
      <c r="B254" s="92"/>
      <c r="F254" s="95"/>
      <c r="G254" s="63"/>
      <c r="H254" s="60"/>
      <c r="I254" s="82"/>
      <c r="J254" s="62"/>
      <c r="L254" s="93"/>
      <c r="M254" s="63"/>
      <c r="N254" s="63"/>
      <c r="O254" s="63"/>
      <c r="P254" s="63"/>
      <c r="Q254" s="63"/>
      <c r="R254" s="63"/>
      <c r="S254" s="63"/>
    </row>
    <row r="256" spans="1:19" x14ac:dyDescent="0.2">
      <c r="A256" s="60"/>
      <c r="F256" s="95"/>
      <c r="H256" s="60"/>
      <c r="I256" s="82"/>
      <c r="J256" s="62"/>
      <c r="L256" s="93"/>
      <c r="M256" s="63"/>
      <c r="N256" s="63"/>
      <c r="O256" s="63"/>
      <c r="P256" s="63"/>
      <c r="Q256" s="63"/>
      <c r="R256" s="63"/>
      <c r="S256" s="63"/>
    </row>
    <row r="257" spans="1:19" x14ac:dyDescent="0.2">
      <c r="A257" s="60"/>
      <c r="F257" s="95"/>
      <c r="H257" s="60"/>
      <c r="I257" s="82"/>
      <c r="J257" s="62"/>
      <c r="L257" s="93"/>
      <c r="M257" s="63"/>
      <c r="N257" s="63"/>
      <c r="O257" s="63"/>
      <c r="P257" s="63"/>
      <c r="Q257" s="63"/>
      <c r="R257" s="63"/>
      <c r="S257" s="63"/>
    </row>
    <row r="258" spans="1:19" x14ac:dyDescent="0.2">
      <c r="F258" s="95"/>
      <c r="H258" s="60"/>
      <c r="I258" s="82"/>
      <c r="J258" s="62"/>
      <c r="L258" s="93"/>
      <c r="M258" s="63"/>
      <c r="N258" s="63"/>
      <c r="O258" s="63"/>
      <c r="P258" s="63"/>
      <c r="Q258" s="63"/>
      <c r="R258" s="63"/>
      <c r="S258" s="63"/>
    </row>
  </sheetData>
  <sortState xmlns:xlrd2="http://schemas.microsoft.com/office/spreadsheetml/2017/richdata2" ref="A115:WWA241">
    <sortCondition ref="D115:D241"/>
    <sortCondition ref="E115:E241"/>
  </sortState>
  <mergeCells count="1">
    <mergeCell ref="D9:E10"/>
  </mergeCells>
  <pageMargins left="0.75" right="0.75" top="1" bottom="1" header="0.5" footer="0.5"/>
  <pageSetup scale="44" pageOrder="overThenDown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0"/>
  <sheetViews>
    <sheetView showGridLines="0" view="pageBreakPreview" zoomScale="80" zoomScaleNormal="100" zoomScaleSheetLayoutView="80" workbookViewId="0">
      <pane ySplit="11" topLeftCell="A12" activePane="bottomLeft" state="frozen"/>
      <selection activeCell="M65" sqref="M65"/>
      <selection pane="bottomLeft" activeCell="Z36" sqref="Z36"/>
    </sheetView>
  </sheetViews>
  <sheetFormatPr defaultColWidth="13.33203125" defaultRowHeight="12.75" outlineLevelRow="1" x14ac:dyDescent="0.2"/>
  <cols>
    <col min="1" max="1" width="4.5" customWidth="1"/>
    <col min="2" max="2" width="6.83203125" customWidth="1"/>
    <col min="3" max="3" width="15.83203125" bestFit="1" customWidth="1"/>
    <col min="4" max="4" width="44.5" customWidth="1"/>
    <col min="5" max="5" width="9.33203125" customWidth="1"/>
    <col min="6" max="6" width="6.6640625" customWidth="1"/>
    <col min="7" max="7" width="8" customWidth="1"/>
    <col min="8" max="8" width="8.6640625" customWidth="1"/>
    <col min="9" max="9" width="7.5" customWidth="1"/>
    <col min="10" max="10" width="10.6640625" bestFit="1" customWidth="1"/>
    <col min="11" max="11" width="14.1640625" bestFit="1" customWidth="1"/>
    <col min="12" max="13" width="14.83203125" bestFit="1" customWidth="1"/>
    <col min="14" max="14" width="11.6640625" customWidth="1"/>
    <col min="15" max="16" width="13.83203125" bestFit="1" customWidth="1"/>
    <col min="17" max="17" width="14.6640625" bestFit="1" customWidth="1"/>
    <col min="18" max="18" width="14.83203125" bestFit="1" customWidth="1"/>
    <col min="19" max="19" width="15.5" bestFit="1" customWidth="1"/>
    <col min="257" max="257" width="4.5" customWidth="1"/>
    <col min="258" max="258" width="6.83203125" customWidth="1"/>
    <col min="259" max="259" width="10.33203125" customWidth="1"/>
    <col min="260" max="260" width="44.5" customWidth="1"/>
    <col min="261" max="261" width="9.33203125" customWidth="1"/>
    <col min="262" max="262" width="6.6640625" customWidth="1"/>
    <col min="263" max="263" width="8" customWidth="1"/>
    <col min="264" max="264" width="8.6640625" customWidth="1"/>
    <col min="265" max="265" width="7.5" customWidth="1"/>
    <col min="266" max="267" width="10.6640625" bestFit="1" customWidth="1"/>
    <col min="268" max="269" width="14.83203125" bestFit="1" customWidth="1"/>
    <col min="270" max="270" width="11.6640625" customWidth="1"/>
    <col min="271" max="272" width="13.83203125" bestFit="1" customWidth="1"/>
    <col min="273" max="273" width="14.6640625" bestFit="1" customWidth="1"/>
    <col min="274" max="274" width="14.83203125" bestFit="1" customWidth="1"/>
    <col min="275" max="275" width="15.5" bestFit="1" customWidth="1"/>
    <col min="513" max="513" width="4.5" customWidth="1"/>
    <col min="514" max="514" width="6.83203125" customWidth="1"/>
    <col min="515" max="515" width="10.33203125" customWidth="1"/>
    <col min="516" max="516" width="44.5" customWidth="1"/>
    <col min="517" max="517" width="9.33203125" customWidth="1"/>
    <col min="518" max="518" width="6.6640625" customWidth="1"/>
    <col min="519" max="519" width="8" customWidth="1"/>
    <col min="520" max="520" width="8.6640625" customWidth="1"/>
    <col min="521" max="521" width="7.5" customWidth="1"/>
    <col min="522" max="523" width="10.6640625" bestFit="1" customWidth="1"/>
    <col min="524" max="525" width="14.83203125" bestFit="1" customWidth="1"/>
    <col min="526" max="526" width="11.6640625" customWidth="1"/>
    <col min="527" max="528" width="13.83203125" bestFit="1" customWidth="1"/>
    <col min="529" max="529" width="14.6640625" bestFit="1" customWidth="1"/>
    <col min="530" max="530" width="14.83203125" bestFit="1" customWidth="1"/>
    <col min="531" max="531" width="15.5" bestFit="1" customWidth="1"/>
    <col min="769" max="769" width="4.5" customWidth="1"/>
    <col min="770" max="770" width="6.83203125" customWidth="1"/>
    <col min="771" max="771" width="10.33203125" customWidth="1"/>
    <col min="772" max="772" width="44.5" customWidth="1"/>
    <col min="773" max="773" width="9.33203125" customWidth="1"/>
    <col min="774" max="774" width="6.6640625" customWidth="1"/>
    <col min="775" max="775" width="8" customWidth="1"/>
    <col min="776" max="776" width="8.6640625" customWidth="1"/>
    <col min="777" max="777" width="7.5" customWidth="1"/>
    <col min="778" max="779" width="10.6640625" bestFit="1" customWidth="1"/>
    <col min="780" max="781" width="14.83203125" bestFit="1" customWidth="1"/>
    <col min="782" max="782" width="11.6640625" customWidth="1"/>
    <col min="783" max="784" width="13.83203125" bestFit="1" customWidth="1"/>
    <col min="785" max="785" width="14.6640625" bestFit="1" customWidth="1"/>
    <col min="786" max="786" width="14.83203125" bestFit="1" customWidth="1"/>
    <col min="787" max="787" width="15.5" bestFit="1" customWidth="1"/>
    <col min="1025" max="1025" width="4.5" customWidth="1"/>
    <col min="1026" max="1026" width="6.83203125" customWidth="1"/>
    <col min="1027" max="1027" width="10.33203125" customWidth="1"/>
    <col min="1028" max="1028" width="44.5" customWidth="1"/>
    <col min="1029" max="1029" width="9.33203125" customWidth="1"/>
    <col min="1030" max="1030" width="6.6640625" customWidth="1"/>
    <col min="1031" max="1031" width="8" customWidth="1"/>
    <col min="1032" max="1032" width="8.6640625" customWidth="1"/>
    <col min="1033" max="1033" width="7.5" customWidth="1"/>
    <col min="1034" max="1035" width="10.6640625" bestFit="1" customWidth="1"/>
    <col min="1036" max="1037" width="14.83203125" bestFit="1" customWidth="1"/>
    <col min="1038" max="1038" width="11.6640625" customWidth="1"/>
    <col min="1039" max="1040" width="13.83203125" bestFit="1" customWidth="1"/>
    <col min="1041" max="1041" width="14.6640625" bestFit="1" customWidth="1"/>
    <col min="1042" max="1042" width="14.83203125" bestFit="1" customWidth="1"/>
    <col min="1043" max="1043" width="15.5" bestFit="1" customWidth="1"/>
    <col min="1281" max="1281" width="4.5" customWidth="1"/>
    <col min="1282" max="1282" width="6.83203125" customWidth="1"/>
    <col min="1283" max="1283" width="10.33203125" customWidth="1"/>
    <col min="1284" max="1284" width="44.5" customWidth="1"/>
    <col min="1285" max="1285" width="9.33203125" customWidth="1"/>
    <col min="1286" max="1286" width="6.6640625" customWidth="1"/>
    <col min="1287" max="1287" width="8" customWidth="1"/>
    <col min="1288" max="1288" width="8.6640625" customWidth="1"/>
    <col min="1289" max="1289" width="7.5" customWidth="1"/>
    <col min="1290" max="1291" width="10.6640625" bestFit="1" customWidth="1"/>
    <col min="1292" max="1293" width="14.83203125" bestFit="1" customWidth="1"/>
    <col min="1294" max="1294" width="11.6640625" customWidth="1"/>
    <col min="1295" max="1296" width="13.83203125" bestFit="1" customWidth="1"/>
    <col min="1297" max="1297" width="14.6640625" bestFit="1" customWidth="1"/>
    <col min="1298" max="1298" width="14.83203125" bestFit="1" customWidth="1"/>
    <col min="1299" max="1299" width="15.5" bestFit="1" customWidth="1"/>
    <col min="1537" max="1537" width="4.5" customWidth="1"/>
    <col min="1538" max="1538" width="6.83203125" customWidth="1"/>
    <col min="1539" max="1539" width="10.33203125" customWidth="1"/>
    <col min="1540" max="1540" width="44.5" customWidth="1"/>
    <col min="1541" max="1541" width="9.33203125" customWidth="1"/>
    <col min="1542" max="1542" width="6.6640625" customWidth="1"/>
    <col min="1543" max="1543" width="8" customWidth="1"/>
    <col min="1544" max="1544" width="8.6640625" customWidth="1"/>
    <col min="1545" max="1545" width="7.5" customWidth="1"/>
    <col min="1546" max="1547" width="10.6640625" bestFit="1" customWidth="1"/>
    <col min="1548" max="1549" width="14.83203125" bestFit="1" customWidth="1"/>
    <col min="1550" max="1550" width="11.6640625" customWidth="1"/>
    <col min="1551" max="1552" width="13.83203125" bestFit="1" customWidth="1"/>
    <col min="1553" max="1553" width="14.6640625" bestFit="1" customWidth="1"/>
    <col min="1554" max="1554" width="14.83203125" bestFit="1" customWidth="1"/>
    <col min="1555" max="1555" width="15.5" bestFit="1" customWidth="1"/>
    <col min="1793" max="1793" width="4.5" customWidth="1"/>
    <col min="1794" max="1794" width="6.83203125" customWidth="1"/>
    <col min="1795" max="1795" width="10.33203125" customWidth="1"/>
    <col min="1796" max="1796" width="44.5" customWidth="1"/>
    <col min="1797" max="1797" width="9.33203125" customWidth="1"/>
    <col min="1798" max="1798" width="6.6640625" customWidth="1"/>
    <col min="1799" max="1799" width="8" customWidth="1"/>
    <col min="1800" max="1800" width="8.6640625" customWidth="1"/>
    <col min="1801" max="1801" width="7.5" customWidth="1"/>
    <col min="1802" max="1803" width="10.6640625" bestFit="1" customWidth="1"/>
    <col min="1804" max="1805" width="14.83203125" bestFit="1" customWidth="1"/>
    <col min="1806" max="1806" width="11.6640625" customWidth="1"/>
    <col min="1807" max="1808" width="13.83203125" bestFit="1" customWidth="1"/>
    <col min="1809" max="1809" width="14.6640625" bestFit="1" customWidth="1"/>
    <col min="1810" max="1810" width="14.83203125" bestFit="1" customWidth="1"/>
    <col min="1811" max="1811" width="15.5" bestFit="1" customWidth="1"/>
    <col min="2049" max="2049" width="4.5" customWidth="1"/>
    <col min="2050" max="2050" width="6.83203125" customWidth="1"/>
    <col min="2051" max="2051" width="10.33203125" customWidth="1"/>
    <col min="2052" max="2052" width="44.5" customWidth="1"/>
    <col min="2053" max="2053" width="9.33203125" customWidth="1"/>
    <col min="2054" max="2054" width="6.6640625" customWidth="1"/>
    <col min="2055" max="2055" width="8" customWidth="1"/>
    <col min="2056" max="2056" width="8.6640625" customWidth="1"/>
    <col min="2057" max="2057" width="7.5" customWidth="1"/>
    <col min="2058" max="2059" width="10.6640625" bestFit="1" customWidth="1"/>
    <col min="2060" max="2061" width="14.83203125" bestFit="1" customWidth="1"/>
    <col min="2062" max="2062" width="11.6640625" customWidth="1"/>
    <col min="2063" max="2064" width="13.83203125" bestFit="1" customWidth="1"/>
    <col min="2065" max="2065" width="14.6640625" bestFit="1" customWidth="1"/>
    <col min="2066" max="2066" width="14.83203125" bestFit="1" customWidth="1"/>
    <col min="2067" max="2067" width="15.5" bestFit="1" customWidth="1"/>
    <col min="2305" max="2305" width="4.5" customWidth="1"/>
    <col min="2306" max="2306" width="6.83203125" customWidth="1"/>
    <col min="2307" max="2307" width="10.33203125" customWidth="1"/>
    <col min="2308" max="2308" width="44.5" customWidth="1"/>
    <col min="2309" max="2309" width="9.33203125" customWidth="1"/>
    <col min="2310" max="2310" width="6.6640625" customWidth="1"/>
    <col min="2311" max="2311" width="8" customWidth="1"/>
    <col min="2312" max="2312" width="8.6640625" customWidth="1"/>
    <col min="2313" max="2313" width="7.5" customWidth="1"/>
    <col min="2314" max="2315" width="10.6640625" bestFit="1" customWidth="1"/>
    <col min="2316" max="2317" width="14.83203125" bestFit="1" customWidth="1"/>
    <col min="2318" max="2318" width="11.6640625" customWidth="1"/>
    <col min="2319" max="2320" width="13.83203125" bestFit="1" customWidth="1"/>
    <col min="2321" max="2321" width="14.6640625" bestFit="1" customWidth="1"/>
    <col min="2322" max="2322" width="14.83203125" bestFit="1" customWidth="1"/>
    <col min="2323" max="2323" width="15.5" bestFit="1" customWidth="1"/>
    <col min="2561" max="2561" width="4.5" customWidth="1"/>
    <col min="2562" max="2562" width="6.83203125" customWidth="1"/>
    <col min="2563" max="2563" width="10.33203125" customWidth="1"/>
    <col min="2564" max="2564" width="44.5" customWidth="1"/>
    <col min="2565" max="2565" width="9.33203125" customWidth="1"/>
    <col min="2566" max="2566" width="6.6640625" customWidth="1"/>
    <col min="2567" max="2567" width="8" customWidth="1"/>
    <col min="2568" max="2568" width="8.6640625" customWidth="1"/>
    <col min="2569" max="2569" width="7.5" customWidth="1"/>
    <col min="2570" max="2571" width="10.6640625" bestFit="1" customWidth="1"/>
    <col min="2572" max="2573" width="14.83203125" bestFit="1" customWidth="1"/>
    <col min="2574" max="2574" width="11.6640625" customWidth="1"/>
    <col min="2575" max="2576" width="13.83203125" bestFit="1" customWidth="1"/>
    <col min="2577" max="2577" width="14.6640625" bestFit="1" customWidth="1"/>
    <col min="2578" max="2578" width="14.83203125" bestFit="1" customWidth="1"/>
    <col min="2579" max="2579" width="15.5" bestFit="1" customWidth="1"/>
    <col min="2817" max="2817" width="4.5" customWidth="1"/>
    <col min="2818" max="2818" width="6.83203125" customWidth="1"/>
    <col min="2819" max="2819" width="10.33203125" customWidth="1"/>
    <col min="2820" max="2820" width="44.5" customWidth="1"/>
    <col min="2821" max="2821" width="9.33203125" customWidth="1"/>
    <col min="2822" max="2822" width="6.6640625" customWidth="1"/>
    <col min="2823" max="2823" width="8" customWidth="1"/>
    <col min="2824" max="2824" width="8.6640625" customWidth="1"/>
    <col min="2825" max="2825" width="7.5" customWidth="1"/>
    <col min="2826" max="2827" width="10.6640625" bestFit="1" customWidth="1"/>
    <col min="2828" max="2829" width="14.83203125" bestFit="1" customWidth="1"/>
    <col min="2830" max="2830" width="11.6640625" customWidth="1"/>
    <col min="2831" max="2832" width="13.83203125" bestFit="1" customWidth="1"/>
    <col min="2833" max="2833" width="14.6640625" bestFit="1" customWidth="1"/>
    <col min="2834" max="2834" width="14.83203125" bestFit="1" customWidth="1"/>
    <col min="2835" max="2835" width="15.5" bestFit="1" customWidth="1"/>
    <col min="3073" max="3073" width="4.5" customWidth="1"/>
    <col min="3074" max="3074" width="6.83203125" customWidth="1"/>
    <col min="3075" max="3075" width="10.33203125" customWidth="1"/>
    <col min="3076" max="3076" width="44.5" customWidth="1"/>
    <col min="3077" max="3077" width="9.33203125" customWidth="1"/>
    <col min="3078" max="3078" width="6.6640625" customWidth="1"/>
    <col min="3079" max="3079" width="8" customWidth="1"/>
    <col min="3080" max="3080" width="8.6640625" customWidth="1"/>
    <col min="3081" max="3081" width="7.5" customWidth="1"/>
    <col min="3082" max="3083" width="10.6640625" bestFit="1" customWidth="1"/>
    <col min="3084" max="3085" width="14.83203125" bestFit="1" customWidth="1"/>
    <col min="3086" max="3086" width="11.6640625" customWidth="1"/>
    <col min="3087" max="3088" width="13.83203125" bestFit="1" customWidth="1"/>
    <col min="3089" max="3089" width="14.6640625" bestFit="1" customWidth="1"/>
    <col min="3090" max="3090" width="14.83203125" bestFit="1" customWidth="1"/>
    <col min="3091" max="3091" width="15.5" bestFit="1" customWidth="1"/>
    <col min="3329" max="3329" width="4.5" customWidth="1"/>
    <col min="3330" max="3330" width="6.83203125" customWidth="1"/>
    <col min="3331" max="3331" width="10.33203125" customWidth="1"/>
    <col min="3332" max="3332" width="44.5" customWidth="1"/>
    <col min="3333" max="3333" width="9.33203125" customWidth="1"/>
    <col min="3334" max="3334" width="6.6640625" customWidth="1"/>
    <col min="3335" max="3335" width="8" customWidth="1"/>
    <col min="3336" max="3336" width="8.6640625" customWidth="1"/>
    <col min="3337" max="3337" width="7.5" customWidth="1"/>
    <col min="3338" max="3339" width="10.6640625" bestFit="1" customWidth="1"/>
    <col min="3340" max="3341" width="14.83203125" bestFit="1" customWidth="1"/>
    <col min="3342" max="3342" width="11.6640625" customWidth="1"/>
    <col min="3343" max="3344" width="13.83203125" bestFit="1" customWidth="1"/>
    <col min="3345" max="3345" width="14.6640625" bestFit="1" customWidth="1"/>
    <col min="3346" max="3346" width="14.83203125" bestFit="1" customWidth="1"/>
    <col min="3347" max="3347" width="15.5" bestFit="1" customWidth="1"/>
    <col min="3585" max="3585" width="4.5" customWidth="1"/>
    <col min="3586" max="3586" width="6.83203125" customWidth="1"/>
    <col min="3587" max="3587" width="10.33203125" customWidth="1"/>
    <col min="3588" max="3588" width="44.5" customWidth="1"/>
    <col min="3589" max="3589" width="9.33203125" customWidth="1"/>
    <col min="3590" max="3590" width="6.6640625" customWidth="1"/>
    <col min="3591" max="3591" width="8" customWidth="1"/>
    <col min="3592" max="3592" width="8.6640625" customWidth="1"/>
    <col min="3593" max="3593" width="7.5" customWidth="1"/>
    <col min="3594" max="3595" width="10.6640625" bestFit="1" customWidth="1"/>
    <col min="3596" max="3597" width="14.83203125" bestFit="1" customWidth="1"/>
    <col min="3598" max="3598" width="11.6640625" customWidth="1"/>
    <col min="3599" max="3600" width="13.83203125" bestFit="1" customWidth="1"/>
    <col min="3601" max="3601" width="14.6640625" bestFit="1" customWidth="1"/>
    <col min="3602" max="3602" width="14.83203125" bestFit="1" customWidth="1"/>
    <col min="3603" max="3603" width="15.5" bestFit="1" customWidth="1"/>
    <col min="3841" max="3841" width="4.5" customWidth="1"/>
    <col min="3842" max="3842" width="6.83203125" customWidth="1"/>
    <col min="3843" max="3843" width="10.33203125" customWidth="1"/>
    <col min="3844" max="3844" width="44.5" customWidth="1"/>
    <col min="3845" max="3845" width="9.33203125" customWidth="1"/>
    <col min="3846" max="3846" width="6.6640625" customWidth="1"/>
    <col min="3847" max="3847" width="8" customWidth="1"/>
    <col min="3848" max="3848" width="8.6640625" customWidth="1"/>
    <col min="3849" max="3849" width="7.5" customWidth="1"/>
    <col min="3850" max="3851" width="10.6640625" bestFit="1" customWidth="1"/>
    <col min="3852" max="3853" width="14.83203125" bestFit="1" customWidth="1"/>
    <col min="3854" max="3854" width="11.6640625" customWidth="1"/>
    <col min="3855" max="3856" width="13.83203125" bestFit="1" customWidth="1"/>
    <col min="3857" max="3857" width="14.6640625" bestFit="1" customWidth="1"/>
    <col min="3858" max="3858" width="14.83203125" bestFit="1" customWidth="1"/>
    <col min="3859" max="3859" width="15.5" bestFit="1" customWidth="1"/>
    <col min="4097" max="4097" width="4.5" customWidth="1"/>
    <col min="4098" max="4098" width="6.83203125" customWidth="1"/>
    <col min="4099" max="4099" width="10.33203125" customWidth="1"/>
    <col min="4100" max="4100" width="44.5" customWidth="1"/>
    <col min="4101" max="4101" width="9.33203125" customWidth="1"/>
    <col min="4102" max="4102" width="6.6640625" customWidth="1"/>
    <col min="4103" max="4103" width="8" customWidth="1"/>
    <col min="4104" max="4104" width="8.6640625" customWidth="1"/>
    <col min="4105" max="4105" width="7.5" customWidth="1"/>
    <col min="4106" max="4107" width="10.6640625" bestFit="1" customWidth="1"/>
    <col min="4108" max="4109" width="14.83203125" bestFit="1" customWidth="1"/>
    <col min="4110" max="4110" width="11.6640625" customWidth="1"/>
    <col min="4111" max="4112" width="13.83203125" bestFit="1" customWidth="1"/>
    <col min="4113" max="4113" width="14.6640625" bestFit="1" customWidth="1"/>
    <col min="4114" max="4114" width="14.83203125" bestFit="1" customWidth="1"/>
    <col min="4115" max="4115" width="15.5" bestFit="1" customWidth="1"/>
    <col min="4353" max="4353" width="4.5" customWidth="1"/>
    <col min="4354" max="4354" width="6.83203125" customWidth="1"/>
    <col min="4355" max="4355" width="10.33203125" customWidth="1"/>
    <col min="4356" max="4356" width="44.5" customWidth="1"/>
    <col min="4357" max="4357" width="9.33203125" customWidth="1"/>
    <col min="4358" max="4358" width="6.6640625" customWidth="1"/>
    <col min="4359" max="4359" width="8" customWidth="1"/>
    <col min="4360" max="4360" width="8.6640625" customWidth="1"/>
    <col min="4361" max="4361" width="7.5" customWidth="1"/>
    <col min="4362" max="4363" width="10.6640625" bestFit="1" customWidth="1"/>
    <col min="4364" max="4365" width="14.83203125" bestFit="1" customWidth="1"/>
    <col min="4366" max="4366" width="11.6640625" customWidth="1"/>
    <col min="4367" max="4368" width="13.83203125" bestFit="1" customWidth="1"/>
    <col min="4369" max="4369" width="14.6640625" bestFit="1" customWidth="1"/>
    <col min="4370" max="4370" width="14.83203125" bestFit="1" customWidth="1"/>
    <col min="4371" max="4371" width="15.5" bestFit="1" customWidth="1"/>
    <col min="4609" max="4609" width="4.5" customWidth="1"/>
    <col min="4610" max="4610" width="6.83203125" customWidth="1"/>
    <col min="4611" max="4611" width="10.33203125" customWidth="1"/>
    <col min="4612" max="4612" width="44.5" customWidth="1"/>
    <col min="4613" max="4613" width="9.33203125" customWidth="1"/>
    <col min="4614" max="4614" width="6.6640625" customWidth="1"/>
    <col min="4615" max="4615" width="8" customWidth="1"/>
    <col min="4616" max="4616" width="8.6640625" customWidth="1"/>
    <col min="4617" max="4617" width="7.5" customWidth="1"/>
    <col min="4618" max="4619" width="10.6640625" bestFit="1" customWidth="1"/>
    <col min="4620" max="4621" width="14.83203125" bestFit="1" customWidth="1"/>
    <col min="4622" max="4622" width="11.6640625" customWidth="1"/>
    <col min="4623" max="4624" width="13.83203125" bestFit="1" customWidth="1"/>
    <col min="4625" max="4625" width="14.6640625" bestFit="1" customWidth="1"/>
    <col min="4626" max="4626" width="14.83203125" bestFit="1" customWidth="1"/>
    <col min="4627" max="4627" width="15.5" bestFit="1" customWidth="1"/>
    <col min="4865" max="4865" width="4.5" customWidth="1"/>
    <col min="4866" max="4866" width="6.83203125" customWidth="1"/>
    <col min="4867" max="4867" width="10.33203125" customWidth="1"/>
    <col min="4868" max="4868" width="44.5" customWidth="1"/>
    <col min="4869" max="4869" width="9.33203125" customWidth="1"/>
    <col min="4870" max="4870" width="6.6640625" customWidth="1"/>
    <col min="4871" max="4871" width="8" customWidth="1"/>
    <col min="4872" max="4872" width="8.6640625" customWidth="1"/>
    <col min="4873" max="4873" width="7.5" customWidth="1"/>
    <col min="4874" max="4875" width="10.6640625" bestFit="1" customWidth="1"/>
    <col min="4876" max="4877" width="14.83203125" bestFit="1" customWidth="1"/>
    <col min="4878" max="4878" width="11.6640625" customWidth="1"/>
    <col min="4879" max="4880" width="13.83203125" bestFit="1" customWidth="1"/>
    <col min="4881" max="4881" width="14.6640625" bestFit="1" customWidth="1"/>
    <col min="4882" max="4882" width="14.83203125" bestFit="1" customWidth="1"/>
    <col min="4883" max="4883" width="15.5" bestFit="1" customWidth="1"/>
    <col min="5121" max="5121" width="4.5" customWidth="1"/>
    <col min="5122" max="5122" width="6.83203125" customWidth="1"/>
    <col min="5123" max="5123" width="10.33203125" customWidth="1"/>
    <col min="5124" max="5124" width="44.5" customWidth="1"/>
    <col min="5125" max="5125" width="9.33203125" customWidth="1"/>
    <col min="5126" max="5126" width="6.6640625" customWidth="1"/>
    <col min="5127" max="5127" width="8" customWidth="1"/>
    <col min="5128" max="5128" width="8.6640625" customWidth="1"/>
    <col min="5129" max="5129" width="7.5" customWidth="1"/>
    <col min="5130" max="5131" width="10.6640625" bestFit="1" customWidth="1"/>
    <col min="5132" max="5133" width="14.83203125" bestFit="1" customWidth="1"/>
    <col min="5134" max="5134" width="11.6640625" customWidth="1"/>
    <col min="5135" max="5136" width="13.83203125" bestFit="1" customWidth="1"/>
    <col min="5137" max="5137" width="14.6640625" bestFit="1" customWidth="1"/>
    <col min="5138" max="5138" width="14.83203125" bestFit="1" customWidth="1"/>
    <col min="5139" max="5139" width="15.5" bestFit="1" customWidth="1"/>
    <col min="5377" max="5377" width="4.5" customWidth="1"/>
    <col min="5378" max="5378" width="6.83203125" customWidth="1"/>
    <col min="5379" max="5379" width="10.33203125" customWidth="1"/>
    <col min="5380" max="5380" width="44.5" customWidth="1"/>
    <col min="5381" max="5381" width="9.33203125" customWidth="1"/>
    <col min="5382" max="5382" width="6.6640625" customWidth="1"/>
    <col min="5383" max="5383" width="8" customWidth="1"/>
    <col min="5384" max="5384" width="8.6640625" customWidth="1"/>
    <col min="5385" max="5385" width="7.5" customWidth="1"/>
    <col min="5386" max="5387" width="10.6640625" bestFit="1" customWidth="1"/>
    <col min="5388" max="5389" width="14.83203125" bestFit="1" customWidth="1"/>
    <col min="5390" max="5390" width="11.6640625" customWidth="1"/>
    <col min="5391" max="5392" width="13.83203125" bestFit="1" customWidth="1"/>
    <col min="5393" max="5393" width="14.6640625" bestFit="1" customWidth="1"/>
    <col min="5394" max="5394" width="14.83203125" bestFit="1" customWidth="1"/>
    <col min="5395" max="5395" width="15.5" bestFit="1" customWidth="1"/>
    <col min="5633" max="5633" width="4.5" customWidth="1"/>
    <col min="5634" max="5634" width="6.83203125" customWidth="1"/>
    <col min="5635" max="5635" width="10.33203125" customWidth="1"/>
    <col min="5636" max="5636" width="44.5" customWidth="1"/>
    <col min="5637" max="5637" width="9.33203125" customWidth="1"/>
    <col min="5638" max="5638" width="6.6640625" customWidth="1"/>
    <col min="5639" max="5639" width="8" customWidth="1"/>
    <col min="5640" max="5640" width="8.6640625" customWidth="1"/>
    <col min="5641" max="5641" width="7.5" customWidth="1"/>
    <col min="5642" max="5643" width="10.6640625" bestFit="1" customWidth="1"/>
    <col min="5644" max="5645" width="14.83203125" bestFit="1" customWidth="1"/>
    <col min="5646" max="5646" width="11.6640625" customWidth="1"/>
    <col min="5647" max="5648" width="13.83203125" bestFit="1" customWidth="1"/>
    <col min="5649" max="5649" width="14.6640625" bestFit="1" customWidth="1"/>
    <col min="5650" max="5650" width="14.83203125" bestFit="1" customWidth="1"/>
    <col min="5651" max="5651" width="15.5" bestFit="1" customWidth="1"/>
    <col min="5889" max="5889" width="4.5" customWidth="1"/>
    <col min="5890" max="5890" width="6.83203125" customWidth="1"/>
    <col min="5891" max="5891" width="10.33203125" customWidth="1"/>
    <col min="5892" max="5892" width="44.5" customWidth="1"/>
    <col min="5893" max="5893" width="9.33203125" customWidth="1"/>
    <col min="5894" max="5894" width="6.6640625" customWidth="1"/>
    <col min="5895" max="5895" width="8" customWidth="1"/>
    <col min="5896" max="5896" width="8.6640625" customWidth="1"/>
    <col min="5897" max="5897" width="7.5" customWidth="1"/>
    <col min="5898" max="5899" width="10.6640625" bestFit="1" customWidth="1"/>
    <col min="5900" max="5901" width="14.83203125" bestFit="1" customWidth="1"/>
    <col min="5902" max="5902" width="11.6640625" customWidth="1"/>
    <col min="5903" max="5904" width="13.83203125" bestFit="1" customWidth="1"/>
    <col min="5905" max="5905" width="14.6640625" bestFit="1" customWidth="1"/>
    <col min="5906" max="5906" width="14.83203125" bestFit="1" customWidth="1"/>
    <col min="5907" max="5907" width="15.5" bestFit="1" customWidth="1"/>
    <col min="6145" max="6145" width="4.5" customWidth="1"/>
    <col min="6146" max="6146" width="6.83203125" customWidth="1"/>
    <col min="6147" max="6147" width="10.33203125" customWidth="1"/>
    <col min="6148" max="6148" width="44.5" customWidth="1"/>
    <col min="6149" max="6149" width="9.33203125" customWidth="1"/>
    <col min="6150" max="6150" width="6.6640625" customWidth="1"/>
    <col min="6151" max="6151" width="8" customWidth="1"/>
    <col min="6152" max="6152" width="8.6640625" customWidth="1"/>
    <col min="6153" max="6153" width="7.5" customWidth="1"/>
    <col min="6154" max="6155" width="10.6640625" bestFit="1" customWidth="1"/>
    <col min="6156" max="6157" width="14.83203125" bestFit="1" customWidth="1"/>
    <col min="6158" max="6158" width="11.6640625" customWidth="1"/>
    <col min="6159" max="6160" width="13.83203125" bestFit="1" customWidth="1"/>
    <col min="6161" max="6161" width="14.6640625" bestFit="1" customWidth="1"/>
    <col min="6162" max="6162" width="14.83203125" bestFit="1" customWidth="1"/>
    <col min="6163" max="6163" width="15.5" bestFit="1" customWidth="1"/>
    <col min="6401" max="6401" width="4.5" customWidth="1"/>
    <col min="6402" max="6402" width="6.83203125" customWidth="1"/>
    <col min="6403" max="6403" width="10.33203125" customWidth="1"/>
    <col min="6404" max="6404" width="44.5" customWidth="1"/>
    <col min="6405" max="6405" width="9.33203125" customWidth="1"/>
    <col min="6406" max="6406" width="6.6640625" customWidth="1"/>
    <col min="6407" max="6407" width="8" customWidth="1"/>
    <col min="6408" max="6408" width="8.6640625" customWidth="1"/>
    <col min="6409" max="6409" width="7.5" customWidth="1"/>
    <col min="6410" max="6411" width="10.6640625" bestFit="1" customWidth="1"/>
    <col min="6412" max="6413" width="14.83203125" bestFit="1" customWidth="1"/>
    <col min="6414" max="6414" width="11.6640625" customWidth="1"/>
    <col min="6415" max="6416" width="13.83203125" bestFit="1" customWidth="1"/>
    <col min="6417" max="6417" width="14.6640625" bestFit="1" customWidth="1"/>
    <col min="6418" max="6418" width="14.83203125" bestFit="1" customWidth="1"/>
    <col min="6419" max="6419" width="15.5" bestFit="1" customWidth="1"/>
    <col min="6657" max="6657" width="4.5" customWidth="1"/>
    <col min="6658" max="6658" width="6.83203125" customWidth="1"/>
    <col min="6659" max="6659" width="10.33203125" customWidth="1"/>
    <col min="6660" max="6660" width="44.5" customWidth="1"/>
    <col min="6661" max="6661" width="9.33203125" customWidth="1"/>
    <col min="6662" max="6662" width="6.6640625" customWidth="1"/>
    <col min="6663" max="6663" width="8" customWidth="1"/>
    <col min="6664" max="6664" width="8.6640625" customWidth="1"/>
    <col min="6665" max="6665" width="7.5" customWidth="1"/>
    <col min="6666" max="6667" width="10.6640625" bestFit="1" customWidth="1"/>
    <col min="6668" max="6669" width="14.83203125" bestFit="1" customWidth="1"/>
    <col min="6670" max="6670" width="11.6640625" customWidth="1"/>
    <col min="6671" max="6672" width="13.83203125" bestFit="1" customWidth="1"/>
    <col min="6673" max="6673" width="14.6640625" bestFit="1" customWidth="1"/>
    <col min="6674" max="6674" width="14.83203125" bestFit="1" customWidth="1"/>
    <col min="6675" max="6675" width="15.5" bestFit="1" customWidth="1"/>
    <col min="6913" max="6913" width="4.5" customWidth="1"/>
    <col min="6914" max="6914" width="6.83203125" customWidth="1"/>
    <col min="6915" max="6915" width="10.33203125" customWidth="1"/>
    <col min="6916" max="6916" width="44.5" customWidth="1"/>
    <col min="6917" max="6917" width="9.33203125" customWidth="1"/>
    <col min="6918" max="6918" width="6.6640625" customWidth="1"/>
    <col min="6919" max="6919" width="8" customWidth="1"/>
    <col min="6920" max="6920" width="8.6640625" customWidth="1"/>
    <col min="6921" max="6921" width="7.5" customWidth="1"/>
    <col min="6922" max="6923" width="10.6640625" bestFit="1" customWidth="1"/>
    <col min="6924" max="6925" width="14.83203125" bestFit="1" customWidth="1"/>
    <col min="6926" max="6926" width="11.6640625" customWidth="1"/>
    <col min="6927" max="6928" width="13.83203125" bestFit="1" customWidth="1"/>
    <col min="6929" max="6929" width="14.6640625" bestFit="1" customWidth="1"/>
    <col min="6930" max="6930" width="14.83203125" bestFit="1" customWidth="1"/>
    <col min="6931" max="6931" width="15.5" bestFit="1" customWidth="1"/>
    <col min="7169" max="7169" width="4.5" customWidth="1"/>
    <col min="7170" max="7170" width="6.83203125" customWidth="1"/>
    <col min="7171" max="7171" width="10.33203125" customWidth="1"/>
    <col min="7172" max="7172" width="44.5" customWidth="1"/>
    <col min="7173" max="7173" width="9.33203125" customWidth="1"/>
    <col min="7174" max="7174" width="6.6640625" customWidth="1"/>
    <col min="7175" max="7175" width="8" customWidth="1"/>
    <col min="7176" max="7176" width="8.6640625" customWidth="1"/>
    <col min="7177" max="7177" width="7.5" customWidth="1"/>
    <col min="7178" max="7179" width="10.6640625" bestFit="1" customWidth="1"/>
    <col min="7180" max="7181" width="14.83203125" bestFit="1" customWidth="1"/>
    <col min="7182" max="7182" width="11.6640625" customWidth="1"/>
    <col min="7183" max="7184" width="13.83203125" bestFit="1" customWidth="1"/>
    <col min="7185" max="7185" width="14.6640625" bestFit="1" customWidth="1"/>
    <col min="7186" max="7186" width="14.83203125" bestFit="1" customWidth="1"/>
    <col min="7187" max="7187" width="15.5" bestFit="1" customWidth="1"/>
    <col min="7425" max="7425" width="4.5" customWidth="1"/>
    <col min="7426" max="7426" width="6.83203125" customWidth="1"/>
    <col min="7427" max="7427" width="10.33203125" customWidth="1"/>
    <col min="7428" max="7428" width="44.5" customWidth="1"/>
    <col min="7429" max="7429" width="9.33203125" customWidth="1"/>
    <col min="7430" max="7430" width="6.6640625" customWidth="1"/>
    <col min="7431" max="7431" width="8" customWidth="1"/>
    <col min="7432" max="7432" width="8.6640625" customWidth="1"/>
    <col min="7433" max="7433" width="7.5" customWidth="1"/>
    <col min="7434" max="7435" width="10.6640625" bestFit="1" customWidth="1"/>
    <col min="7436" max="7437" width="14.83203125" bestFit="1" customWidth="1"/>
    <col min="7438" max="7438" width="11.6640625" customWidth="1"/>
    <col min="7439" max="7440" width="13.83203125" bestFit="1" customWidth="1"/>
    <col min="7441" max="7441" width="14.6640625" bestFit="1" customWidth="1"/>
    <col min="7442" max="7442" width="14.83203125" bestFit="1" customWidth="1"/>
    <col min="7443" max="7443" width="15.5" bestFit="1" customWidth="1"/>
    <col min="7681" max="7681" width="4.5" customWidth="1"/>
    <col min="7682" max="7682" width="6.83203125" customWidth="1"/>
    <col min="7683" max="7683" width="10.33203125" customWidth="1"/>
    <col min="7684" max="7684" width="44.5" customWidth="1"/>
    <col min="7685" max="7685" width="9.33203125" customWidth="1"/>
    <col min="7686" max="7686" width="6.6640625" customWidth="1"/>
    <col min="7687" max="7687" width="8" customWidth="1"/>
    <col min="7688" max="7688" width="8.6640625" customWidth="1"/>
    <col min="7689" max="7689" width="7.5" customWidth="1"/>
    <col min="7690" max="7691" width="10.6640625" bestFit="1" customWidth="1"/>
    <col min="7692" max="7693" width="14.83203125" bestFit="1" customWidth="1"/>
    <col min="7694" max="7694" width="11.6640625" customWidth="1"/>
    <col min="7695" max="7696" width="13.83203125" bestFit="1" customWidth="1"/>
    <col min="7697" max="7697" width="14.6640625" bestFit="1" customWidth="1"/>
    <col min="7698" max="7698" width="14.83203125" bestFit="1" customWidth="1"/>
    <col min="7699" max="7699" width="15.5" bestFit="1" customWidth="1"/>
    <col min="7937" max="7937" width="4.5" customWidth="1"/>
    <col min="7938" max="7938" width="6.83203125" customWidth="1"/>
    <col min="7939" max="7939" width="10.33203125" customWidth="1"/>
    <col min="7940" max="7940" width="44.5" customWidth="1"/>
    <col min="7941" max="7941" width="9.33203125" customWidth="1"/>
    <col min="7942" max="7942" width="6.6640625" customWidth="1"/>
    <col min="7943" max="7943" width="8" customWidth="1"/>
    <col min="7944" max="7944" width="8.6640625" customWidth="1"/>
    <col min="7945" max="7945" width="7.5" customWidth="1"/>
    <col min="7946" max="7947" width="10.6640625" bestFit="1" customWidth="1"/>
    <col min="7948" max="7949" width="14.83203125" bestFit="1" customWidth="1"/>
    <col min="7950" max="7950" width="11.6640625" customWidth="1"/>
    <col min="7951" max="7952" width="13.83203125" bestFit="1" customWidth="1"/>
    <col min="7953" max="7953" width="14.6640625" bestFit="1" customWidth="1"/>
    <col min="7954" max="7954" width="14.83203125" bestFit="1" customWidth="1"/>
    <col min="7955" max="7955" width="15.5" bestFit="1" customWidth="1"/>
    <col min="8193" max="8193" width="4.5" customWidth="1"/>
    <col min="8194" max="8194" width="6.83203125" customWidth="1"/>
    <col min="8195" max="8195" width="10.33203125" customWidth="1"/>
    <col min="8196" max="8196" width="44.5" customWidth="1"/>
    <col min="8197" max="8197" width="9.33203125" customWidth="1"/>
    <col min="8198" max="8198" width="6.6640625" customWidth="1"/>
    <col min="8199" max="8199" width="8" customWidth="1"/>
    <col min="8200" max="8200" width="8.6640625" customWidth="1"/>
    <col min="8201" max="8201" width="7.5" customWidth="1"/>
    <col min="8202" max="8203" width="10.6640625" bestFit="1" customWidth="1"/>
    <col min="8204" max="8205" width="14.83203125" bestFit="1" customWidth="1"/>
    <col min="8206" max="8206" width="11.6640625" customWidth="1"/>
    <col min="8207" max="8208" width="13.83203125" bestFit="1" customWidth="1"/>
    <col min="8209" max="8209" width="14.6640625" bestFit="1" customWidth="1"/>
    <col min="8210" max="8210" width="14.83203125" bestFit="1" customWidth="1"/>
    <col min="8211" max="8211" width="15.5" bestFit="1" customWidth="1"/>
    <col min="8449" max="8449" width="4.5" customWidth="1"/>
    <col min="8450" max="8450" width="6.83203125" customWidth="1"/>
    <col min="8451" max="8451" width="10.33203125" customWidth="1"/>
    <col min="8452" max="8452" width="44.5" customWidth="1"/>
    <col min="8453" max="8453" width="9.33203125" customWidth="1"/>
    <col min="8454" max="8454" width="6.6640625" customWidth="1"/>
    <col min="8455" max="8455" width="8" customWidth="1"/>
    <col min="8456" max="8456" width="8.6640625" customWidth="1"/>
    <col min="8457" max="8457" width="7.5" customWidth="1"/>
    <col min="8458" max="8459" width="10.6640625" bestFit="1" customWidth="1"/>
    <col min="8460" max="8461" width="14.83203125" bestFit="1" customWidth="1"/>
    <col min="8462" max="8462" width="11.6640625" customWidth="1"/>
    <col min="8463" max="8464" width="13.83203125" bestFit="1" customWidth="1"/>
    <col min="8465" max="8465" width="14.6640625" bestFit="1" customWidth="1"/>
    <col min="8466" max="8466" width="14.83203125" bestFit="1" customWidth="1"/>
    <col min="8467" max="8467" width="15.5" bestFit="1" customWidth="1"/>
    <col min="8705" max="8705" width="4.5" customWidth="1"/>
    <col min="8706" max="8706" width="6.83203125" customWidth="1"/>
    <col min="8707" max="8707" width="10.33203125" customWidth="1"/>
    <col min="8708" max="8708" width="44.5" customWidth="1"/>
    <col min="8709" max="8709" width="9.33203125" customWidth="1"/>
    <col min="8710" max="8710" width="6.6640625" customWidth="1"/>
    <col min="8711" max="8711" width="8" customWidth="1"/>
    <col min="8712" max="8712" width="8.6640625" customWidth="1"/>
    <col min="8713" max="8713" width="7.5" customWidth="1"/>
    <col min="8714" max="8715" width="10.6640625" bestFit="1" customWidth="1"/>
    <col min="8716" max="8717" width="14.83203125" bestFit="1" customWidth="1"/>
    <col min="8718" max="8718" width="11.6640625" customWidth="1"/>
    <col min="8719" max="8720" width="13.83203125" bestFit="1" customWidth="1"/>
    <col min="8721" max="8721" width="14.6640625" bestFit="1" customWidth="1"/>
    <col min="8722" max="8722" width="14.83203125" bestFit="1" customWidth="1"/>
    <col min="8723" max="8723" width="15.5" bestFit="1" customWidth="1"/>
    <col min="8961" max="8961" width="4.5" customWidth="1"/>
    <col min="8962" max="8962" width="6.83203125" customWidth="1"/>
    <col min="8963" max="8963" width="10.33203125" customWidth="1"/>
    <col min="8964" max="8964" width="44.5" customWidth="1"/>
    <col min="8965" max="8965" width="9.33203125" customWidth="1"/>
    <col min="8966" max="8966" width="6.6640625" customWidth="1"/>
    <col min="8967" max="8967" width="8" customWidth="1"/>
    <col min="8968" max="8968" width="8.6640625" customWidth="1"/>
    <col min="8969" max="8969" width="7.5" customWidth="1"/>
    <col min="8970" max="8971" width="10.6640625" bestFit="1" customWidth="1"/>
    <col min="8972" max="8973" width="14.83203125" bestFit="1" customWidth="1"/>
    <col min="8974" max="8974" width="11.6640625" customWidth="1"/>
    <col min="8975" max="8976" width="13.83203125" bestFit="1" customWidth="1"/>
    <col min="8977" max="8977" width="14.6640625" bestFit="1" customWidth="1"/>
    <col min="8978" max="8978" width="14.83203125" bestFit="1" customWidth="1"/>
    <col min="8979" max="8979" width="15.5" bestFit="1" customWidth="1"/>
    <col min="9217" max="9217" width="4.5" customWidth="1"/>
    <col min="9218" max="9218" width="6.83203125" customWidth="1"/>
    <col min="9219" max="9219" width="10.33203125" customWidth="1"/>
    <col min="9220" max="9220" width="44.5" customWidth="1"/>
    <col min="9221" max="9221" width="9.33203125" customWidth="1"/>
    <col min="9222" max="9222" width="6.6640625" customWidth="1"/>
    <col min="9223" max="9223" width="8" customWidth="1"/>
    <col min="9224" max="9224" width="8.6640625" customWidth="1"/>
    <col min="9225" max="9225" width="7.5" customWidth="1"/>
    <col min="9226" max="9227" width="10.6640625" bestFit="1" customWidth="1"/>
    <col min="9228" max="9229" width="14.83203125" bestFit="1" customWidth="1"/>
    <col min="9230" max="9230" width="11.6640625" customWidth="1"/>
    <col min="9231" max="9232" width="13.83203125" bestFit="1" customWidth="1"/>
    <col min="9233" max="9233" width="14.6640625" bestFit="1" customWidth="1"/>
    <col min="9234" max="9234" width="14.83203125" bestFit="1" customWidth="1"/>
    <col min="9235" max="9235" width="15.5" bestFit="1" customWidth="1"/>
    <col min="9473" max="9473" width="4.5" customWidth="1"/>
    <col min="9474" max="9474" width="6.83203125" customWidth="1"/>
    <col min="9475" max="9475" width="10.33203125" customWidth="1"/>
    <col min="9476" max="9476" width="44.5" customWidth="1"/>
    <col min="9477" max="9477" width="9.33203125" customWidth="1"/>
    <col min="9478" max="9478" width="6.6640625" customWidth="1"/>
    <col min="9479" max="9479" width="8" customWidth="1"/>
    <col min="9480" max="9480" width="8.6640625" customWidth="1"/>
    <col min="9481" max="9481" width="7.5" customWidth="1"/>
    <col min="9482" max="9483" width="10.6640625" bestFit="1" customWidth="1"/>
    <col min="9484" max="9485" width="14.83203125" bestFit="1" customWidth="1"/>
    <col min="9486" max="9486" width="11.6640625" customWidth="1"/>
    <col min="9487" max="9488" width="13.83203125" bestFit="1" customWidth="1"/>
    <col min="9489" max="9489" width="14.6640625" bestFit="1" customWidth="1"/>
    <col min="9490" max="9490" width="14.83203125" bestFit="1" customWidth="1"/>
    <col min="9491" max="9491" width="15.5" bestFit="1" customWidth="1"/>
    <col min="9729" max="9729" width="4.5" customWidth="1"/>
    <col min="9730" max="9730" width="6.83203125" customWidth="1"/>
    <col min="9731" max="9731" width="10.33203125" customWidth="1"/>
    <col min="9732" max="9732" width="44.5" customWidth="1"/>
    <col min="9733" max="9733" width="9.33203125" customWidth="1"/>
    <col min="9734" max="9734" width="6.6640625" customWidth="1"/>
    <col min="9735" max="9735" width="8" customWidth="1"/>
    <col min="9736" max="9736" width="8.6640625" customWidth="1"/>
    <col min="9737" max="9737" width="7.5" customWidth="1"/>
    <col min="9738" max="9739" width="10.6640625" bestFit="1" customWidth="1"/>
    <col min="9740" max="9741" width="14.83203125" bestFit="1" customWidth="1"/>
    <col min="9742" max="9742" width="11.6640625" customWidth="1"/>
    <col min="9743" max="9744" width="13.83203125" bestFit="1" customWidth="1"/>
    <col min="9745" max="9745" width="14.6640625" bestFit="1" customWidth="1"/>
    <col min="9746" max="9746" width="14.83203125" bestFit="1" customWidth="1"/>
    <col min="9747" max="9747" width="15.5" bestFit="1" customWidth="1"/>
    <col min="9985" max="9985" width="4.5" customWidth="1"/>
    <col min="9986" max="9986" width="6.83203125" customWidth="1"/>
    <col min="9987" max="9987" width="10.33203125" customWidth="1"/>
    <col min="9988" max="9988" width="44.5" customWidth="1"/>
    <col min="9989" max="9989" width="9.33203125" customWidth="1"/>
    <col min="9990" max="9990" width="6.6640625" customWidth="1"/>
    <col min="9991" max="9991" width="8" customWidth="1"/>
    <col min="9992" max="9992" width="8.6640625" customWidth="1"/>
    <col min="9993" max="9993" width="7.5" customWidth="1"/>
    <col min="9994" max="9995" width="10.6640625" bestFit="1" customWidth="1"/>
    <col min="9996" max="9997" width="14.83203125" bestFit="1" customWidth="1"/>
    <col min="9998" max="9998" width="11.6640625" customWidth="1"/>
    <col min="9999" max="10000" width="13.83203125" bestFit="1" customWidth="1"/>
    <col min="10001" max="10001" width="14.6640625" bestFit="1" customWidth="1"/>
    <col min="10002" max="10002" width="14.83203125" bestFit="1" customWidth="1"/>
    <col min="10003" max="10003" width="15.5" bestFit="1" customWidth="1"/>
    <col min="10241" max="10241" width="4.5" customWidth="1"/>
    <col min="10242" max="10242" width="6.83203125" customWidth="1"/>
    <col min="10243" max="10243" width="10.33203125" customWidth="1"/>
    <col min="10244" max="10244" width="44.5" customWidth="1"/>
    <col min="10245" max="10245" width="9.33203125" customWidth="1"/>
    <col min="10246" max="10246" width="6.6640625" customWidth="1"/>
    <col min="10247" max="10247" width="8" customWidth="1"/>
    <col min="10248" max="10248" width="8.6640625" customWidth="1"/>
    <col min="10249" max="10249" width="7.5" customWidth="1"/>
    <col min="10250" max="10251" width="10.6640625" bestFit="1" customWidth="1"/>
    <col min="10252" max="10253" width="14.83203125" bestFit="1" customWidth="1"/>
    <col min="10254" max="10254" width="11.6640625" customWidth="1"/>
    <col min="10255" max="10256" width="13.83203125" bestFit="1" customWidth="1"/>
    <col min="10257" max="10257" width="14.6640625" bestFit="1" customWidth="1"/>
    <col min="10258" max="10258" width="14.83203125" bestFit="1" customWidth="1"/>
    <col min="10259" max="10259" width="15.5" bestFit="1" customWidth="1"/>
    <col min="10497" max="10497" width="4.5" customWidth="1"/>
    <col min="10498" max="10498" width="6.83203125" customWidth="1"/>
    <col min="10499" max="10499" width="10.33203125" customWidth="1"/>
    <col min="10500" max="10500" width="44.5" customWidth="1"/>
    <col min="10501" max="10501" width="9.33203125" customWidth="1"/>
    <col min="10502" max="10502" width="6.6640625" customWidth="1"/>
    <col min="10503" max="10503" width="8" customWidth="1"/>
    <col min="10504" max="10504" width="8.6640625" customWidth="1"/>
    <col min="10505" max="10505" width="7.5" customWidth="1"/>
    <col min="10506" max="10507" width="10.6640625" bestFit="1" customWidth="1"/>
    <col min="10508" max="10509" width="14.83203125" bestFit="1" customWidth="1"/>
    <col min="10510" max="10510" width="11.6640625" customWidth="1"/>
    <col min="10511" max="10512" width="13.83203125" bestFit="1" customWidth="1"/>
    <col min="10513" max="10513" width="14.6640625" bestFit="1" customWidth="1"/>
    <col min="10514" max="10514" width="14.83203125" bestFit="1" customWidth="1"/>
    <col min="10515" max="10515" width="15.5" bestFit="1" customWidth="1"/>
    <col min="10753" max="10753" width="4.5" customWidth="1"/>
    <col min="10754" max="10754" width="6.83203125" customWidth="1"/>
    <col min="10755" max="10755" width="10.33203125" customWidth="1"/>
    <col min="10756" max="10756" width="44.5" customWidth="1"/>
    <col min="10757" max="10757" width="9.33203125" customWidth="1"/>
    <col min="10758" max="10758" width="6.6640625" customWidth="1"/>
    <col min="10759" max="10759" width="8" customWidth="1"/>
    <col min="10760" max="10760" width="8.6640625" customWidth="1"/>
    <col min="10761" max="10761" width="7.5" customWidth="1"/>
    <col min="10762" max="10763" width="10.6640625" bestFit="1" customWidth="1"/>
    <col min="10764" max="10765" width="14.83203125" bestFit="1" customWidth="1"/>
    <col min="10766" max="10766" width="11.6640625" customWidth="1"/>
    <col min="10767" max="10768" width="13.83203125" bestFit="1" customWidth="1"/>
    <col min="10769" max="10769" width="14.6640625" bestFit="1" customWidth="1"/>
    <col min="10770" max="10770" width="14.83203125" bestFit="1" customWidth="1"/>
    <col min="10771" max="10771" width="15.5" bestFit="1" customWidth="1"/>
    <col min="11009" max="11009" width="4.5" customWidth="1"/>
    <col min="11010" max="11010" width="6.83203125" customWidth="1"/>
    <col min="11011" max="11011" width="10.33203125" customWidth="1"/>
    <col min="11012" max="11012" width="44.5" customWidth="1"/>
    <col min="11013" max="11013" width="9.33203125" customWidth="1"/>
    <col min="11014" max="11014" width="6.6640625" customWidth="1"/>
    <col min="11015" max="11015" width="8" customWidth="1"/>
    <col min="11016" max="11016" width="8.6640625" customWidth="1"/>
    <col min="11017" max="11017" width="7.5" customWidth="1"/>
    <col min="11018" max="11019" width="10.6640625" bestFit="1" customWidth="1"/>
    <col min="11020" max="11021" width="14.83203125" bestFit="1" customWidth="1"/>
    <col min="11022" max="11022" width="11.6640625" customWidth="1"/>
    <col min="11023" max="11024" width="13.83203125" bestFit="1" customWidth="1"/>
    <col min="11025" max="11025" width="14.6640625" bestFit="1" customWidth="1"/>
    <col min="11026" max="11026" width="14.83203125" bestFit="1" customWidth="1"/>
    <col min="11027" max="11027" width="15.5" bestFit="1" customWidth="1"/>
    <col min="11265" max="11265" width="4.5" customWidth="1"/>
    <col min="11266" max="11266" width="6.83203125" customWidth="1"/>
    <col min="11267" max="11267" width="10.33203125" customWidth="1"/>
    <col min="11268" max="11268" width="44.5" customWidth="1"/>
    <col min="11269" max="11269" width="9.33203125" customWidth="1"/>
    <col min="11270" max="11270" width="6.6640625" customWidth="1"/>
    <col min="11271" max="11271" width="8" customWidth="1"/>
    <col min="11272" max="11272" width="8.6640625" customWidth="1"/>
    <col min="11273" max="11273" width="7.5" customWidth="1"/>
    <col min="11274" max="11275" width="10.6640625" bestFit="1" customWidth="1"/>
    <col min="11276" max="11277" width="14.83203125" bestFit="1" customWidth="1"/>
    <col min="11278" max="11278" width="11.6640625" customWidth="1"/>
    <col min="11279" max="11280" width="13.83203125" bestFit="1" customWidth="1"/>
    <col min="11281" max="11281" width="14.6640625" bestFit="1" customWidth="1"/>
    <col min="11282" max="11282" width="14.83203125" bestFit="1" customWidth="1"/>
    <col min="11283" max="11283" width="15.5" bestFit="1" customWidth="1"/>
    <col min="11521" max="11521" width="4.5" customWidth="1"/>
    <col min="11522" max="11522" width="6.83203125" customWidth="1"/>
    <col min="11523" max="11523" width="10.33203125" customWidth="1"/>
    <col min="11524" max="11524" width="44.5" customWidth="1"/>
    <col min="11525" max="11525" width="9.33203125" customWidth="1"/>
    <col min="11526" max="11526" width="6.6640625" customWidth="1"/>
    <col min="11527" max="11527" width="8" customWidth="1"/>
    <col min="11528" max="11528" width="8.6640625" customWidth="1"/>
    <col min="11529" max="11529" width="7.5" customWidth="1"/>
    <col min="11530" max="11531" width="10.6640625" bestFit="1" customWidth="1"/>
    <col min="11532" max="11533" width="14.83203125" bestFit="1" customWidth="1"/>
    <col min="11534" max="11534" width="11.6640625" customWidth="1"/>
    <col min="11535" max="11536" width="13.83203125" bestFit="1" customWidth="1"/>
    <col min="11537" max="11537" width="14.6640625" bestFit="1" customWidth="1"/>
    <col min="11538" max="11538" width="14.83203125" bestFit="1" customWidth="1"/>
    <col min="11539" max="11539" width="15.5" bestFit="1" customWidth="1"/>
    <col min="11777" max="11777" width="4.5" customWidth="1"/>
    <col min="11778" max="11778" width="6.83203125" customWidth="1"/>
    <col min="11779" max="11779" width="10.33203125" customWidth="1"/>
    <col min="11780" max="11780" width="44.5" customWidth="1"/>
    <col min="11781" max="11781" width="9.33203125" customWidth="1"/>
    <col min="11782" max="11782" width="6.6640625" customWidth="1"/>
    <col min="11783" max="11783" width="8" customWidth="1"/>
    <col min="11784" max="11784" width="8.6640625" customWidth="1"/>
    <col min="11785" max="11785" width="7.5" customWidth="1"/>
    <col min="11786" max="11787" width="10.6640625" bestFit="1" customWidth="1"/>
    <col min="11788" max="11789" width="14.83203125" bestFit="1" customWidth="1"/>
    <col min="11790" max="11790" width="11.6640625" customWidth="1"/>
    <col min="11791" max="11792" width="13.83203125" bestFit="1" customWidth="1"/>
    <col min="11793" max="11793" width="14.6640625" bestFit="1" customWidth="1"/>
    <col min="11794" max="11794" width="14.83203125" bestFit="1" customWidth="1"/>
    <col min="11795" max="11795" width="15.5" bestFit="1" customWidth="1"/>
    <col min="12033" max="12033" width="4.5" customWidth="1"/>
    <col min="12034" max="12034" width="6.83203125" customWidth="1"/>
    <col min="12035" max="12035" width="10.33203125" customWidth="1"/>
    <col min="12036" max="12036" width="44.5" customWidth="1"/>
    <col min="12037" max="12037" width="9.33203125" customWidth="1"/>
    <col min="12038" max="12038" width="6.6640625" customWidth="1"/>
    <col min="12039" max="12039" width="8" customWidth="1"/>
    <col min="12040" max="12040" width="8.6640625" customWidth="1"/>
    <col min="12041" max="12041" width="7.5" customWidth="1"/>
    <col min="12042" max="12043" width="10.6640625" bestFit="1" customWidth="1"/>
    <col min="12044" max="12045" width="14.83203125" bestFit="1" customWidth="1"/>
    <col min="12046" max="12046" width="11.6640625" customWidth="1"/>
    <col min="12047" max="12048" width="13.83203125" bestFit="1" customWidth="1"/>
    <col min="12049" max="12049" width="14.6640625" bestFit="1" customWidth="1"/>
    <col min="12050" max="12050" width="14.83203125" bestFit="1" customWidth="1"/>
    <col min="12051" max="12051" width="15.5" bestFit="1" customWidth="1"/>
    <col min="12289" max="12289" width="4.5" customWidth="1"/>
    <col min="12290" max="12290" width="6.83203125" customWidth="1"/>
    <col min="12291" max="12291" width="10.33203125" customWidth="1"/>
    <col min="12292" max="12292" width="44.5" customWidth="1"/>
    <col min="12293" max="12293" width="9.33203125" customWidth="1"/>
    <col min="12294" max="12294" width="6.6640625" customWidth="1"/>
    <col min="12295" max="12295" width="8" customWidth="1"/>
    <col min="12296" max="12296" width="8.6640625" customWidth="1"/>
    <col min="12297" max="12297" width="7.5" customWidth="1"/>
    <col min="12298" max="12299" width="10.6640625" bestFit="1" customWidth="1"/>
    <col min="12300" max="12301" width="14.83203125" bestFit="1" customWidth="1"/>
    <col min="12302" max="12302" width="11.6640625" customWidth="1"/>
    <col min="12303" max="12304" width="13.83203125" bestFit="1" customWidth="1"/>
    <col min="12305" max="12305" width="14.6640625" bestFit="1" customWidth="1"/>
    <col min="12306" max="12306" width="14.83203125" bestFit="1" customWidth="1"/>
    <col min="12307" max="12307" width="15.5" bestFit="1" customWidth="1"/>
    <col min="12545" max="12545" width="4.5" customWidth="1"/>
    <col min="12546" max="12546" width="6.83203125" customWidth="1"/>
    <col min="12547" max="12547" width="10.33203125" customWidth="1"/>
    <col min="12548" max="12548" width="44.5" customWidth="1"/>
    <col min="12549" max="12549" width="9.33203125" customWidth="1"/>
    <col min="12550" max="12550" width="6.6640625" customWidth="1"/>
    <col min="12551" max="12551" width="8" customWidth="1"/>
    <col min="12552" max="12552" width="8.6640625" customWidth="1"/>
    <col min="12553" max="12553" width="7.5" customWidth="1"/>
    <col min="12554" max="12555" width="10.6640625" bestFit="1" customWidth="1"/>
    <col min="12556" max="12557" width="14.83203125" bestFit="1" customWidth="1"/>
    <col min="12558" max="12558" width="11.6640625" customWidth="1"/>
    <col min="12559" max="12560" width="13.83203125" bestFit="1" customWidth="1"/>
    <col min="12561" max="12561" width="14.6640625" bestFit="1" customWidth="1"/>
    <col min="12562" max="12562" width="14.83203125" bestFit="1" customWidth="1"/>
    <col min="12563" max="12563" width="15.5" bestFit="1" customWidth="1"/>
    <col min="12801" max="12801" width="4.5" customWidth="1"/>
    <col min="12802" max="12802" width="6.83203125" customWidth="1"/>
    <col min="12803" max="12803" width="10.33203125" customWidth="1"/>
    <col min="12804" max="12804" width="44.5" customWidth="1"/>
    <col min="12805" max="12805" width="9.33203125" customWidth="1"/>
    <col min="12806" max="12806" width="6.6640625" customWidth="1"/>
    <col min="12807" max="12807" width="8" customWidth="1"/>
    <col min="12808" max="12808" width="8.6640625" customWidth="1"/>
    <col min="12809" max="12809" width="7.5" customWidth="1"/>
    <col min="12810" max="12811" width="10.6640625" bestFit="1" customWidth="1"/>
    <col min="12812" max="12813" width="14.83203125" bestFit="1" customWidth="1"/>
    <col min="12814" max="12814" width="11.6640625" customWidth="1"/>
    <col min="12815" max="12816" width="13.83203125" bestFit="1" customWidth="1"/>
    <col min="12817" max="12817" width="14.6640625" bestFit="1" customWidth="1"/>
    <col min="12818" max="12818" width="14.83203125" bestFit="1" customWidth="1"/>
    <col min="12819" max="12819" width="15.5" bestFit="1" customWidth="1"/>
    <col min="13057" max="13057" width="4.5" customWidth="1"/>
    <col min="13058" max="13058" width="6.83203125" customWidth="1"/>
    <col min="13059" max="13059" width="10.33203125" customWidth="1"/>
    <col min="13060" max="13060" width="44.5" customWidth="1"/>
    <col min="13061" max="13061" width="9.33203125" customWidth="1"/>
    <col min="13062" max="13062" width="6.6640625" customWidth="1"/>
    <col min="13063" max="13063" width="8" customWidth="1"/>
    <col min="13064" max="13064" width="8.6640625" customWidth="1"/>
    <col min="13065" max="13065" width="7.5" customWidth="1"/>
    <col min="13066" max="13067" width="10.6640625" bestFit="1" customWidth="1"/>
    <col min="13068" max="13069" width="14.83203125" bestFit="1" customWidth="1"/>
    <col min="13070" max="13070" width="11.6640625" customWidth="1"/>
    <col min="13071" max="13072" width="13.83203125" bestFit="1" customWidth="1"/>
    <col min="13073" max="13073" width="14.6640625" bestFit="1" customWidth="1"/>
    <col min="13074" max="13074" width="14.83203125" bestFit="1" customWidth="1"/>
    <col min="13075" max="13075" width="15.5" bestFit="1" customWidth="1"/>
    <col min="13313" max="13313" width="4.5" customWidth="1"/>
    <col min="13314" max="13314" width="6.83203125" customWidth="1"/>
    <col min="13315" max="13315" width="10.33203125" customWidth="1"/>
    <col min="13316" max="13316" width="44.5" customWidth="1"/>
    <col min="13317" max="13317" width="9.33203125" customWidth="1"/>
    <col min="13318" max="13318" width="6.6640625" customWidth="1"/>
    <col min="13319" max="13319" width="8" customWidth="1"/>
    <col min="13320" max="13320" width="8.6640625" customWidth="1"/>
    <col min="13321" max="13321" width="7.5" customWidth="1"/>
    <col min="13322" max="13323" width="10.6640625" bestFit="1" customWidth="1"/>
    <col min="13324" max="13325" width="14.83203125" bestFit="1" customWidth="1"/>
    <col min="13326" max="13326" width="11.6640625" customWidth="1"/>
    <col min="13327" max="13328" width="13.83203125" bestFit="1" customWidth="1"/>
    <col min="13329" max="13329" width="14.6640625" bestFit="1" customWidth="1"/>
    <col min="13330" max="13330" width="14.83203125" bestFit="1" customWidth="1"/>
    <col min="13331" max="13331" width="15.5" bestFit="1" customWidth="1"/>
    <col min="13569" max="13569" width="4.5" customWidth="1"/>
    <col min="13570" max="13570" width="6.83203125" customWidth="1"/>
    <col min="13571" max="13571" width="10.33203125" customWidth="1"/>
    <col min="13572" max="13572" width="44.5" customWidth="1"/>
    <col min="13573" max="13573" width="9.33203125" customWidth="1"/>
    <col min="13574" max="13574" width="6.6640625" customWidth="1"/>
    <col min="13575" max="13575" width="8" customWidth="1"/>
    <col min="13576" max="13576" width="8.6640625" customWidth="1"/>
    <col min="13577" max="13577" width="7.5" customWidth="1"/>
    <col min="13578" max="13579" width="10.6640625" bestFit="1" customWidth="1"/>
    <col min="13580" max="13581" width="14.83203125" bestFit="1" customWidth="1"/>
    <col min="13582" max="13582" width="11.6640625" customWidth="1"/>
    <col min="13583" max="13584" width="13.83203125" bestFit="1" customWidth="1"/>
    <col min="13585" max="13585" width="14.6640625" bestFit="1" customWidth="1"/>
    <col min="13586" max="13586" width="14.83203125" bestFit="1" customWidth="1"/>
    <col min="13587" max="13587" width="15.5" bestFit="1" customWidth="1"/>
    <col min="13825" max="13825" width="4.5" customWidth="1"/>
    <col min="13826" max="13826" width="6.83203125" customWidth="1"/>
    <col min="13827" max="13827" width="10.33203125" customWidth="1"/>
    <col min="13828" max="13828" width="44.5" customWidth="1"/>
    <col min="13829" max="13829" width="9.33203125" customWidth="1"/>
    <col min="13830" max="13830" width="6.6640625" customWidth="1"/>
    <col min="13831" max="13831" width="8" customWidth="1"/>
    <col min="13832" max="13832" width="8.6640625" customWidth="1"/>
    <col min="13833" max="13833" width="7.5" customWidth="1"/>
    <col min="13834" max="13835" width="10.6640625" bestFit="1" customWidth="1"/>
    <col min="13836" max="13837" width="14.83203125" bestFit="1" customWidth="1"/>
    <col min="13838" max="13838" width="11.6640625" customWidth="1"/>
    <col min="13839" max="13840" width="13.83203125" bestFit="1" customWidth="1"/>
    <col min="13841" max="13841" width="14.6640625" bestFit="1" customWidth="1"/>
    <col min="13842" max="13842" width="14.83203125" bestFit="1" customWidth="1"/>
    <col min="13843" max="13843" width="15.5" bestFit="1" customWidth="1"/>
    <col min="14081" max="14081" width="4.5" customWidth="1"/>
    <col min="14082" max="14082" width="6.83203125" customWidth="1"/>
    <col min="14083" max="14083" width="10.33203125" customWidth="1"/>
    <col min="14084" max="14084" width="44.5" customWidth="1"/>
    <col min="14085" max="14085" width="9.33203125" customWidth="1"/>
    <col min="14086" max="14086" width="6.6640625" customWidth="1"/>
    <col min="14087" max="14087" width="8" customWidth="1"/>
    <col min="14088" max="14088" width="8.6640625" customWidth="1"/>
    <col min="14089" max="14089" width="7.5" customWidth="1"/>
    <col min="14090" max="14091" width="10.6640625" bestFit="1" customWidth="1"/>
    <col min="14092" max="14093" width="14.83203125" bestFit="1" customWidth="1"/>
    <col min="14094" max="14094" width="11.6640625" customWidth="1"/>
    <col min="14095" max="14096" width="13.83203125" bestFit="1" customWidth="1"/>
    <col min="14097" max="14097" width="14.6640625" bestFit="1" customWidth="1"/>
    <col min="14098" max="14098" width="14.83203125" bestFit="1" customWidth="1"/>
    <col min="14099" max="14099" width="15.5" bestFit="1" customWidth="1"/>
    <col min="14337" max="14337" width="4.5" customWidth="1"/>
    <col min="14338" max="14338" width="6.83203125" customWidth="1"/>
    <col min="14339" max="14339" width="10.33203125" customWidth="1"/>
    <col min="14340" max="14340" width="44.5" customWidth="1"/>
    <col min="14341" max="14341" width="9.33203125" customWidth="1"/>
    <col min="14342" max="14342" width="6.6640625" customWidth="1"/>
    <col min="14343" max="14343" width="8" customWidth="1"/>
    <col min="14344" max="14344" width="8.6640625" customWidth="1"/>
    <col min="14345" max="14345" width="7.5" customWidth="1"/>
    <col min="14346" max="14347" width="10.6640625" bestFit="1" customWidth="1"/>
    <col min="14348" max="14349" width="14.83203125" bestFit="1" customWidth="1"/>
    <col min="14350" max="14350" width="11.6640625" customWidth="1"/>
    <col min="14351" max="14352" width="13.83203125" bestFit="1" customWidth="1"/>
    <col min="14353" max="14353" width="14.6640625" bestFit="1" customWidth="1"/>
    <col min="14354" max="14354" width="14.83203125" bestFit="1" customWidth="1"/>
    <col min="14355" max="14355" width="15.5" bestFit="1" customWidth="1"/>
    <col min="14593" max="14593" width="4.5" customWidth="1"/>
    <col min="14594" max="14594" width="6.83203125" customWidth="1"/>
    <col min="14595" max="14595" width="10.33203125" customWidth="1"/>
    <col min="14596" max="14596" width="44.5" customWidth="1"/>
    <col min="14597" max="14597" width="9.33203125" customWidth="1"/>
    <col min="14598" max="14598" width="6.6640625" customWidth="1"/>
    <col min="14599" max="14599" width="8" customWidth="1"/>
    <col min="14600" max="14600" width="8.6640625" customWidth="1"/>
    <col min="14601" max="14601" width="7.5" customWidth="1"/>
    <col min="14602" max="14603" width="10.6640625" bestFit="1" customWidth="1"/>
    <col min="14604" max="14605" width="14.83203125" bestFit="1" customWidth="1"/>
    <col min="14606" max="14606" width="11.6640625" customWidth="1"/>
    <col min="14607" max="14608" width="13.83203125" bestFit="1" customWidth="1"/>
    <col min="14609" max="14609" width="14.6640625" bestFit="1" customWidth="1"/>
    <col min="14610" max="14610" width="14.83203125" bestFit="1" customWidth="1"/>
    <col min="14611" max="14611" width="15.5" bestFit="1" customWidth="1"/>
    <col min="14849" max="14849" width="4.5" customWidth="1"/>
    <col min="14850" max="14850" width="6.83203125" customWidth="1"/>
    <col min="14851" max="14851" width="10.33203125" customWidth="1"/>
    <col min="14852" max="14852" width="44.5" customWidth="1"/>
    <col min="14853" max="14853" width="9.33203125" customWidth="1"/>
    <col min="14854" max="14854" width="6.6640625" customWidth="1"/>
    <col min="14855" max="14855" width="8" customWidth="1"/>
    <col min="14856" max="14856" width="8.6640625" customWidth="1"/>
    <col min="14857" max="14857" width="7.5" customWidth="1"/>
    <col min="14858" max="14859" width="10.6640625" bestFit="1" customWidth="1"/>
    <col min="14860" max="14861" width="14.83203125" bestFit="1" customWidth="1"/>
    <col min="14862" max="14862" width="11.6640625" customWidth="1"/>
    <col min="14863" max="14864" width="13.83203125" bestFit="1" customWidth="1"/>
    <col min="14865" max="14865" width="14.6640625" bestFit="1" customWidth="1"/>
    <col min="14866" max="14866" width="14.83203125" bestFit="1" customWidth="1"/>
    <col min="14867" max="14867" width="15.5" bestFit="1" customWidth="1"/>
    <col min="15105" max="15105" width="4.5" customWidth="1"/>
    <col min="15106" max="15106" width="6.83203125" customWidth="1"/>
    <col min="15107" max="15107" width="10.33203125" customWidth="1"/>
    <col min="15108" max="15108" width="44.5" customWidth="1"/>
    <col min="15109" max="15109" width="9.33203125" customWidth="1"/>
    <col min="15110" max="15110" width="6.6640625" customWidth="1"/>
    <col min="15111" max="15111" width="8" customWidth="1"/>
    <col min="15112" max="15112" width="8.6640625" customWidth="1"/>
    <col min="15113" max="15113" width="7.5" customWidth="1"/>
    <col min="15114" max="15115" width="10.6640625" bestFit="1" customWidth="1"/>
    <col min="15116" max="15117" width="14.83203125" bestFit="1" customWidth="1"/>
    <col min="15118" max="15118" width="11.6640625" customWidth="1"/>
    <col min="15119" max="15120" width="13.83203125" bestFit="1" customWidth="1"/>
    <col min="15121" max="15121" width="14.6640625" bestFit="1" customWidth="1"/>
    <col min="15122" max="15122" width="14.83203125" bestFit="1" customWidth="1"/>
    <col min="15123" max="15123" width="15.5" bestFit="1" customWidth="1"/>
    <col min="15361" max="15361" width="4.5" customWidth="1"/>
    <col min="15362" max="15362" width="6.83203125" customWidth="1"/>
    <col min="15363" max="15363" width="10.33203125" customWidth="1"/>
    <col min="15364" max="15364" width="44.5" customWidth="1"/>
    <col min="15365" max="15365" width="9.33203125" customWidth="1"/>
    <col min="15366" max="15366" width="6.6640625" customWidth="1"/>
    <col min="15367" max="15367" width="8" customWidth="1"/>
    <col min="15368" max="15368" width="8.6640625" customWidth="1"/>
    <col min="15369" max="15369" width="7.5" customWidth="1"/>
    <col min="15370" max="15371" width="10.6640625" bestFit="1" customWidth="1"/>
    <col min="15372" max="15373" width="14.83203125" bestFit="1" customWidth="1"/>
    <col min="15374" max="15374" width="11.6640625" customWidth="1"/>
    <col min="15375" max="15376" width="13.83203125" bestFit="1" customWidth="1"/>
    <col min="15377" max="15377" width="14.6640625" bestFit="1" customWidth="1"/>
    <col min="15378" max="15378" width="14.83203125" bestFit="1" customWidth="1"/>
    <col min="15379" max="15379" width="15.5" bestFit="1" customWidth="1"/>
    <col min="15617" max="15617" width="4.5" customWidth="1"/>
    <col min="15618" max="15618" width="6.83203125" customWidth="1"/>
    <col min="15619" max="15619" width="10.33203125" customWidth="1"/>
    <col min="15620" max="15620" width="44.5" customWidth="1"/>
    <col min="15621" max="15621" width="9.33203125" customWidth="1"/>
    <col min="15622" max="15622" width="6.6640625" customWidth="1"/>
    <col min="15623" max="15623" width="8" customWidth="1"/>
    <col min="15624" max="15624" width="8.6640625" customWidth="1"/>
    <col min="15625" max="15625" width="7.5" customWidth="1"/>
    <col min="15626" max="15627" width="10.6640625" bestFit="1" customWidth="1"/>
    <col min="15628" max="15629" width="14.83203125" bestFit="1" customWidth="1"/>
    <col min="15630" max="15630" width="11.6640625" customWidth="1"/>
    <col min="15631" max="15632" width="13.83203125" bestFit="1" customWidth="1"/>
    <col min="15633" max="15633" width="14.6640625" bestFit="1" customWidth="1"/>
    <col min="15634" max="15634" width="14.83203125" bestFit="1" customWidth="1"/>
    <col min="15635" max="15635" width="15.5" bestFit="1" customWidth="1"/>
    <col min="15873" max="15873" width="4.5" customWidth="1"/>
    <col min="15874" max="15874" width="6.83203125" customWidth="1"/>
    <col min="15875" max="15875" width="10.33203125" customWidth="1"/>
    <col min="15876" max="15876" width="44.5" customWidth="1"/>
    <col min="15877" max="15877" width="9.33203125" customWidth="1"/>
    <col min="15878" max="15878" width="6.6640625" customWidth="1"/>
    <col min="15879" max="15879" width="8" customWidth="1"/>
    <col min="15880" max="15880" width="8.6640625" customWidth="1"/>
    <col min="15881" max="15881" width="7.5" customWidth="1"/>
    <col min="15882" max="15883" width="10.6640625" bestFit="1" customWidth="1"/>
    <col min="15884" max="15885" width="14.83203125" bestFit="1" customWidth="1"/>
    <col min="15886" max="15886" width="11.6640625" customWidth="1"/>
    <col min="15887" max="15888" width="13.83203125" bestFit="1" customWidth="1"/>
    <col min="15889" max="15889" width="14.6640625" bestFit="1" customWidth="1"/>
    <col min="15890" max="15890" width="14.83203125" bestFit="1" customWidth="1"/>
    <col min="15891" max="15891" width="15.5" bestFit="1" customWidth="1"/>
    <col min="16129" max="16129" width="4.5" customWidth="1"/>
    <col min="16130" max="16130" width="6.83203125" customWidth="1"/>
    <col min="16131" max="16131" width="10.33203125" customWidth="1"/>
    <col min="16132" max="16132" width="44.5" customWidth="1"/>
    <col min="16133" max="16133" width="9.33203125" customWidth="1"/>
    <col min="16134" max="16134" width="6.6640625" customWidth="1"/>
    <col min="16135" max="16135" width="8" customWidth="1"/>
    <col min="16136" max="16136" width="8.6640625" customWidth="1"/>
    <col min="16137" max="16137" width="7.5" customWidth="1"/>
    <col min="16138" max="16139" width="10.6640625" bestFit="1" customWidth="1"/>
    <col min="16140" max="16141" width="14.83203125" bestFit="1" customWidth="1"/>
    <col min="16142" max="16142" width="11.6640625" customWidth="1"/>
    <col min="16143" max="16144" width="13.83203125" bestFit="1" customWidth="1"/>
    <col min="16145" max="16145" width="14.6640625" bestFit="1" customWidth="1"/>
    <col min="16146" max="16146" width="14.83203125" bestFit="1" customWidth="1"/>
    <col min="16147" max="16147" width="15.5" bestFit="1" customWidth="1"/>
  </cols>
  <sheetData>
    <row r="1" spans="1:21" x14ac:dyDescent="0.2">
      <c r="A1" s="33"/>
      <c r="B1" s="33"/>
      <c r="C1" s="134"/>
      <c r="D1" s="61" t="str">
        <f>+Trks!D1</f>
        <v>Waste Control</v>
      </c>
      <c r="E1" s="33"/>
      <c r="F1" s="33"/>
      <c r="G1" s="60"/>
      <c r="H1" s="33"/>
      <c r="I1" s="60"/>
      <c r="J1" s="60"/>
      <c r="K1" s="33"/>
      <c r="L1" s="33"/>
      <c r="M1" s="94"/>
      <c r="N1" s="63"/>
      <c r="O1" s="33"/>
      <c r="P1" s="33"/>
      <c r="Q1" s="33"/>
      <c r="R1" s="33"/>
      <c r="S1" s="33"/>
    </row>
    <row r="2" spans="1:21" x14ac:dyDescent="0.2">
      <c r="A2" s="33"/>
      <c r="B2" s="33"/>
      <c r="C2" s="134"/>
      <c r="D2" s="61" t="s">
        <v>307</v>
      </c>
      <c r="E2" s="33"/>
      <c r="F2" s="33"/>
      <c r="G2" s="60"/>
      <c r="H2" s="33"/>
      <c r="I2" s="60"/>
      <c r="J2" s="60"/>
      <c r="K2" s="33"/>
      <c r="L2" s="33"/>
      <c r="M2" s="64">
        <f>+Trks!N2</f>
        <v>12</v>
      </c>
      <c r="N2" s="65" t="s">
        <v>353</v>
      </c>
      <c r="O2" s="33"/>
      <c r="P2" s="33"/>
      <c r="Q2" s="33"/>
      <c r="R2" s="33"/>
      <c r="S2" s="33"/>
    </row>
    <row r="3" spans="1:21" x14ac:dyDescent="0.2">
      <c r="A3" s="33"/>
      <c r="B3" s="33"/>
      <c r="C3" s="134"/>
      <c r="D3" s="125">
        <f>'Depr Summary'!H6</f>
        <v>44865</v>
      </c>
      <c r="E3" s="33"/>
      <c r="F3" s="33"/>
      <c r="G3" s="60"/>
      <c r="H3" s="33"/>
      <c r="I3" s="60"/>
      <c r="J3" s="60"/>
      <c r="K3" s="33"/>
      <c r="L3" s="33"/>
      <c r="M3" s="64">
        <f>+Trks!N3</f>
        <v>2022</v>
      </c>
      <c r="N3" s="65" t="s">
        <v>310</v>
      </c>
      <c r="O3" s="33"/>
      <c r="P3" s="33"/>
      <c r="Q3" s="33"/>
      <c r="R3" s="33"/>
      <c r="S3" s="33"/>
    </row>
    <row r="4" spans="1:21" x14ac:dyDescent="0.2">
      <c r="A4" s="33"/>
      <c r="B4" s="33"/>
      <c r="C4" s="134"/>
      <c r="D4" s="33"/>
      <c r="E4" s="33"/>
      <c r="F4" s="33"/>
      <c r="G4" s="60"/>
      <c r="H4" s="33"/>
      <c r="I4" s="60"/>
      <c r="J4" s="60"/>
      <c r="K4" s="33"/>
      <c r="L4" s="33"/>
      <c r="M4" s="64">
        <f>+Trks!N4</f>
        <v>2023</v>
      </c>
      <c r="N4" s="65" t="s">
        <v>311</v>
      </c>
      <c r="O4" s="33"/>
      <c r="P4" s="33"/>
      <c r="Q4" s="33"/>
      <c r="R4" s="33"/>
      <c r="S4" s="33"/>
    </row>
    <row r="5" spans="1:21" ht="12" customHeight="1" x14ac:dyDescent="0.2">
      <c r="A5" s="33"/>
      <c r="B5" s="33"/>
      <c r="C5" s="134"/>
      <c r="D5" s="33"/>
      <c r="E5" s="33"/>
      <c r="F5" s="33"/>
      <c r="G5" s="60"/>
      <c r="H5" s="33"/>
      <c r="I5" s="60"/>
      <c r="J5" s="60"/>
      <c r="K5" s="33"/>
      <c r="L5" s="33"/>
      <c r="M5" s="68">
        <f>+Trks!N5</f>
        <v>2024</v>
      </c>
      <c r="N5" s="65" t="s">
        <v>314</v>
      </c>
      <c r="O5" s="33"/>
      <c r="P5" s="33"/>
      <c r="Q5" s="33"/>
      <c r="R5" s="33"/>
      <c r="S5" s="33"/>
    </row>
    <row r="6" spans="1:21" ht="12" customHeight="1" x14ac:dyDescent="0.2">
      <c r="A6" s="33"/>
      <c r="B6" s="33"/>
      <c r="C6" s="134"/>
      <c r="D6" s="233" t="s">
        <v>638</v>
      </c>
      <c r="E6" s="238">
        <f>SUM(L12:L17,L22:L23,L24:L31)</f>
        <v>325726.83</v>
      </c>
      <c r="F6" s="33"/>
      <c r="G6" s="60"/>
      <c r="H6" s="33"/>
      <c r="I6" s="60"/>
      <c r="J6" s="60"/>
      <c r="K6" s="33"/>
      <c r="L6" s="33"/>
      <c r="M6" s="44"/>
      <c r="N6" s="33"/>
      <c r="O6" s="33"/>
      <c r="P6" s="33"/>
      <c r="Q6" s="33"/>
      <c r="R6" s="33"/>
      <c r="S6" s="33"/>
    </row>
    <row r="7" spans="1:21" x14ac:dyDescent="0.2">
      <c r="E7" s="267">
        <f>L46-E6</f>
        <v>0</v>
      </c>
    </row>
    <row r="8" spans="1:21" x14ac:dyDescent="0.2">
      <c r="A8" s="33"/>
      <c r="B8" s="63"/>
      <c r="C8" s="153"/>
      <c r="D8" s="63"/>
      <c r="E8" s="63"/>
      <c r="F8" s="63"/>
      <c r="G8" s="69"/>
      <c r="H8" s="63"/>
      <c r="I8" s="69"/>
      <c r="J8" s="60"/>
      <c r="K8" s="33"/>
      <c r="L8" s="33"/>
      <c r="M8" s="44"/>
      <c r="N8" s="33"/>
      <c r="O8" s="33"/>
      <c r="P8" s="33"/>
      <c r="Q8" s="37" t="s">
        <v>281</v>
      </c>
      <c r="R8" s="37" t="s">
        <v>282</v>
      </c>
      <c r="S8" s="37"/>
    </row>
    <row r="9" spans="1:21" x14ac:dyDescent="0.2">
      <c r="A9" s="37"/>
      <c r="B9" s="37" t="s">
        <v>319</v>
      </c>
      <c r="C9" s="154"/>
      <c r="D9" s="73"/>
      <c r="E9" s="546" t="s">
        <v>355</v>
      </c>
      <c r="F9" s="546"/>
      <c r="G9" s="71" t="s">
        <v>286</v>
      </c>
      <c r="H9" s="37" t="s">
        <v>319</v>
      </c>
      <c r="I9" s="37"/>
      <c r="J9" s="37" t="s">
        <v>321</v>
      </c>
      <c r="K9" s="37" t="s">
        <v>322</v>
      </c>
      <c r="L9" s="37" t="s">
        <v>319</v>
      </c>
      <c r="M9" s="155" t="s">
        <v>319</v>
      </c>
      <c r="N9" s="73"/>
      <c r="O9" s="37"/>
      <c r="P9" s="37"/>
      <c r="Q9" s="37" t="s">
        <v>356</v>
      </c>
      <c r="R9" s="37" t="s">
        <v>356</v>
      </c>
      <c r="S9" s="37" t="s">
        <v>283</v>
      </c>
    </row>
    <row r="10" spans="1:21" x14ac:dyDescent="0.2">
      <c r="A10" s="37"/>
      <c r="B10" s="37" t="s">
        <v>357</v>
      </c>
      <c r="C10" s="154"/>
      <c r="D10" s="73" t="s">
        <v>300</v>
      </c>
      <c r="E10" s="546"/>
      <c r="F10" s="546"/>
      <c r="G10" s="71" t="s">
        <v>326</v>
      </c>
      <c r="H10" s="37" t="s">
        <v>327</v>
      </c>
      <c r="I10" s="37" t="s">
        <v>328</v>
      </c>
      <c r="J10" s="37" t="s">
        <v>329</v>
      </c>
      <c r="K10" s="37" t="s">
        <v>330</v>
      </c>
      <c r="L10" s="37" t="s">
        <v>331</v>
      </c>
      <c r="M10" s="156" t="s">
        <v>287</v>
      </c>
      <c r="N10" s="37" t="s">
        <v>332</v>
      </c>
      <c r="O10" s="37" t="s">
        <v>333</v>
      </c>
      <c r="P10" s="37" t="s">
        <v>334</v>
      </c>
      <c r="Q10" s="37" t="s">
        <v>287</v>
      </c>
      <c r="R10" s="37" t="s">
        <v>287</v>
      </c>
      <c r="S10" s="37" t="s">
        <v>290</v>
      </c>
    </row>
    <row r="11" spans="1:21" x14ac:dyDescent="0.2">
      <c r="A11" s="127" t="s">
        <v>338</v>
      </c>
      <c r="B11" s="127" t="s">
        <v>339</v>
      </c>
      <c r="C11" s="157" t="s">
        <v>359</v>
      </c>
      <c r="D11" s="128" t="s">
        <v>340</v>
      </c>
      <c r="E11" s="127" t="s">
        <v>321</v>
      </c>
      <c r="F11" s="127" t="s">
        <v>341</v>
      </c>
      <c r="G11" s="129" t="s">
        <v>342</v>
      </c>
      <c r="H11" s="127" t="s">
        <v>344</v>
      </c>
      <c r="I11" s="127" t="s">
        <v>345</v>
      </c>
      <c r="J11" s="127" t="s">
        <v>287</v>
      </c>
      <c r="K11" s="127" t="s">
        <v>287</v>
      </c>
      <c r="L11" s="127" t="s">
        <v>285</v>
      </c>
      <c r="M11" s="158" t="s">
        <v>285</v>
      </c>
      <c r="N11" s="127" t="s">
        <v>287</v>
      </c>
      <c r="O11" s="127" t="s">
        <v>287</v>
      </c>
      <c r="P11" s="40" t="s">
        <v>346</v>
      </c>
      <c r="Q11" s="131">
        <f>'Depr Summary'!F6</f>
        <v>44501</v>
      </c>
      <c r="R11" s="131">
        <f>+D3</f>
        <v>44865</v>
      </c>
      <c r="S11" s="132">
        <f>D3</f>
        <v>44865</v>
      </c>
    </row>
    <row r="12" spans="1:21" s="260" customFormat="1" x14ac:dyDescent="0.2">
      <c r="A12" s="234"/>
      <c r="B12" s="232"/>
      <c r="C12" s="232"/>
      <c r="D12" s="253" t="s">
        <v>628</v>
      </c>
      <c r="E12" s="253">
        <v>1979</v>
      </c>
      <c r="F12" s="253">
        <v>11</v>
      </c>
      <c r="G12" s="254">
        <v>0</v>
      </c>
      <c r="H12" s="232" t="s">
        <v>351</v>
      </c>
      <c r="I12" s="236">
        <v>8</v>
      </c>
      <c r="J12" s="232">
        <f t="shared" ref="J12:J17" si="0">E12+I12</f>
        <v>1987</v>
      </c>
      <c r="K12" s="237">
        <f t="shared" ref="K12:K17" si="1">+J12+(F12/12)</f>
        <v>1987.9166666666667</v>
      </c>
      <c r="L12" s="245">
        <v>4805</v>
      </c>
      <c r="M12" s="250">
        <f t="shared" ref="M12:M17" si="2">L12-L12*G12</f>
        <v>4805</v>
      </c>
      <c r="N12" s="239">
        <f t="shared" ref="N12:N17" si="3">M12/I12/12</f>
        <v>50.052083333333336</v>
      </c>
      <c r="O12" s="232">
        <f t="shared" ref="O12:O17" si="4">+N12*12</f>
        <v>600.625</v>
      </c>
      <c r="P12" s="252">
        <f t="shared" ref="P12:P17" si="5">+IF(K12&lt;=$M$5,0,IF(J12&gt;$M$4,O12,(N12*F12)))</f>
        <v>0</v>
      </c>
      <c r="Q12" s="252">
        <f t="shared" ref="Q12:Q17" si="6">+IF(P12=0,M12,IF($M$3-E12&lt;1,0,(($M$3-E12)*O12)))</f>
        <v>4805</v>
      </c>
      <c r="R12" s="250">
        <f t="shared" ref="R12:R17" si="7">+IF(P12=0,Q12,Q12+P12)</f>
        <v>4805</v>
      </c>
      <c r="S12" s="252">
        <f t="shared" ref="S12:S17" si="8">+L12-R12</f>
        <v>0</v>
      </c>
      <c r="T12" s="234"/>
      <c r="U12" s="234"/>
    </row>
    <row r="13" spans="1:21" s="260" customFormat="1" x14ac:dyDescent="0.2">
      <c r="A13" s="234"/>
      <c r="B13" s="232"/>
      <c r="C13" s="232"/>
      <c r="D13" s="253" t="s">
        <v>629</v>
      </c>
      <c r="E13" s="253">
        <v>1979</v>
      </c>
      <c r="F13" s="253">
        <v>12</v>
      </c>
      <c r="G13" s="254">
        <v>0</v>
      </c>
      <c r="H13" s="232" t="s">
        <v>351</v>
      </c>
      <c r="I13" s="236">
        <v>5</v>
      </c>
      <c r="J13" s="232">
        <f t="shared" si="0"/>
        <v>1984</v>
      </c>
      <c r="K13" s="237">
        <f t="shared" si="1"/>
        <v>1985</v>
      </c>
      <c r="L13" s="245">
        <v>1870</v>
      </c>
      <c r="M13" s="250">
        <f t="shared" si="2"/>
        <v>1870</v>
      </c>
      <c r="N13" s="239">
        <f t="shared" si="3"/>
        <v>31.166666666666668</v>
      </c>
      <c r="O13" s="232">
        <f t="shared" si="4"/>
        <v>374</v>
      </c>
      <c r="P13" s="252">
        <f t="shared" si="5"/>
        <v>0</v>
      </c>
      <c r="Q13" s="252">
        <f t="shared" si="6"/>
        <v>1870</v>
      </c>
      <c r="R13" s="250">
        <f t="shared" si="7"/>
        <v>1870</v>
      </c>
      <c r="S13" s="252">
        <f t="shared" si="8"/>
        <v>0</v>
      </c>
      <c r="T13" s="234"/>
      <c r="U13" s="234"/>
    </row>
    <row r="14" spans="1:21" s="260" customFormat="1" x14ac:dyDescent="0.2">
      <c r="A14" s="234"/>
      <c r="B14" s="232"/>
      <c r="C14" s="232"/>
      <c r="D14" s="253" t="s">
        <v>630</v>
      </c>
      <c r="E14" s="253">
        <v>1990</v>
      </c>
      <c r="F14" s="253">
        <v>5</v>
      </c>
      <c r="G14" s="254">
        <v>0</v>
      </c>
      <c r="H14" s="232" t="s">
        <v>351</v>
      </c>
      <c r="I14" s="236">
        <v>8</v>
      </c>
      <c r="J14" s="232">
        <f t="shared" si="0"/>
        <v>1998</v>
      </c>
      <c r="K14" s="237">
        <f t="shared" si="1"/>
        <v>1998.4166666666667</v>
      </c>
      <c r="L14" s="245">
        <v>1014.34</v>
      </c>
      <c r="M14" s="250">
        <f t="shared" si="2"/>
        <v>1014.34</v>
      </c>
      <c r="N14" s="239">
        <f t="shared" si="3"/>
        <v>10.566041666666667</v>
      </c>
      <c r="O14" s="232">
        <f t="shared" si="4"/>
        <v>126.7925</v>
      </c>
      <c r="P14" s="252">
        <f t="shared" si="5"/>
        <v>0</v>
      </c>
      <c r="Q14" s="252">
        <f t="shared" si="6"/>
        <v>1014.34</v>
      </c>
      <c r="R14" s="250">
        <f t="shared" si="7"/>
        <v>1014.34</v>
      </c>
      <c r="S14" s="252">
        <f t="shared" si="8"/>
        <v>0</v>
      </c>
      <c r="T14" s="234"/>
      <c r="U14" s="234"/>
    </row>
    <row r="15" spans="1:21" s="260" customFormat="1" x14ac:dyDescent="0.2">
      <c r="A15" s="234"/>
      <c r="B15" s="232"/>
      <c r="C15" s="232"/>
      <c r="D15" s="253" t="s">
        <v>631</v>
      </c>
      <c r="E15" s="253">
        <v>2003</v>
      </c>
      <c r="F15" s="253">
        <v>3</v>
      </c>
      <c r="G15" s="254">
        <v>0</v>
      </c>
      <c r="H15" s="232" t="s">
        <v>351</v>
      </c>
      <c r="I15" s="236">
        <v>5</v>
      </c>
      <c r="J15" s="232">
        <f t="shared" si="0"/>
        <v>2008</v>
      </c>
      <c r="K15" s="237">
        <f t="shared" si="1"/>
        <v>2008.25</v>
      </c>
      <c r="L15" s="245">
        <v>1614</v>
      </c>
      <c r="M15" s="250">
        <f t="shared" si="2"/>
        <v>1614</v>
      </c>
      <c r="N15" s="239">
        <f t="shared" si="3"/>
        <v>26.900000000000002</v>
      </c>
      <c r="O15" s="232">
        <f t="shared" si="4"/>
        <v>322.8</v>
      </c>
      <c r="P15" s="252">
        <f t="shared" si="5"/>
        <v>0</v>
      </c>
      <c r="Q15" s="252">
        <f t="shared" si="6"/>
        <v>1614</v>
      </c>
      <c r="R15" s="250">
        <f t="shared" si="7"/>
        <v>1614</v>
      </c>
      <c r="S15" s="252">
        <f t="shared" si="8"/>
        <v>0</v>
      </c>
      <c r="T15" s="234"/>
      <c r="U15" s="234"/>
    </row>
    <row r="16" spans="1:21" s="260" customFormat="1" x14ac:dyDescent="0.2">
      <c r="A16" s="234"/>
      <c r="B16" s="232"/>
      <c r="C16" s="232"/>
      <c r="D16" s="253" t="s">
        <v>632</v>
      </c>
      <c r="E16" s="253">
        <v>2009</v>
      </c>
      <c r="F16" s="253">
        <v>8</v>
      </c>
      <c r="G16" s="254">
        <v>0</v>
      </c>
      <c r="H16" s="232" t="s">
        <v>351</v>
      </c>
      <c r="I16" s="236">
        <v>5</v>
      </c>
      <c r="J16" s="232">
        <f t="shared" si="0"/>
        <v>2014</v>
      </c>
      <c r="K16" s="237">
        <f t="shared" si="1"/>
        <v>2014.6666666666667</v>
      </c>
      <c r="L16" s="245">
        <v>2000</v>
      </c>
      <c r="M16" s="250">
        <f t="shared" si="2"/>
        <v>2000</v>
      </c>
      <c r="N16" s="239">
        <f t="shared" si="3"/>
        <v>33.333333333333336</v>
      </c>
      <c r="O16" s="232">
        <f t="shared" si="4"/>
        <v>400</v>
      </c>
      <c r="P16" s="252">
        <f t="shared" si="5"/>
        <v>0</v>
      </c>
      <c r="Q16" s="252">
        <f t="shared" si="6"/>
        <v>2000</v>
      </c>
      <c r="R16" s="250">
        <f t="shared" si="7"/>
        <v>2000</v>
      </c>
      <c r="S16" s="252">
        <f t="shared" si="8"/>
        <v>0</v>
      </c>
      <c r="T16" s="234"/>
      <c r="U16" s="234"/>
    </row>
    <row r="17" spans="1:24" s="260" customFormat="1" x14ac:dyDescent="0.2">
      <c r="A17" s="234"/>
      <c r="B17" s="232"/>
      <c r="C17" s="232"/>
      <c r="D17" s="253" t="s">
        <v>633</v>
      </c>
      <c r="E17" s="253">
        <v>2011</v>
      </c>
      <c r="F17" s="253">
        <v>1</v>
      </c>
      <c r="G17" s="254">
        <v>0</v>
      </c>
      <c r="H17" s="232" t="s">
        <v>351</v>
      </c>
      <c r="I17" s="236">
        <v>8</v>
      </c>
      <c r="J17" s="232">
        <f t="shared" si="0"/>
        <v>2019</v>
      </c>
      <c r="K17" s="237">
        <f t="shared" si="1"/>
        <v>2019.0833333333333</v>
      </c>
      <c r="L17" s="245">
        <v>1500</v>
      </c>
      <c r="M17" s="250">
        <f t="shared" si="2"/>
        <v>1500</v>
      </c>
      <c r="N17" s="239">
        <f t="shared" si="3"/>
        <v>15.625</v>
      </c>
      <c r="O17" s="232">
        <f t="shared" si="4"/>
        <v>187.5</v>
      </c>
      <c r="P17" s="252">
        <f t="shared" si="5"/>
        <v>0</v>
      </c>
      <c r="Q17" s="252">
        <f t="shared" si="6"/>
        <v>1500</v>
      </c>
      <c r="R17" s="250">
        <f t="shared" si="7"/>
        <v>1500</v>
      </c>
      <c r="S17" s="252">
        <f t="shared" si="8"/>
        <v>0</v>
      </c>
      <c r="T17" s="234"/>
      <c r="U17" s="234"/>
    </row>
    <row r="18" spans="1:24" s="33" customFormat="1" x14ac:dyDescent="0.2">
      <c r="A18" s="60"/>
      <c r="B18" s="60"/>
      <c r="C18" s="159"/>
      <c r="D18" s="148"/>
      <c r="E18" s="95"/>
      <c r="F18" s="163"/>
      <c r="G18" s="95"/>
      <c r="H18" s="60"/>
      <c r="I18" s="60"/>
      <c r="J18" s="60"/>
      <c r="L18" s="63"/>
      <c r="M18" s="94"/>
      <c r="N18" s="63"/>
      <c r="O18" s="94"/>
      <c r="P18" s="164"/>
      <c r="Q18" s="63"/>
      <c r="R18" s="63"/>
      <c r="S18" s="63"/>
      <c r="V18"/>
      <c r="W18"/>
      <c r="X18"/>
    </row>
    <row r="19" spans="1:24" s="33" customFormat="1" x14ac:dyDescent="0.2">
      <c r="A19" s="60"/>
      <c r="B19" s="60" t="s">
        <v>319</v>
      </c>
      <c r="C19" s="159"/>
      <c r="D19" s="73" t="s">
        <v>360</v>
      </c>
      <c r="E19" s="165"/>
      <c r="F19" s="73"/>
      <c r="G19" s="95"/>
      <c r="H19" s="60"/>
      <c r="I19" s="37"/>
      <c r="J19" s="60"/>
      <c r="L19" s="262">
        <f t="shared" ref="L19:S19" si="9">SUM(L12:L18)</f>
        <v>12803.34</v>
      </c>
      <c r="M19" s="166">
        <f t="shared" si="9"/>
        <v>12803.34</v>
      </c>
      <c r="N19" s="142">
        <f t="shared" si="9"/>
        <v>167.643125</v>
      </c>
      <c r="O19" s="166">
        <f t="shared" si="9"/>
        <v>2011.7175</v>
      </c>
      <c r="P19" s="167">
        <f t="shared" si="9"/>
        <v>0</v>
      </c>
      <c r="Q19" s="142">
        <f t="shared" si="9"/>
        <v>12803.34</v>
      </c>
      <c r="R19" s="142">
        <f t="shared" si="9"/>
        <v>12803.34</v>
      </c>
      <c r="S19" s="142">
        <f t="shared" si="9"/>
        <v>0</v>
      </c>
      <c r="V19"/>
      <c r="W19"/>
      <c r="X19"/>
    </row>
    <row r="20" spans="1:24" s="33" customFormat="1" x14ac:dyDescent="0.2">
      <c r="A20" s="60"/>
      <c r="B20" s="122"/>
      <c r="C20" s="168"/>
      <c r="D20" s="60"/>
      <c r="E20" s="95"/>
      <c r="F20" s="60"/>
      <c r="G20" s="95"/>
      <c r="H20" s="60"/>
      <c r="I20" s="60"/>
      <c r="J20" s="60"/>
      <c r="L20" s="69"/>
      <c r="M20" s="94"/>
      <c r="N20" s="63"/>
      <c r="O20" s="94"/>
      <c r="P20" s="164"/>
      <c r="Q20" s="63"/>
      <c r="R20" s="63"/>
      <c r="S20" s="63"/>
      <c r="V20"/>
      <c r="W20"/>
      <c r="X20"/>
    </row>
    <row r="21" spans="1:24" s="33" customFormat="1" x14ac:dyDescent="0.2">
      <c r="A21" s="60"/>
      <c r="B21" s="60"/>
      <c r="C21" s="159"/>
      <c r="D21" s="70" t="s">
        <v>372</v>
      </c>
      <c r="E21" s="95"/>
      <c r="F21" s="60"/>
      <c r="G21" s="95"/>
      <c r="H21" s="60"/>
      <c r="I21" s="60"/>
      <c r="J21" s="60"/>
      <c r="L21" s="69"/>
      <c r="M21" s="94"/>
      <c r="N21" s="63"/>
      <c r="O21" s="94"/>
      <c r="P21" s="164"/>
      <c r="Q21" s="63"/>
      <c r="R21" s="63"/>
      <c r="S21" s="63"/>
      <c r="V21"/>
      <c r="W21"/>
      <c r="X21"/>
    </row>
    <row r="22" spans="1:24" s="234" customFormat="1" ht="12" x14ac:dyDescent="0.2">
      <c r="A22" s="232"/>
      <c r="B22" s="232"/>
      <c r="C22" s="232" t="s">
        <v>589</v>
      </c>
      <c r="D22" s="257" t="s">
        <v>582</v>
      </c>
      <c r="E22" s="234">
        <v>2004</v>
      </c>
      <c r="F22" s="234">
        <v>5</v>
      </c>
      <c r="G22" s="258">
        <v>0</v>
      </c>
      <c r="H22" s="232" t="s">
        <v>347</v>
      </c>
      <c r="I22" s="232">
        <v>5</v>
      </c>
      <c r="J22" s="233">
        <f t="shared" ref="J22:J31" si="10">E22+I22</f>
        <v>2009</v>
      </c>
      <c r="K22" s="259">
        <f t="shared" ref="K22:K31" si="11">+J22+(F22/12)</f>
        <v>2009.4166666666667</v>
      </c>
      <c r="L22" s="250">
        <v>1366.67</v>
      </c>
      <c r="M22" s="252">
        <f t="shared" ref="M22:M31" si="12">L22-L22*G22</f>
        <v>1366.67</v>
      </c>
      <c r="N22" s="252">
        <f t="shared" ref="N22:N31" si="13">M22/I22/12</f>
        <v>22.777833333333334</v>
      </c>
      <c r="O22" s="252">
        <f t="shared" ref="O22:O31" si="14">+N22*12</f>
        <v>273.334</v>
      </c>
      <c r="P22" s="252">
        <f t="shared" ref="P22:P31" si="15">+IF(K22&lt;=$M$5,0,IF(J22&gt;$M$4,O22,(N22*F22)))</f>
        <v>0</v>
      </c>
      <c r="Q22" s="252">
        <f t="shared" ref="Q22:Q31" si="16">+IF(P22=0,M22,IF($M$3-E22&lt;1,0,(($M$3-E22)*O22)))</f>
        <v>1366.67</v>
      </c>
      <c r="R22" s="252">
        <f t="shared" ref="R22:R31" si="17">+IF(P22=0,Q22,Q22+P22)</f>
        <v>1366.67</v>
      </c>
      <c r="S22" s="252">
        <f t="shared" ref="S22:S31" si="18">+L22-R22</f>
        <v>0</v>
      </c>
    </row>
    <row r="23" spans="1:24" s="234" customFormat="1" ht="12" x14ac:dyDescent="0.2">
      <c r="A23" s="232"/>
      <c r="B23" s="232"/>
      <c r="C23" s="232" t="s">
        <v>590</v>
      </c>
      <c r="D23" s="257" t="s">
        <v>583</v>
      </c>
      <c r="E23" s="234">
        <v>2005</v>
      </c>
      <c r="F23" s="234">
        <v>3</v>
      </c>
      <c r="G23" s="258">
        <v>0</v>
      </c>
      <c r="H23" s="232" t="s">
        <v>347</v>
      </c>
      <c r="I23" s="232">
        <v>5</v>
      </c>
      <c r="J23" s="233">
        <f t="shared" si="10"/>
        <v>2010</v>
      </c>
      <c r="K23" s="259">
        <f t="shared" si="11"/>
        <v>2010.25</v>
      </c>
      <c r="L23" s="250">
        <v>28607.42</v>
      </c>
      <c r="M23" s="252">
        <f t="shared" si="12"/>
        <v>28607.42</v>
      </c>
      <c r="N23" s="252">
        <f t="shared" si="13"/>
        <v>476.79033333333331</v>
      </c>
      <c r="O23" s="252">
        <f t="shared" si="14"/>
        <v>5721.4839999999995</v>
      </c>
      <c r="P23" s="252">
        <f t="shared" si="15"/>
        <v>0</v>
      </c>
      <c r="Q23" s="252">
        <f t="shared" si="16"/>
        <v>28607.42</v>
      </c>
      <c r="R23" s="252">
        <f t="shared" si="17"/>
        <v>28607.42</v>
      </c>
      <c r="S23" s="252">
        <f t="shared" si="18"/>
        <v>0</v>
      </c>
    </row>
    <row r="24" spans="1:24" s="234" customFormat="1" ht="12" x14ac:dyDescent="0.2">
      <c r="A24" s="232"/>
      <c r="B24" s="232"/>
      <c r="C24" s="232" t="s">
        <v>591</v>
      </c>
      <c r="D24" s="257" t="s">
        <v>584</v>
      </c>
      <c r="E24" s="234">
        <v>2009</v>
      </c>
      <c r="F24" s="234">
        <v>7</v>
      </c>
      <c r="G24" s="258">
        <v>0</v>
      </c>
      <c r="H24" s="232" t="s">
        <v>347</v>
      </c>
      <c r="I24" s="232">
        <v>5</v>
      </c>
      <c r="J24" s="233">
        <f t="shared" si="10"/>
        <v>2014</v>
      </c>
      <c r="K24" s="259">
        <f t="shared" si="11"/>
        <v>2014.5833333333333</v>
      </c>
      <c r="L24" s="250">
        <v>30544.75</v>
      </c>
      <c r="M24" s="252">
        <f t="shared" si="12"/>
        <v>30544.75</v>
      </c>
      <c r="N24" s="252">
        <f t="shared" si="13"/>
        <v>509.07916666666665</v>
      </c>
      <c r="O24" s="252">
        <f t="shared" si="14"/>
        <v>6108.95</v>
      </c>
      <c r="P24" s="252">
        <f t="shared" si="15"/>
        <v>0</v>
      </c>
      <c r="Q24" s="252">
        <f t="shared" si="16"/>
        <v>30544.75</v>
      </c>
      <c r="R24" s="252">
        <f t="shared" si="17"/>
        <v>30544.75</v>
      </c>
      <c r="S24" s="252">
        <f t="shared" si="18"/>
        <v>0</v>
      </c>
    </row>
    <row r="25" spans="1:24" s="234" customFormat="1" ht="12" x14ac:dyDescent="0.2">
      <c r="A25" s="232"/>
      <c r="B25" s="232"/>
      <c r="C25" s="232" t="s">
        <v>592</v>
      </c>
      <c r="D25" s="257" t="s">
        <v>585</v>
      </c>
      <c r="E25" s="234">
        <v>2009</v>
      </c>
      <c r="F25" s="234">
        <v>10</v>
      </c>
      <c r="G25" s="258">
        <v>0</v>
      </c>
      <c r="H25" s="232" t="s">
        <v>347</v>
      </c>
      <c r="I25" s="232">
        <v>5</v>
      </c>
      <c r="J25" s="233">
        <f t="shared" si="10"/>
        <v>2014</v>
      </c>
      <c r="K25" s="259">
        <f t="shared" si="11"/>
        <v>2014.8333333333333</v>
      </c>
      <c r="L25" s="250">
        <v>38778.99</v>
      </c>
      <c r="M25" s="252">
        <f t="shared" si="12"/>
        <v>38778.99</v>
      </c>
      <c r="N25" s="252">
        <f t="shared" si="13"/>
        <v>646.31650000000002</v>
      </c>
      <c r="O25" s="252">
        <f t="shared" si="14"/>
        <v>7755.7980000000007</v>
      </c>
      <c r="P25" s="252">
        <f t="shared" si="15"/>
        <v>0</v>
      </c>
      <c r="Q25" s="252">
        <f t="shared" si="16"/>
        <v>38778.99</v>
      </c>
      <c r="R25" s="252">
        <f t="shared" si="17"/>
        <v>38778.99</v>
      </c>
      <c r="S25" s="252">
        <f t="shared" si="18"/>
        <v>0</v>
      </c>
    </row>
    <row r="26" spans="1:24" s="234" customFormat="1" ht="12" x14ac:dyDescent="0.2">
      <c r="A26" s="232"/>
      <c r="B26" s="232"/>
      <c r="C26" s="232" t="s">
        <v>593</v>
      </c>
      <c r="D26" s="257" t="s">
        <v>586</v>
      </c>
      <c r="E26" s="234">
        <v>2010</v>
      </c>
      <c r="F26" s="234">
        <v>12</v>
      </c>
      <c r="G26" s="258">
        <v>0</v>
      </c>
      <c r="H26" s="232" t="s">
        <v>347</v>
      </c>
      <c r="I26" s="232">
        <v>5</v>
      </c>
      <c r="J26" s="233">
        <f t="shared" si="10"/>
        <v>2015</v>
      </c>
      <c r="K26" s="259">
        <f t="shared" si="11"/>
        <v>2016</v>
      </c>
      <c r="L26" s="250">
        <v>39352.400000000001</v>
      </c>
      <c r="M26" s="252">
        <f t="shared" si="12"/>
        <v>39352.400000000001</v>
      </c>
      <c r="N26" s="252">
        <f t="shared" si="13"/>
        <v>655.87333333333333</v>
      </c>
      <c r="O26" s="252">
        <f t="shared" si="14"/>
        <v>7870.48</v>
      </c>
      <c r="P26" s="252">
        <f t="shared" si="15"/>
        <v>0</v>
      </c>
      <c r="Q26" s="252">
        <f t="shared" si="16"/>
        <v>39352.400000000001</v>
      </c>
      <c r="R26" s="252">
        <f t="shared" si="17"/>
        <v>39352.400000000001</v>
      </c>
      <c r="S26" s="252">
        <f t="shared" si="18"/>
        <v>0</v>
      </c>
    </row>
    <row r="27" spans="1:24" s="234" customFormat="1" ht="12" x14ac:dyDescent="0.2">
      <c r="A27" s="232"/>
      <c r="B27" s="232"/>
      <c r="C27" s="232" t="s">
        <v>594</v>
      </c>
      <c r="D27" s="257" t="s">
        <v>587</v>
      </c>
      <c r="E27" s="234">
        <v>2011</v>
      </c>
      <c r="F27" s="234">
        <v>12</v>
      </c>
      <c r="G27" s="258">
        <v>0</v>
      </c>
      <c r="H27" s="232" t="s">
        <v>347</v>
      </c>
      <c r="I27" s="232">
        <v>5</v>
      </c>
      <c r="J27" s="233">
        <f t="shared" si="10"/>
        <v>2016</v>
      </c>
      <c r="K27" s="259">
        <f t="shared" si="11"/>
        <v>2017</v>
      </c>
      <c r="L27" s="250">
        <v>37277.67</v>
      </c>
      <c r="M27" s="252">
        <f t="shared" si="12"/>
        <v>37277.67</v>
      </c>
      <c r="N27" s="252">
        <f t="shared" si="13"/>
        <v>621.29449999999997</v>
      </c>
      <c r="O27" s="252">
        <f t="shared" si="14"/>
        <v>7455.5339999999997</v>
      </c>
      <c r="P27" s="252">
        <f t="shared" si="15"/>
        <v>0</v>
      </c>
      <c r="Q27" s="252">
        <f t="shared" si="16"/>
        <v>37277.67</v>
      </c>
      <c r="R27" s="252">
        <f t="shared" si="17"/>
        <v>37277.67</v>
      </c>
      <c r="S27" s="252">
        <f t="shared" si="18"/>
        <v>0</v>
      </c>
    </row>
    <row r="28" spans="1:24" s="234" customFormat="1" ht="12" x14ac:dyDescent="0.2">
      <c r="A28" s="232"/>
      <c r="B28" s="232"/>
      <c r="C28" s="232" t="s">
        <v>595</v>
      </c>
      <c r="D28" s="257" t="s">
        <v>588</v>
      </c>
      <c r="E28" s="234">
        <v>2017</v>
      </c>
      <c r="F28" s="234">
        <v>2</v>
      </c>
      <c r="G28" s="258">
        <v>0</v>
      </c>
      <c r="H28" s="232" t="s">
        <v>347</v>
      </c>
      <c r="I28" s="232">
        <v>5</v>
      </c>
      <c r="J28" s="233">
        <f t="shared" si="10"/>
        <v>2022</v>
      </c>
      <c r="K28" s="259">
        <f t="shared" si="11"/>
        <v>2022.1666666666667</v>
      </c>
      <c r="L28" s="250">
        <v>3146.13</v>
      </c>
      <c r="M28" s="252">
        <f t="shared" si="12"/>
        <v>3146.13</v>
      </c>
      <c r="N28" s="252">
        <f t="shared" si="13"/>
        <v>52.435499999999998</v>
      </c>
      <c r="O28" s="252">
        <f t="shared" si="14"/>
        <v>629.226</v>
      </c>
      <c r="P28" s="252">
        <f t="shared" si="15"/>
        <v>0</v>
      </c>
      <c r="Q28" s="252">
        <f t="shared" si="16"/>
        <v>3146.13</v>
      </c>
      <c r="R28" s="252">
        <f t="shared" si="17"/>
        <v>3146.13</v>
      </c>
      <c r="S28" s="252">
        <f t="shared" si="18"/>
        <v>0</v>
      </c>
    </row>
    <row r="29" spans="1:24" s="234" customFormat="1" ht="12" x14ac:dyDescent="0.2">
      <c r="A29" s="232"/>
      <c r="B29" s="232"/>
      <c r="C29" s="232" t="s">
        <v>596</v>
      </c>
      <c r="D29" s="257" t="s">
        <v>599</v>
      </c>
      <c r="E29" s="234">
        <v>2017</v>
      </c>
      <c r="F29" s="234">
        <v>11</v>
      </c>
      <c r="G29" s="258">
        <v>0</v>
      </c>
      <c r="H29" s="232" t="s">
        <v>347</v>
      </c>
      <c r="I29" s="232">
        <v>5</v>
      </c>
      <c r="J29" s="233">
        <f t="shared" si="10"/>
        <v>2022</v>
      </c>
      <c r="K29" s="259">
        <f t="shared" si="11"/>
        <v>2022.9166666666667</v>
      </c>
      <c r="L29" s="250">
        <v>64326.82</v>
      </c>
      <c r="M29" s="252">
        <f t="shared" si="12"/>
        <v>64326.82</v>
      </c>
      <c r="N29" s="252">
        <f t="shared" si="13"/>
        <v>1072.1136666666666</v>
      </c>
      <c r="O29" s="252">
        <f t="shared" si="14"/>
        <v>12865.364</v>
      </c>
      <c r="P29" s="252">
        <f t="shared" si="15"/>
        <v>0</v>
      </c>
      <c r="Q29" s="252">
        <f t="shared" si="16"/>
        <v>64326.82</v>
      </c>
      <c r="R29" s="252">
        <f t="shared" si="17"/>
        <v>64326.82</v>
      </c>
      <c r="S29" s="252">
        <f t="shared" si="18"/>
        <v>0</v>
      </c>
    </row>
    <row r="30" spans="1:24" s="234" customFormat="1" ht="12" x14ac:dyDescent="0.2">
      <c r="A30" s="232"/>
      <c r="B30" s="232"/>
      <c r="C30" s="232" t="s">
        <v>597</v>
      </c>
      <c r="D30" s="257" t="s">
        <v>600</v>
      </c>
      <c r="E30" s="234">
        <v>2017</v>
      </c>
      <c r="F30" s="234">
        <v>11</v>
      </c>
      <c r="G30" s="258">
        <v>0</v>
      </c>
      <c r="H30" s="232" t="s">
        <v>347</v>
      </c>
      <c r="I30" s="232">
        <v>5</v>
      </c>
      <c r="J30" s="233">
        <f t="shared" si="10"/>
        <v>2022</v>
      </c>
      <c r="K30" s="259">
        <f t="shared" si="11"/>
        <v>2022.9166666666667</v>
      </c>
      <c r="L30" s="250">
        <v>63822.74</v>
      </c>
      <c r="M30" s="252">
        <f t="shared" si="12"/>
        <v>63822.74</v>
      </c>
      <c r="N30" s="252">
        <f t="shared" si="13"/>
        <v>1063.7123333333332</v>
      </c>
      <c r="O30" s="252">
        <f t="shared" si="14"/>
        <v>12764.547999999999</v>
      </c>
      <c r="P30" s="252">
        <f t="shared" si="15"/>
        <v>0</v>
      </c>
      <c r="Q30" s="252">
        <f t="shared" si="16"/>
        <v>63822.74</v>
      </c>
      <c r="R30" s="252">
        <f t="shared" si="17"/>
        <v>63822.74</v>
      </c>
      <c r="S30" s="252">
        <f t="shared" si="18"/>
        <v>0</v>
      </c>
    </row>
    <row r="31" spans="1:24" s="234" customFormat="1" ht="12" x14ac:dyDescent="0.2">
      <c r="A31" s="232"/>
      <c r="B31" s="232"/>
      <c r="C31" s="232" t="s">
        <v>598</v>
      </c>
      <c r="D31" s="257" t="s">
        <v>601</v>
      </c>
      <c r="E31" s="234">
        <v>2018</v>
      </c>
      <c r="F31" s="234">
        <v>11</v>
      </c>
      <c r="G31" s="258">
        <v>0</v>
      </c>
      <c r="H31" s="232" t="s">
        <v>347</v>
      </c>
      <c r="I31" s="232">
        <v>5</v>
      </c>
      <c r="J31" s="233">
        <f t="shared" si="10"/>
        <v>2023</v>
      </c>
      <c r="K31" s="259">
        <f t="shared" si="11"/>
        <v>2023.9166666666667</v>
      </c>
      <c r="L31" s="250">
        <v>5699.9</v>
      </c>
      <c r="M31" s="252">
        <f t="shared" si="12"/>
        <v>5699.9</v>
      </c>
      <c r="N31" s="252">
        <f t="shared" si="13"/>
        <v>94.998333333333335</v>
      </c>
      <c r="O31" s="252">
        <f t="shared" si="14"/>
        <v>1139.98</v>
      </c>
      <c r="P31" s="252">
        <f t="shared" si="15"/>
        <v>0</v>
      </c>
      <c r="Q31" s="252">
        <f t="shared" si="16"/>
        <v>5699.9</v>
      </c>
      <c r="R31" s="252">
        <f t="shared" si="17"/>
        <v>5699.9</v>
      </c>
      <c r="S31" s="252">
        <f t="shared" si="18"/>
        <v>0</v>
      </c>
    </row>
    <row r="32" spans="1:24" s="33" customFormat="1" ht="12" x14ac:dyDescent="0.2">
      <c r="G32" s="160"/>
      <c r="H32" s="60"/>
      <c r="I32" s="60"/>
      <c r="J32" s="169"/>
      <c r="K32" s="170"/>
      <c r="L32" s="171"/>
      <c r="M32" s="162"/>
      <c r="N32" s="162"/>
      <c r="O32" s="162"/>
      <c r="P32" s="162"/>
      <c r="Q32" s="162"/>
      <c r="R32" s="162"/>
      <c r="S32" s="162"/>
    </row>
    <row r="33" spans="1:24" s="33" customFormat="1" ht="12" x14ac:dyDescent="0.2">
      <c r="C33" s="62"/>
      <c r="G33" s="160"/>
      <c r="H33" s="60"/>
      <c r="I33" s="60"/>
      <c r="J33" s="169"/>
      <c r="K33" s="170"/>
      <c r="L33" s="171"/>
      <c r="M33" s="162"/>
      <c r="N33" s="162"/>
      <c r="O33" s="162"/>
      <c r="P33" s="162"/>
      <c r="Q33" s="162"/>
      <c r="R33" s="162"/>
      <c r="S33" s="162"/>
    </row>
    <row r="34" spans="1:24" s="33" customFormat="1" ht="12" x14ac:dyDescent="0.2">
      <c r="A34" s="59"/>
      <c r="B34" s="60"/>
      <c r="C34" s="60"/>
      <c r="G34" s="116"/>
      <c r="I34" s="60"/>
      <c r="J34" s="60"/>
      <c r="K34" s="60"/>
      <c r="L34" s="83"/>
      <c r="M34" s="53"/>
      <c r="N34" s="63"/>
      <c r="O34" s="63"/>
      <c r="P34" s="94"/>
      <c r="Q34" s="133"/>
      <c r="R34" s="63"/>
      <c r="S34" s="133"/>
      <c r="T34" s="63"/>
      <c r="U34" s="133"/>
      <c r="V34" s="85"/>
      <c r="W34" s="162">
        <f>Q34*V34</f>
        <v>0</v>
      </c>
      <c r="X34" s="162">
        <f>U34*V34</f>
        <v>0</v>
      </c>
    </row>
    <row r="35" spans="1:24" s="33" customFormat="1" ht="12" x14ac:dyDescent="0.2">
      <c r="A35" s="159"/>
      <c r="B35" s="159"/>
      <c r="C35" s="159"/>
      <c r="D35" s="92"/>
      <c r="E35" s="174"/>
      <c r="F35" s="174"/>
      <c r="G35" s="175"/>
      <c r="H35" s="159"/>
      <c r="I35" s="176"/>
      <c r="J35" s="159"/>
      <c r="K35" s="134"/>
      <c r="L35" s="177"/>
      <c r="M35" s="178"/>
      <c r="N35" s="153"/>
      <c r="O35" s="178"/>
      <c r="P35" s="179"/>
      <c r="Q35" s="153"/>
      <c r="R35" s="153"/>
      <c r="S35" s="153"/>
    </row>
    <row r="36" spans="1:24" s="33" customFormat="1" ht="12" x14ac:dyDescent="0.2">
      <c r="A36" s="60"/>
      <c r="B36" s="60"/>
      <c r="C36" s="60"/>
      <c r="D36" s="70" t="s">
        <v>366</v>
      </c>
      <c r="G36" s="95"/>
      <c r="H36" s="60"/>
      <c r="I36" s="60"/>
      <c r="J36" s="60"/>
      <c r="L36" s="263">
        <f t="shared" ref="L36:S36" si="19">SUM(L22:L35)</f>
        <v>312923.49</v>
      </c>
      <c r="M36" s="166">
        <f t="shared" si="19"/>
        <v>312923.49</v>
      </c>
      <c r="N36" s="166">
        <f t="shared" si="19"/>
        <v>5215.3914999999997</v>
      </c>
      <c r="O36" s="166">
        <f t="shared" si="19"/>
        <v>62584.698000000011</v>
      </c>
      <c r="P36" s="166">
        <f t="shared" si="19"/>
        <v>0</v>
      </c>
      <c r="Q36" s="166">
        <f t="shared" si="19"/>
        <v>312923.49</v>
      </c>
      <c r="R36" s="166">
        <f t="shared" si="19"/>
        <v>312923.49</v>
      </c>
      <c r="S36" s="166">
        <f t="shared" si="19"/>
        <v>0</v>
      </c>
    </row>
    <row r="37" spans="1:24" s="33" customFormat="1" ht="12" x14ac:dyDescent="0.2">
      <c r="A37" s="60"/>
      <c r="B37" s="60"/>
      <c r="C37" s="60"/>
      <c r="D37" s="70"/>
      <c r="G37" s="95"/>
      <c r="H37" s="60"/>
      <c r="I37" s="60"/>
      <c r="J37" s="60"/>
      <c r="L37" s="187"/>
      <c r="M37" s="187"/>
      <c r="N37" s="187"/>
      <c r="O37" s="187"/>
      <c r="P37" s="187"/>
      <c r="Q37" s="187"/>
      <c r="R37" s="187"/>
      <c r="S37" s="187"/>
    </row>
    <row r="38" spans="1:24" s="33" customFormat="1" ht="12" x14ac:dyDescent="0.2">
      <c r="A38" s="60"/>
      <c r="B38" s="60"/>
      <c r="C38" s="60"/>
      <c r="D38" s="33" t="s">
        <v>319</v>
      </c>
      <c r="G38" s="95"/>
      <c r="H38" s="60"/>
      <c r="I38" s="60"/>
      <c r="J38" s="60"/>
      <c r="L38" s="65"/>
      <c r="M38" s="94"/>
      <c r="N38" s="63"/>
      <c r="O38" s="94"/>
      <c r="P38" s="164"/>
      <c r="Q38" s="63"/>
      <c r="R38" s="63"/>
      <c r="S38" s="63"/>
    </row>
    <row r="39" spans="1:24" s="182" customFormat="1" ht="12" x14ac:dyDescent="0.2">
      <c r="A39" s="180"/>
      <c r="B39" s="180"/>
      <c r="C39" s="180"/>
      <c r="D39" s="92"/>
      <c r="E39" s="92"/>
      <c r="F39" s="92"/>
      <c r="G39" s="181"/>
      <c r="H39" s="180"/>
      <c r="I39" s="180"/>
      <c r="J39" s="180"/>
      <c r="L39" s="183"/>
      <c r="M39" s="184"/>
      <c r="N39" s="183"/>
      <c r="O39" s="184"/>
      <c r="P39" s="185"/>
      <c r="Q39" s="183"/>
      <c r="R39" s="183"/>
      <c r="S39" s="183"/>
    </row>
    <row r="40" spans="1:24" s="182" customFormat="1" ht="12" x14ac:dyDescent="0.2">
      <c r="A40" s="180"/>
      <c r="B40" s="180"/>
      <c r="C40" s="180"/>
      <c r="D40" s="92"/>
      <c r="E40" s="92"/>
      <c r="F40" s="92"/>
      <c r="G40" s="116"/>
      <c r="H40" s="60"/>
      <c r="I40" s="82"/>
      <c r="J40" s="60"/>
      <c r="K40" s="33"/>
      <c r="L40" s="93"/>
      <c r="M40" s="94"/>
      <c r="N40" s="63"/>
      <c r="O40" s="94"/>
      <c r="P40" s="161"/>
      <c r="Q40" s="161"/>
      <c r="R40" s="94"/>
      <c r="S40" s="161"/>
    </row>
    <row r="41" spans="1:24" s="182" customFormat="1" ht="12" x14ac:dyDescent="0.2">
      <c r="A41" s="180"/>
      <c r="B41" s="180"/>
      <c r="C41" s="180"/>
      <c r="D41" s="92"/>
      <c r="E41" s="92"/>
      <c r="F41" s="92"/>
      <c r="G41" s="116"/>
      <c r="H41" s="60"/>
      <c r="I41" s="82"/>
      <c r="J41" s="60"/>
      <c r="K41" s="33"/>
      <c r="L41" s="93"/>
      <c r="M41" s="94"/>
      <c r="N41" s="63"/>
      <c r="O41" s="94"/>
      <c r="P41" s="162"/>
      <c r="Q41" s="162"/>
      <c r="R41" s="94"/>
      <c r="S41" s="162"/>
    </row>
    <row r="42" spans="1:24" s="182" customFormat="1" ht="12" x14ac:dyDescent="0.2">
      <c r="G42" s="180"/>
    </row>
    <row r="43" spans="1:24" s="182" customFormat="1" thickBot="1" x14ac:dyDescent="0.25">
      <c r="G43" s="180"/>
      <c r="L43" s="186">
        <f>SUM(L38:L42)</f>
        <v>0</v>
      </c>
      <c r="M43" s="186">
        <f t="shared" ref="M43:S43" si="20">SUM(M38:M42)</f>
        <v>0</v>
      </c>
      <c r="N43" s="186">
        <f t="shared" si="20"/>
        <v>0</v>
      </c>
      <c r="O43" s="186">
        <f t="shared" si="20"/>
        <v>0</v>
      </c>
      <c r="P43" s="186">
        <f t="shared" si="20"/>
        <v>0</v>
      </c>
      <c r="Q43" s="186">
        <f t="shared" si="20"/>
        <v>0</v>
      </c>
      <c r="R43" s="186">
        <f t="shared" si="20"/>
        <v>0</v>
      </c>
      <c r="S43" s="186">
        <f t="shared" si="20"/>
        <v>0</v>
      </c>
    </row>
    <row r="44" spans="1:24" s="33" customFormat="1" thickTop="1" x14ac:dyDescent="0.2">
      <c r="A44" s="60"/>
      <c r="B44" s="60"/>
      <c r="C44" s="60"/>
      <c r="D44" s="72"/>
      <c r="E44" s="72"/>
      <c r="F44" s="72"/>
      <c r="G44" s="95"/>
      <c r="H44" s="60"/>
      <c r="I44" s="60"/>
      <c r="J44" s="60"/>
      <c r="L44" s="143"/>
      <c r="M44" s="94"/>
      <c r="N44" s="63"/>
      <c r="O44" s="94"/>
      <c r="P44" s="164"/>
      <c r="Q44" s="63"/>
      <c r="R44" s="63"/>
      <c r="S44" s="63"/>
    </row>
    <row r="45" spans="1:24" s="182" customFormat="1" ht="12" x14ac:dyDescent="0.2">
      <c r="A45" s="180"/>
      <c r="B45" s="180"/>
      <c r="C45" s="180"/>
      <c r="D45" s="92"/>
      <c r="E45" s="92"/>
      <c r="F45" s="92"/>
      <c r="G45" s="181"/>
      <c r="H45" s="180"/>
      <c r="I45" s="180"/>
      <c r="J45" s="180"/>
      <c r="L45" s="143"/>
      <c r="M45" s="187"/>
      <c r="N45" s="143"/>
      <c r="O45" s="187"/>
      <c r="P45" s="188"/>
      <c r="Q45" s="143"/>
      <c r="R45" s="143"/>
      <c r="S45" s="143"/>
    </row>
    <row r="46" spans="1:24" s="182" customFormat="1" thickBot="1" x14ac:dyDescent="0.25">
      <c r="A46" s="180"/>
      <c r="B46" s="180"/>
      <c r="C46" s="180"/>
      <c r="D46" s="92"/>
      <c r="E46" s="92"/>
      <c r="F46" s="92"/>
      <c r="G46" s="181"/>
      <c r="H46" s="180"/>
      <c r="I46" s="180"/>
      <c r="J46" s="180"/>
      <c r="L46" s="186">
        <f t="shared" ref="L46:S46" si="21">L36+L19+L43</f>
        <v>325726.83</v>
      </c>
      <c r="M46" s="186">
        <f t="shared" si="21"/>
        <v>325726.83</v>
      </c>
      <c r="N46" s="186">
        <f t="shared" si="21"/>
        <v>5383.0346249999993</v>
      </c>
      <c r="O46" s="186">
        <f t="shared" si="21"/>
        <v>64596.41550000001</v>
      </c>
      <c r="P46" s="186">
        <f t="shared" si="21"/>
        <v>0</v>
      </c>
      <c r="Q46" s="186">
        <f t="shared" si="21"/>
        <v>325726.83</v>
      </c>
      <c r="R46" s="186">
        <f t="shared" si="21"/>
        <v>325726.83</v>
      </c>
      <c r="S46" s="186">
        <f t="shared" si="21"/>
        <v>0</v>
      </c>
    </row>
    <row r="47" spans="1:24" s="182" customFormat="1" thickTop="1" x14ac:dyDescent="0.2">
      <c r="A47" s="180"/>
      <c r="B47" s="180"/>
      <c r="C47" s="180"/>
      <c r="D47" s="92"/>
      <c r="E47" s="92"/>
      <c r="F47" s="92"/>
      <c r="G47" s="181"/>
      <c r="H47" s="180"/>
      <c r="I47" s="180"/>
      <c r="J47" s="180"/>
      <c r="L47" s="143"/>
      <c r="M47" s="187"/>
      <c r="N47" s="143"/>
      <c r="O47" s="187"/>
      <c r="P47" s="188"/>
      <c r="Q47" s="143"/>
      <c r="R47" s="143"/>
      <c r="S47" s="143"/>
    </row>
    <row r="48" spans="1:24" s="33" customFormat="1" ht="12" x14ac:dyDescent="0.2">
      <c r="A48" s="60"/>
      <c r="B48" s="60"/>
      <c r="C48" s="60"/>
      <c r="D48" s="72"/>
      <c r="E48" s="72"/>
      <c r="F48" s="72"/>
      <c r="G48" s="95"/>
      <c r="H48" s="60"/>
      <c r="I48" s="60"/>
      <c r="J48" s="60"/>
      <c r="L48" s="143"/>
      <c r="M48" s="94"/>
      <c r="N48" s="63"/>
      <c r="O48" s="94"/>
      <c r="P48" s="164"/>
      <c r="Q48" s="63"/>
      <c r="R48" s="63"/>
      <c r="S48" s="63"/>
    </row>
    <row r="49" spans="1:24" s="33" customFormat="1" ht="12" x14ac:dyDescent="0.2">
      <c r="A49" s="60"/>
      <c r="B49" s="60"/>
      <c r="C49" s="60"/>
      <c r="D49" s="72"/>
      <c r="E49" s="72"/>
      <c r="F49" s="72"/>
      <c r="G49" s="95"/>
      <c r="H49" s="60"/>
      <c r="I49" s="60"/>
      <c r="J49" s="60"/>
      <c r="L49" s="143"/>
      <c r="M49" s="94"/>
      <c r="N49" s="63"/>
      <c r="O49" s="94"/>
      <c r="P49" s="164"/>
      <c r="Q49" s="63"/>
      <c r="R49" s="63"/>
      <c r="S49" s="63"/>
    </row>
    <row r="50" spans="1:24" s="33" customFormat="1" ht="12" x14ac:dyDescent="0.2">
      <c r="A50" s="60"/>
      <c r="B50" s="60"/>
      <c r="C50" s="60"/>
      <c r="D50" s="72"/>
      <c r="E50" s="72"/>
      <c r="F50" s="72"/>
      <c r="G50" s="95"/>
      <c r="H50" s="60"/>
      <c r="I50" s="60"/>
      <c r="J50" s="60"/>
      <c r="L50" s="143"/>
      <c r="M50" s="94"/>
      <c r="N50" s="63"/>
      <c r="O50" s="94"/>
      <c r="P50" s="164"/>
      <c r="Q50" s="63"/>
      <c r="R50" s="63"/>
      <c r="S50" s="63"/>
    </row>
    <row r="51" spans="1:24" s="33" customFormat="1" x14ac:dyDescent="0.2">
      <c r="A51" s="60"/>
      <c r="B51" s="60"/>
      <c r="C51" s="60"/>
      <c r="D51" s="72"/>
      <c r="E51" s="72"/>
      <c r="F51" s="72"/>
      <c r="G51" s="95"/>
      <c r="H51" s="60"/>
      <c r="I51" s="60"/>
      <c r="J51" s="60"/>
      <c r="L51" s="143"/>
      <c r="M51" s="94"/>
      <c r="N51" s="63"/>
      <c r="O51" s="94"/>
      <c r="P51" s="164"/>
      <c r="Q51" s="63"/>
      <c r="R51" s="63"/>
      <c r="S51" s="63"/>
      <c r="T51"/>
      <c r="U51"/>
      <c r="V51"/>
      <c r="W51"/>
      <c r="X51"/>
    </row>
    <row r="52" spans="1:24" s="33" customFormat="1" x14ac:dyDescent="0.2">
      <c r="A52" s="60"/>
      <c r="B52" s="60"/>
      <c r="C52" s="60"/>
      <c r="D52" s="72"/>
      <c r="E52" s="72"/>
      <c r="F52" s="72"/>
      <c r="G52" s="95"/>
      <c r="H52" s="60"/>
      <c r="I52" s="60"/>
      <c r="J52" s="60"/>
      <c r="L52" s="143"/>
      <c r="M52" s="94"/>
      <c r="N52" s="63"/>
      <c r="O52" s="94"/>
      <c r="P52" s="164"/>
      <c r="Q52" s="63"/>
      <c r="R52" s="63"/>
      <c r="S52" s="63"/>
      <c r="T52"/>
      <c r="U52"/>
      <c r="V52"/>
      <c r="W52"/>
      <c r="X52"/>
    </row>
    <row r="54" spans="1:24" s="33" customFormat="1" hidden="1" outlineLevel="1" x14ac:dyDescent="0.2">
      <c r="D54" s="189" t="s">
        <v>352</v>
      </c>
      <c r="G54" s="60"/>
      <c r="I54" s="60"/>
      <c r="J54" s="60"/>
      <c r="M54" s="44"/>
      <c r="T54"/>
      <c r="U54"/>
      <c r="V54"/>
      <c r="W54"/>
      <c r="X54"/>
    </row>
    <row r="55" spans="1:24" s="33" customFormat="1" hidden="1" outlineLevel="1" x14ac:dyDescent="0.2">
      <c r="A55" s="60"/>
      <c r="B55" s="60"/>
      <c r="C55" s="60"/>
      <c r="D55" s="92" t="s">
        <v>361</v>
      </c>
      <c r="E55" s="92">
        <v>2000</v>
      </c>
      <c r="F55" s="92">
        <v>6</v>
      </c>
      <c r="G55" s="81">
        <v>0</v>
      </c>
      <c r="H55" s="60" t="s">
        <v>347</v>
      </c>
      <c r="I55" s="82">
        <v>5</v>
      </c>
      <c r="J55" s="60">
        <f>E55+I55</f>
        <v>2005</v>
      </c>
      <c r="K55" s="33">
        <f>+J55+(F55/12)</f>
        <v>2005.5</v>
      </c>
      <c r="L55" s="93">
        <f>+'[31]2144 Shop,Serv Orig'!P42</f>
        <v>13962.8</v>
      </c>
      <c r="M55" s="94">
        <f>L55-L55*G55</f>
        <v>13962.8</v>
      </c>
      <c r="N55" s="63">
        <f>M55/I55/12</f>
        <v>232.71333333333334</v>
      </c>
      <c r="O55" s="94">
        <f>+N55*12</f>
        <v>2792.56</v>
      </c>
      <c r="P55" s="161">
        <f>+IF(K55&lt;=$M$5,0,IF(J55&gt;$M$4,O55,(N55*F55)))</f>
        <v>0</v>
      </c>
      <c r="Q55" s="161">
        <f>+IF(P55=0,M55,IF($M$3-E55&lt;1,0,(($M$3-E55)*O55)))</f>
        <v>13962.8</v>
      </c>
      <c r="R55" s="94">
        <f>+IF(P55=0,Q55,Q55+P55)</f>
        <v>13962.8</v>
      </c>
      <c r="S55" s="161">
        <f>+L55-R55</f>
        <v>0</v>
      </c>
      <c r="T55"/>
      <c r="U55"/>
      <c r="V55"/>
      <c r="W55"/>
      <c r="X55"/>
    </row>
    <row r="56" spans="1:24" s="33" customFormat="1" hidden="1" outlineLevel="1" x14ac:dyDescent="0.2">
      <c r="A56" s="87"/>
      <c r="B56" s="86"/>
      <c r="C56" s="126"/>
      <c r="D56" s="87" t="s">
        <v>362</v>
      </c>
      <c r="E56" s="87">
        <v>2018</v>
      </c>
      <c r="F56" s="87">
        <v>1</v>
      </c>
      <c r="G56" s="88">
        <v>0</v>
      </c>
      <c r="H56" s="87" t="s">
        <v>347</v>
      </c>
      <c r="I56" s="86">
        <f>+IF(J55-$M$3&gt;=3,J55-$M$3,3)</f>
        <v>3</v>
      </c>
      <c r="J56" s="86">
        <f>E56+I56</f>
        <v>2021</v>
      </c>
      <c r="K56" s="87">
        <f>+J56+(F56/12)</f>
        <v>2021.0833333333333</v>
      </c>
      <c r="L56" s="96">
        <f>+'[31]2144 Shop,Serv Orig'!N42-'Shop,Serv'!L55</f>
        <v>6877.2000000000007</v>
      </c>
      <c r="M56" s="172">
        <f>L56-L56*G56</f>
        <v>6877.2000000000007</v>
      </c>
      <c r="N56" s="89">
        <f>M56/I56/12</f>
        <v>191.03333333333333</v>
      </c>
      <c r="O56" s="172">
        <f>+N56*12</f>
        <v>2292.4</v>
      </c>
      <c r="P56" s="173">
        <f>+IF(K56&lt;=$M$5,0,IF(J56&gt;$M$4,O56,(N56*F56)))</f>
        <v>0</v>
      </c>
      <c r="Q56" s="173">
        <f>+IF(P56=0,M56,IF($M$3-E56&lt;1,0,(($M$3-E56)*O56)))</f>
        <v>6877.2000000000007</v>
      </c>
      <c r="R56" s="172">
        <f>+IF(P56=0,Q56,Q56+P56)</f>
        <v>6877.2000000000007</v>
      </c>
      <c r="S56" s="173">
        <f>+L56-R56</f>
        <v>0</v>
      </c>
      <c r="T56"/>
      <c r="U56"/>
      <c r="V56"/>
      <c r="W56"/>
      <c r="X56"/>
    </row>
    <row r="57" spans="1:24" s="33" customFormat="1" hidden="1" outlineLevel="1" x14ac:dyDescent="0.2">
      <c r="G57" s="60"/>
      <c r="I57" s="60"/>
      <c r="J57" s="60"/>
      <c r="M57" s="44"/>
      <c r="T57"/>
      <c r="U57"/>
      <c r="V57"/>
      <c r="W57"/>
      <c r="X57"/>
    </row>
    <row r="58" spans="1:24" s="33" customFormat="1" hidden="1" outlineLevel="1" x14ac:dyDescent="0.2">
      <c r="G58" s="60"/>
      <c r="I58" s="60"/>
      <c r="J58" s="60"/>
      <c r="M58" s="44"/>
      <c r="T58"/>
      <c r="U58"/>
      <c r="V58"/>
      <c r="W58"/>
      <c r="X58"/>
    </row>
    <row r="59" spans="1:24" s="33" customFormat="1" collapsed="1" x14ac:dyDescent="0.2">
      <c r="A59"/>
      <c r="G59" s="60"/>
      <c r="I59" s="60"/>
      <c r="J59" s="60"/>
      <c r="M59" s="44"/>
      <c r="T59"/>
      <c r="U59"/>
      <c r="V59"/>
      <c r="W59"/>
      <c r="X59"/>
    </row>
    <row r="60" spans="1:24" s="33" customFormat="1" x14ac:dyDescent="0.2">
      <c r="G60" s="60"/>
      <c r="I60" s="60"/>
      <c r="J60" s="60"/>
      <c r="M60" s="44"/>
      <c r="T60"/>
      <c r="U60"/>
      <c r="V60"/>
      <c r="W60"/>
      <c r="X60"/>
    </row>
  </sheetData>
  <sortState xmlns:xlrd2="http://schemas.microsoft.com/office/spreadsheetml/2017/richdata2" ref="A38:X52">
    <sortCondition ref="E38:E52"/>
    <sortCondition ref="F38:F52"/>
  </sortState>
  <mergeCells count="1">
    <mergeCell ref="E9:F10"/>
  </mergeCells>
  <pageMargins left="0.75" right="0.75" top="1" bottom="1" header="0.5" footer="0.5"/>
  <pageSetup scale="54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0"/>
  <sheetViews>
    <sheetView showGridLines="0" view="pageBreakPreview" zoomScale="80" zoomScaleNormal="100" zoomScaleSheetLayoutView="80" workbookViewId="0">
      <pane ySplit="11" topLeftCell="A12" activePane="bottomLeft" state="frozen"/>
      <selection activeCell="M65" sqref="M65"/>
      <selection pane="bottomLeft" activeCell="N36" sqref="N36"/>
    </sheetView>
  </sheetViews>
  <sheetFormatPr defaultColWidth="13.33203125" defaultRowHeight="12" x14ac:dyDescent="0.2"/>
  <cols>
    <col min="1" max="2" width="4.6640625" style="33" customWidth="1"/>
    <col min="3" max="3" width="9.83203125" style="33" customWidth="1"/>
    <col min="4" max="4" width="42" style="33" bestFit="1" customWidth="1"/>
    <col min="5" max="5" width="17.83203125" style="33" customWidth="1"/>
    <col min="6" max="6" width="5.83203125" style="33" customWidth="1"/>
    <col min="7" max="7" width="9.33203125" style="33" customWidth="1"/>
    <col min="8" max="8" width="1.5" style="33" customWidth="1"/>
    <col min="9" max="9" width="9.5" style="33" customWidth="1"/>
    <col min="10" max="10" width="7.33203125" style="60" customWidth="1"/>
    <col min="11" max="11" width="11.6640625" style="33" customWidth="1"/>
    <col min="12" max="12" width="13.33203125" style="33" customWidth="1"/>
    <col min="13" max="13" width="12.83203125" style="33" bestFit="1" customWidth="1"/>
    <col min="14" max="14" width="12.1640625" style="33" customWidth="1"/>
    <col min="15" max="15" width="10.33203125" style="33" customWidth="1"/>
    <col min="16" max="16" width="11" style="33" bestFit="1" customWidth="1"/>
    <col min="17" max="17" width="12" style="33" customWidth="1"/>
    <col min="18" max="19" width="12.1640625" style="33" bestFit="1" customWidth="1"/>
    <col min="20" max="20" width="11.6640625" style="33" bestFit="1" customWidth="1"/>
    <col min="21" max="256" width="13.33203125" style="33"/>
    <col min="257" max="258" width="4.6640625" style="33" customWidth="1"/>
    <col min="259" max="259" width="9.83203125" style="33" customWidth="1"/>
    <col min="260" max="260" width="28.83203125" style="33" customWidth="1"/>
    <col min="261" max="261" width="10.83203125" style="33" customWidth="1"/>
    <col min="262" max="262" width="5.83203125" style="33" customWidth="1"/>
    <col min="263" max="263" width="9.33203125" style="33" customWidth="1"/>
    <col min="264" max="264" width="1.5" style="33" customWidth="1"/>
    <col min="265" max="265" width="9.5" style="33" customWidth="1"/>
    <col min="266" max="266" width="7.33203125" style="33" customWidth="1"/>
    <col min="267" max="267" width="11.6640625" style="33" customWidth="1"/>
    <col min="268" max="268" width="13.33203125" style="33" customWidth="1"/>
    <col min="269" max="269" width="12.1640625" style="33" bestFit="1" customWidth="1"/>
    <col min="270" max="270" width="12.1640625" style="33" customWidth="1"/>
    <col min="271" max="271" width="10.33203125" style="33" customWidth="1"/>
    <col min="272" max="272" width="11" style="33" bestFit="1" customWidth="1"/>
    <col min="273" max="273" width="12" style="33" customWidth="1"/>
    <col min="274" max="275" width="12.1640625" style="33" bestFit="1" customWidth="1"/>
    <col min="276" max="276" width="11.6640625" style="33" bestFit="1" customWidth="1"/>
    <col min="277" max="512" width="13.33203125" style="33"/>
    <col min="513" max="514" width="4.6640625" style="33" customWidth="1"/>
    <col min="515" max="515" width="9.83203125" style="33" customWidth="1"/>
    <col min="516" max="516" width="28.83203125" style="33" customWidth="1"/>
    <col min="517" max="517" width="10.83203125" style="33" customWidth="1"/>
    <col min="518" max="518" width="5.83203125" style="33" customWidth="1"/>
    <col min="519" max="519" width="9.33203125" style="33" customWidth="1"/>
    <col min="520" max="520" width="1.5" style="33" customWidth="1"/>
    <col min="521" max="521" width="9.5" style="33" customWidth="1"/>
    <col min="522" max="522" width="7.33203125" style="33" customWidth="1"/>
    <col min="523" max="523" width="11.6640625" style="33" customWidth="1"/>
    <col min="524" max="524" width="13.33203125" style="33" customWidth="1"/>
    <col min="525" max="525" width="12.1640625" style="33" bestFit="1" customWidth="1"/>
    <col min="526" max="526" width="12.1640625" style="33" customWidth="1"/>
    <col min="527" max="527" width="10.33203125" style="33" customWidth="1"/>
    <col min="528" max="528" width="11" style="33" bestFit="1" customWidth="1"/>
    <col min="529" max="529" width="12" style="33" customWidth="1"/>
    <col min="530" max="531" width="12.1640625" style="33" bestFit="1" customWidth="1"/>
    <col min="532" max="532" width="11.6640625" style="33" bestFit="1" customWidth="1"/>
    <col min="533" max="768" width="13.33203125" style="33"/>
    <col min="769" max="770" width="4.6640625" style="33" customWidth="1"/>
    <col min="771" max="771" width="9.83203125" style="33" customWidth="1"/>
    <col min="772" max="772" width="28.83203125" style="33" customWidth="1"/>
    <col min="773" max="773" width="10.83203125" style="33" customWidth="1"/>
    <col min="774" max="774" width="5.83203125" style="33" customWidth="1"/>
    <col min="775" max="775" width="9.33203125" style="33" customWidth="1"/>
    <col min="776" max="776" width="1.5" style="33" customWidth="1"/>
    <col min="777" max="777" width="9.5" style="33" customWidth="1"/>
    <col min="778" max="778" width="7.33203125" style="33" customWidth="1"/>
    <col min="779" max="779" width="11.6640625" style="33" customWidth="1"/>
    <col min="780" max="780" width="13.33203125" style="33" customWidth="1"/>
    <col min="781" max="781" width="12.1640625" style="33" bestFit="1" customWidth="1"/>
    <col min="782" max="782" width="12.1640625" style="33" customWidth="1"/>
    <col min="783" max="783" width="10.33203125" style="33" customWidth="1"/>
    <col min="784" max="784" width="11" style="33" bestFit="1" customWidth="1"/>
    <col min="785" max="785" width="12" style="33" customWidth="1"/>
    <col min="786" max="787" width="12.1640625" style="33" bestFit="1" customWidth="1"/>
    <col min="788" max="788" width="11.6640625" style="33" bestFit="1" customWidth="1"/>
    <col min="789" max="1024" width="13.33203125" style="33"/>
    <col min="1025" max="1026" width="4.6640625" style="33" customWidth="1"/>
    <col min="1027" max="1027" width="9.83203125" style="33" customWidth="1"/>
    <col min="1028" max="1028" width="28.83203125" style="33" customWidth="1"/>
    <col min="1029" max="1029" width="10.83203125" style="33" customWidth="1"/>
    <col min="1030" max="1030" width="5.83203125" style="33" customWidth="1"/>
    <col min="1031" max="1031" width="9.33203125" style="33" customWidth="1"/>
    <col min="1032" max="1032" width="1.5" style="33" customWidth="1"/>
    <col min="1033" max="1033" width="9.5" style="33" customWidth="1"/>
    <col min="1034" max="1034" width="7.33203125" style="33" customWidth="1"/>
    <col min="1035" max="1035" width="11.6640625" style="33" customWidth="1"/>
    <col min="1036" max="1036" width="13.33203125" style="33" customWidth="1"/>
    <col min="1037" max="1037" width="12.1640625" style="33" bestFit="1" customWidth="1"/>
    <col min="1038" max="1038" width="12.1640625" style="33" customWidth="1"/>
    <col min="1039" max="1039" width="10.33203125" style="33" customWidth="1"/>
    <col min="1040" max="1040" width="11" style="33" bestFit="1" customWidth="1"/>
    <col min="1041" max="1041" width="12" style="33" customWidth="1"/>
    <col min="1042" max="1043" width="12.1640625" style="33" bestFit="1" customWidth="1"/>
    <col min="1044" max="1044" width="11.6640625" style="33" bestFit="1" customWidth="1"/>
    <col min="1045" max="1280" width="13.33203125" style="33"/>
    <col min="1281" max="1282" width="4.6640625" style="33" customWidth="1"/>
    <col min="1283" max="1283" width="9.83203125" style="33" customWidth="1"/>
    <col min="1284" max="1284" width="28.83203125" style="33" customWidth="1"/>
    <col min="1285" max="1285" width="10.83203125" style="33" customWidth="1"/>
    <col min="1286" max="1286" width="5.83203125" style="33" customWidth="1"/>
    <col min="1287" max="1287" width="9.33203125" style="33" customWidth="1"/>
    <col min="1288" max="1288" width="1.5" style="33" customWidth="1"/>
    <col min="1289" max="1289" width="9.5" style="33" customWidth="1"/>
    <col min="1290" max="1290" width="7.33203125" style="33" customWidth="1"/>
    <col min="1291" max="1291" width="11.6640625" style="33" customWidth="1"/>
    <col min="1292" max="1292" width="13.33203125" style="33" customWidth="1"/>
    <col min="1293" max="1293" width="12.1640625" style="33" bestFit="1" customWidth="1"/>
    <col min="1294" max="1294" width="12.1640625" style="33" customWidth="1"/>
    <col min="1295" max="1295" width="10.33203125" style="33" customWidth="1"/>
    <col min="1296" max="1296" width="11" style="33" bestFit="1" customWidth="1"/>
    <col min="1297" max="1297" width="12" style="33" customWidth="1"/>
    <col min="1298" max="1299" width="12.1640625" style="33" bestFit="1" customWidth="1"/>
    <col min="1300" max="1300" width="11.6640625" style="33" bestFit="1" customWidth="1"/>
    <col min="1301" max="1536" width="13.33203125" style="33"/>
    <col min="1537" max="1538" width="4.6640625" style="33" customWidth="1"/>
    <col min="1539" max="1539" width="9.83203125" style="33" customWidth="1"/>
    <col min="1540" max="1540" width="28.83203125" style="33" customWidth="1"/>
    <col min="1541" max="1541" width="10.83203125" style="33" customWidth="1"/>
    <col min="1542" max="1542" width="5.83203125" style="33" customWidth="1"/>
    <col min="1543" max="1543" width="9.33203125" style="33" customWidth="1"/>
    <col min="1544" max="1544" width="1.5" style="33" customWidth="1"/>
    <col min="1545" max="1545" width="9.5" style="33" customWidth="1"/>
    <col min="1546" max="1546" width="7.33203125" style="33" customWidth="1"/>
    <col min="1547" max="1547" width="11.6640625" style="33" customWidth="1"/>
    <col min="1548" max="1548" width="13.33203125" style="33" customWidth="1"/>
    <col min="1549" max="1549" width="12.1640625" style="33" bestFit="1" customWidth="1"/>
    <col min="1550" max="1550" width="12.1640625" style="33" customWidth="1"/>
    <col min="1551" max="1551" width="10.33203125" style="33" customWidth="1"/>
    <col min="1552" max="1552" width="11" style="33" bestFit="1" customWidth="1"/>
    <col min="1553" max="1553" width="12" style="33" customWidth="1"/>
    <col min="1554" max="1555" width="12.1640625" style="33" bestFit="1" customWidth="1"/>
    <col min="1556" max="1556" width="11.6640625" style="33" bestFit="1" customWidth="1"/>
    <col min="1557" max="1792" width="13.33203125" style="33"/>
    <col min="1793" max="1794" width="4.6640625" style="33" customWidth="1"/>
    <col min="1795" max="1795" width="9.83203125" style="33" customWidth="1"/>
    <col min="1796" max="1796" width="28.83203125" style="33" customWidth="1"/>
    <col min="1797" max="1797" width="10.83203125" style="33" customWidth="1"/>
    <col min="1798" max="1798" width="5.83203125" style="33" customWidth="1"/>
    <col min="1799" max="1799" width="9.33203125" style="33" customWidth="1"/>
    <col min="1800" max="1800" width="1.5" style="33" customWidth="1"/>
    <col min="1801" max="1801" width="9.5" style="33" customWidth="1"/>
    <col min="1802" max="1802" width="7.33203125" style="33" customWidth="1"/>
    <col min="1803" max="1803" width="11.6640625" style="33" customWidth="1"/>
    <col min="1804" max="1804" width="13.33203125" style="33" customWidth="1"/>
    <col min="1805" max="1805" width="12.1640625" style="33" bestFit="1" customWidth="1"/>
    <col min="1806" max="1806" width="12.1640625" style="33" customWidth="1"/>
    <col min="1807" max="1807" width="10.33203125" style="33" customWidth="1"/>
    <col min="1808" max="1808" width="11" style="33" bestFit="1" customWidth="1"/>
    <col min="1809" max="1809" width="12" style="33" customWidth="1"/>
    <col min="1810" max="1811" width="12.1640625" style="33" bestFit="1" customWidth="1"/>
    <col min="1812" max="1812" width="11.6640625" style="33" bestFit="1" customWidth="1"/>
    <col min="1813" max="2048" width="13.33203125" style="33"/>
    <col min="2049" max="2050" width="4.6640625" style="33" customWidth="1"/>
    <col min="2051" max="2051" width="9.83203125" style="33" customWidth="1"/>
    <col min="2052" max="2052" width="28.83203125" style="33" customWidth="1"/>
    <col min="2053" max="2053" width="10.83203125" style="33" customWidth="1"/>
    <col min="2054" max="2054" width="5.83203125" style="33" customWidth="1"/>
    <col min="2055" max="2055" width="9.33203125" style="33" customWidth="1"/>
    <col min="2056" max="2056" width="1.5" style="33" customWidth="1"/>
    <col min="2057" max="2057" width="9.5" style="33" customWidth="1"/>
    <col min="2058" max="2058" width="7.33203125" style="33" customWidth="1"/>
    <col min="2059" max="2059" width="11.6640625" style="33" customWidth="1"/>
    <col min="2060" max="2060" width="13.33203125" style="33" customWidth="1"/>
    <col min="2061" max="2061" width="12.1640625" style="33" bestFit="1" customWidth="1"/>
    <col min="2062" max="2062" width="12.1640625" style="33" customWidth="1"/>
    <col min="2063" max="2063" width="10.33203125" style="33" customWidth="1"/>
    <col min="2064" max="2064" width="11" style="33" bestFit="1" customWidth="1"/>
    <col min="2065" max="2065" width="12" style="33" customWidth="1"/>
    <col min="2066" max="2067" width="12.1640625" style="33" bestFit="1" customWidth="1"/>
    <col min="2068" max="2068" width="11.6640625" style="33" bestFit="1" customWidth="1"/>
    <col min="2069" max="2304" width="13.33203125" style="33"/>
    <col min="2305" max="2306" width="4.6640625" style="33" customWidth="1"/>
    <col min="2307" max="2307" width="9.83203125" style="33" customWidth="1"/>
    <col min="2308" max="2308" width="28.83203125" style="33" customWidth="1"/>
    <col min="2309" max="2309" width="10.83203125" style="33" customWidth="1"/>
    <col min="2310" max="2310" width="5.83203125" style="33" customWidth="1"/>
    <col min="2311" max="2311" width="9.33203125" style="33" customWidth="1"/>
    <col min="2312" max="2312" width="1.5" style="33" customWidth="1"/>
    <col min="2313" max="2313" width="9.5" style="33" customWidth="1"/>
    <col min="2314" max="2314" width="7.33203125" style="33" customWidth="1"/>
    <col min="2315" max="2315" width="11.6640625" style="33" customWidth="1"/>
    <col min="2316" max="2316" width="13.33203125" style="33" customWidth="1"/>
    <col min="2317" max="2317" width="12.1640625" style="33" bestFit="1" customWidth="1"/>
    <col min="2318" max="2318" width="12.1640625" style="33" customWidth="1"/>
    <col min="2319" max="2319" width="10.33203125" style="33" customWidth="1"/>
    <col min="2320" max="2320" width="11" style="33" bestFit="1" customWidth="1"/>
    <col min="2321" max="2321" width="12" style="33" customWidth="1"/>
    <col min="2322" max="2323" width="12.1640625" style="33" bestFit="1" customWidth="1"/>
    <col min="2324" max="2324" width="11.6640625" style="33" bestFit="1" customWidth="1"/>
    <col min="2325" max="2560" width="13.33203125" style="33"/>
    <col min="2561" max="2562" width="4.6640625" style="33" customWidth="1"/>
    <col min="2563" max="2563" width="9.83203125" style="33" customWidth="1"/>
    <col min="2564" max="2564" width="28.83203125" style="33" customWidth="1"/>
    <col min="2565" max="2565" width="10.83203125" style="33" customWidth="1"/>
    <col min="2566" max="2566" width="5.83203125" style="33" customWidth="1"/>
    <col min="2567" max="2567" width="9.33203125" style="33" customWidth="1"/>
    <col min="2568" max="2568" width="1.5" style="33" customWidth="1"/>
    <col min="2569" max="2569" width="9.5" style="33" customWidth="1"/>
    <col min="2570" max="2570" width="7.33203125" style="33" customWidth="1"/>
    <col min="2571" max="2571" width="11.6640625" style="33" customWidth="1"/>
    <col min="2572" max="2572" width="13.33203125" style="33" customWidth="1"/>
    <col min="2573" max="2573" width="12.1640625" style="33" bestFit="1" customWidth="1"/>
    <col min="2574" max="2574" width="12.1640625" style="33" customWidth="1"/>
    <col min="2575" max="2575" width="10.33203125" style="33" customWidth="1"/>
    <col min="2576" max="2576" width="11" style="33" bestFit="1" customWidth="1"/>
    <col min="2577" max="2577" width="12" style="33" customWidth="1"/>
    <col min="2578" max="2579" width="12.1640625" style="33" bestFit="1" customWidth="1"/>
    <col min="2580" max="2580" width="11.6640625" style="33" bestFit="1" customWidth="1"/>
    <col min="2581" max="2816" width="13.33203125" style="33"/>
    <col min="2817" max="2818" width="4.6640625" style="33" customWidth="1"/>
    <col min="2819" max="2819" width="9.83203125" style="33" customWidth="1"/>
    <col min="2820" max="2820" width="28.83203125" style="33" customWidth="1"/>
    <col min="2821" max="2821" width="10.83203125" style="33" customWidth="1"/>
    <col min="2822" max="2822" width="5.83203125" style="33" customWidth="1"/>
    <col min="2823" max="2823" width="9.33203125" style="33" customWidth="1"/>
    <col min="2824" max="2824" width="1.5" style="33" customWidth="1"/>
    <col min="2825" max="2825" width="9.5" style="33" customWidth="1"/>
    <col min="2826" max="2826" width="7.33203125" style="33" customWidth="1"/>
    <col min="2827" max="2827" width="11.6640625" style="33" customWidth="1"/>
    <col min="2828" max="2828" width="13.33203125" style="33" customWidth="1"/>
    <col min="2829" max="2829" width="12.1640625" style="33" bestFit="1" customWidth="1"/>
    <col min="2830" max="2830" width="12.1640625" style="33" customWidth="1"/>
    <col min="2831" max="2831" width="10.33203125" style="33" customWidth="1"/>
    <col min="2832" max="2832" width="11" style="33" bestFit="1" customWidth="1"/>
    <col min="2833" max="2833" width="12" style="33" customWidth="1"/>
    <col min="2834" max="2835" width="12.1640625" style="33" bestFit="1" customWidth="1"/>
    <col min="2836" max="2836" width="11.6640625" style="33" bestFit="1" customWidth="1"/>
    <col min="2837" max="3072" width="13.33203125" style="33"/>
    <col min="3073" max="3074" width="4.6640625" style="33" customWidth="1"/>
    <col min="3075" max="3075" width="9.83203125" style="33" customWidth="1"/>
    <col min="3076" max="3076" width="28.83203125" style="33" customWidth="1"/>
    <col min="3077" max="3077" width="10.83203125" style="33" customWidth="1"/>
    <col min="3078" max="3078" width="5.83203125" style="33" customWidth="1"/>
    <col min="3079" max="3079" width="9.33203125" style="33" customWidth="1"/>
    <col min="3080" max="3080" width="1.5" style="33" customWidth="1"/>
    <col min="3081" max="3081" width="9.5" style="33" customWidth="1"/>
    <col min="3082" max="3082" width="7.33203125" style="33" customWidth="1"/>
    <col min="3083" max="3083" width="11.6640625" style="33" customWidth="1"/>
    <col min="3084" max="3084" width="13.33203125" style="33" customWidth="1"/>
    <col min="3085" max="3085" width="12.1640625" style="33" bestFit="1" customWidth="1"/>
    <col min="3086" max="3086" width="12.1640625" style="33" customWidth="1"/>
    <col min="3087" max="3087" width="10.33203125" style="33" customWidth="1"/>
    <col min="3088" max="3088" width="11" style="33" bestFit="1" customWidth="1"/>
    <col min="3089" max="3089" width="12" style="33" customWidth="1"/>
    <col min="3090" max="3091" width="12.1640625" style="33" bestFit="1" customWidth="1"/>
    <col min="3092" max="3092" width="11.6640625" style="33" bestFit="1" customWidth="1"/>
    <col min="3093" max="3328" width="13.33203125" style="33"/>
    <col min="3329" max="3330" width="4.6640625" style="33" customWidth="1"/>
    <col min="3331" max="3331" width="9.83203125" style="33" customWidth="1"/>
    <col min="3332" max="3332" width="28.83203125" style="33" customWidth="1"/>
    <col min="3333" max="3333" width="10.83203125" style="33" customWidth="1"/>
    <col min="3334" max="3334" width="5.83203125" style="33" customWidth="1"/>
    <col min="3335" max="3335" width="9.33203125" style="33" customWidth="1"/>
    <col min="3336" max="3336" width="1.5" style="33" customWidth="1"/>
    <col min="3337" max="3337" width="9.5" style="33" customWidth="1"/>
    <col min="3338" max="3338" width="7.33203125" style="33" customWidth="1"/>
    <col min="3339" max="3339" width="11.6640625" style="33" customWidth="1"/>
    <col min="3340" max="3340" width="13.33203125" style="33" customWidth="1"/>
    <col min="3341" max="3341" width="12.1640625" style="33" bestFit="1" customWidth="1"/>
    <col min="3342" max="3342" width="12.1640625" style="33" customWidth="1"/>
    <col min="3343" max="3343" width="10.33203125" style="33" customWidth="1"/>
    <col min="3344" max="3344" width="11" style="33" bestFit="1" customWidth="1"/>
    <col min="3345" max="3345" width="12" style="33" customWidth="1"/>
    <col min="3346" max="3347" width="12.1640625" style="33" bestFit="1" customWidth="1"/>
    <col min="3348" max="3348" width="11.6640625" style="33" bestFit="1" customWidth="1"/>
    <col min="3349" max="3584" width="13.33203125" style="33"/>
    <col min="3585" max="3586" width="4.6640625" style="33" customWidth="1"/>
    <col min="3587" max="3587" width="9.83203125" style="33" customWidth="1"/>
    <col min="3588" max="3588" width="28.83203125" style="33" customWidth="1"/>
    <col min="3589" max="3589" width="10.83203125" style="33" customWidth="1"/>
    <col min="3590" max="3590" width="5.83203125" style="33" customWidth="1"/>
    <col min="3591" max="3591" width="9.33203125" style="33" customWidth="1"/>
    <col min="3592" max="3592" width="1.5" style="33" customWidth="1"/>
    <col min="3593" max="3593" width="9.5" style="33" customWidth="1"/>
    <col min="3594" max="3594" width="7.33203125" style="33" customWidth="1"/>
    <col min="3595" max="3595" width="11.6640625" style="33" customWidth="1"/>
    <col min="3596" max="3596" width="13.33203125" style="33" customWidth="1"/>
    <col min="3597" max="3597" width="12.1640625" style="33" bestFit="1" customWidth="1"/>
    <col min="3598" max="3598" width="12.1640625" style="33" customWidth="1"/>
    <col min="3599" max="3599" width="10.33203125" style="33" customWidth="1"/>
    <col min="3600" max="3600" width="11" style="33" bestFit="1" customWidth="1"/>
    <col min="3601" max="3601" width="12" style="33" customWidth="1"/>
    <col min="3602" max="3603" width="12.1640625" style="33" bestFit="1" customWidth="1"/>
    <col min="3604" max="3604" width="11.6640625" style="33" bestFit="1" customWidth="1"/>
    <col min="3605" max="3840" width="13.33203125" style="33"/>
    <col min="3841" max="3842" width="4.6640625" style="33" customWidth="1"/>
    <col min="3843" max="3843" width="9.83203125" style="33" customWidth="1"/>
    <col min="3844" max="3844" width="28.83203125" style="33" customWidth="1"/>
    <col min="3845" max="3845" width="10.83203125" style="33" customWidth="1"/>
    <col min="3846" max="3846" width="5.83203125" style="33" customWidth="1"/>
    <col min="3847" max="3847" width="9.33203125" style="33" customWidth="1"/>
    <col min="3848" max="3848" width="1.5" style="33" customWidth="1"/>
    <col min="3849" max="3849" width="9.5" style="33" customWidth="1"/>
    <col min="3850" max="3850" width="7.33203125" style="33" customWidth="1"/>
    <col min="3851" max="3851" width="11.6640625" style="33" customWidth="1"/>
    <col min="3852" max="3852" width="13.33203125" style="33" customWidth="1"/>
    <col min="3853" max="3853" width="12.1640625" style="33" bestFit="1" customWidth="1"/>
    <col min="3854" max="3854" width="12.1640625" style="33" customWidth="1"/>
    <col min="3855" max="3855" width="10.33203125" style="33" customWidth="1"/>
    <col min="3856" max="3856" width="11" style="33" bestFit="1" customWidth="1"/>
    <col min="3857" max="3857" width="12" style="33" customWidth="1"/>
    <col min="3858" max="3859" width="12.1640625" style="33" bestFit="1" customWidth="1"/>
    <col min="3860" max="3860" width="11.6640625" style="33" bestFit="1" customWidth="1"/>
    <col min="3861" max="4096" width="13.33203125" style="33"/>
    <col min="4097" max="4098" width="4.6640625" style="33" customWidth="1"/>
    <col min="4099" max="4099" width="9.83203125" style="33" customWidth="1"/>
    <col min="4100" max="4100" width="28.83203125" style="33" customWidth="1"/>
    <col min="4101" max="4101" width="10.83203125" style="33" customWidth="1"/>
    <col min="4102" max="4102" width="5.83203125" style="33" customWidth="1"/>
    <col min="4103" max="4103" width="9.33203125" style="33" customWidth="1"/>
    <col min="4104" max="4104" width="1.5" style="33" customWidth="1"/>
    <col min="4105" max="4105" width="9.5" style="33" customWidth="1"/>
    <col min="4106" max="4106" width="7.33203125" style="33" customWidth="1"/>
    <col min="4107" max="4107" width="11.6640625" style="33" customWidth="1"/>
    <col min="4108" max="4108" width="13.33203125" style="33" customWidth="1"/>
    <col min="4109" max="4109" width="12.1640625" style="33" bestFit="1" customWidth="1"/>
    <col min="4110" max="4110" width="12.1640625" style="33" customWidth="1"/>
    <col min="4111" max="4111" width="10.33203125" style="33" customWidth="1"/>
    <col min="4112" max="4112" width="11" style="33" bestFit="1" customWidth="1"/>
    <col min="4113" max="4113" width="12" style="33" customWidth="1"/>
    <col min="4114" max="4115" width="12.1640625" style="33" bestFit="1" customWidth="1"/>
    <col min="4116" max="4116" width="11.6640625" style="33" bestFit="1" customWidth="1"/>
    <col min="4117" max="4352" width="13.33203125" style="33"/>
    <col min="4353" max="4354" width="4.6640625" style="33" customWidth="1"/>
    <col min="4355" max="4355" width="9.83203125" style="33" customWidth="1"/>
    <col min="4356" max="4356" width="28.83203125" style="33" customWidth="1"/>
    <col min="4357" max="4357" width="10.83203125" style="33" customWidth="1"/>
    <col min="4358" max="4358" width="5.83203125" style="33" customWidth="1"/>
    <col min="4359" max="4359" width="9.33203125" style="33" customWidth="1"/>
    <col min="4360" max="4360" width="1.5" style="33" customWidth="1"/>
    <col min="4361" max="4361" width="9.5" style="33" customWidth="1"/>
    <col min="4362" max="4362" width="7.33203125" style="33" customWidth="1"/>
    <col min="4363" max="4363" width="11.6640625" style="33" customWidth="1"/>
    <col min="4364" max="4364" width="13.33203125" style="33" customWidth="1"/>
    <col min="4365" max="4365" width="12.1640625" style="33" bestFit="1" customWidth="1"/>
    <col min="4366" max="4366" width="12.1640625" style="33" customWidth="1"/>
    <col min="4367" max="4367" width="10.33203125" style="33" customWidth="1"/>
    <col min="4368" max="4368" width="11" style="33" bestFit="1" customWidth="1"/>
    <col min="4369" max="4369" width="12" style="33" customWidth="1"/>
    <col min="4370" max="4371" width="12.1640625" style="33" bestFit="1" customWidth="1"/>
    <col min="4372" max="4372" width="11.6640625" style="33" bestFit="1" customWidth="1"/>
    <col min="4373" max="4608" width="13.33203125" style="33"/>
    <col min="4609" max="4610" width="4.6640625" style="33" customWidth="1"/>
    <col min="4611" max="4611" width="9.83203125" style="33" customWidth="1"/>
    <col min="4612" max="4612" width="28.83203125" style="33" customWidth="1"/>
    <col min="4613" max="4613" width="10.83203125" style="33" customWidth="1"/>
    <col min="4614" max="4614" width="5.83203125" style="33" customWidth="1"/>
    <col min="4615" max="4615" width="9.33203125" style="33" customWidth="1"/>
    <col min="4616" max="4616" width="1.5" style="33" customWidth="1"/>
    <col min="4617" max="4617" width="9.5" style="33" customWidth="1"/>
    <col min="4618" max="4618" width="7.33203125" style="33" customWidth="1"/>
    <col min="4619" max="4619" width="11.6640625" style="33" customWidth="1"/>
    <col min="4620" max="4620" width="13.33203125" style="33" customWidth="1"/>
    <col min="4621" max="4621" width="12.1640625" style="33" bestFit="1" customWidth="1"/>
    <col min="4622" max="4622" width="12.1640625" style="33" customWidth="1"/>
    <col min="4623" max="4623" width="10.33203125" style="33" customWidth="1"/>
    <col min="4624" max="4624" width="11" style="33" bestFit="1" customWidth="1"/>
    <col min="4625" max="4625" width="12" style="33" customWidth="1"/>
    <col min="4626" max="4627" width="12.1640625" style="33" bestFit="1" customWidth="1"/>
    <col min="4628" max="4628" width="11.6640625" style="33" bestFit="1" customWidth="1"/>
    <col min="4629" max="4864" width="13.33203125" style="33"/>
    <col min="4865" max="4866" width="4.6640625" style="33" customWidth="1"/>
    <col min="4867" max="4867" width="9.83203125" style="33" customWidth="1"/>
    <col min="4868" max="4868" width="28.83203125" style="33" customWidth="1"/>
    <col min="4869" max="4869" width="10.83203125" style="33" customWidth="1"/>
    <col min="4870" max="4870" width="5.83203125" style="33" customWidth="1"/>
    <col min="4871" max="4871" width="9.33203125" style="33" customWidth="1"/>
    <col min="4872" max="4872" width="1.5" style="33" customWidth="1"/>
    <col min="4873" max="4873" width="9.5" style="33" customWidth="1"/>
    <col min="4874" max="4874" width="7.33203125" style="33" customWidth="1"/>
    <col min="4875" max="4875" width="11.6640625" style="33" customWidth="1"/>
    <col min="4876" max="4876" width="13.33203125" style="33" customWidth="1"/>
    <col min="4877" max="4877" width="12.1640625" style="33" bestFit="1" customWidth="1"/>
    <col min="4878" max="4878" width="12.1640625" style="33" customWidth="1"/>
    <col min="4879" max="4879" width="10.33203125" style="33" customWidth="1"/>
    <col min="4880" max="4880" width="11" style="33" bestFit="1" customWidth="1"/>
    <col min="4881" max="4881" width="12" style="33" customWidth="1"/>
    <col min="4882" max="4883" width="12.1640625" style="33" bestFit="1" customWidth="1"/>
    <col min="4884" max="4884" width="11.6640625" style="33" bestFit="1" customWidth="1"/>
    <col min="4885" max="5120" width="13.33203125" style="33"/>
    <col min="5121" max="5122" width="4.6640625" style="33" customWidth="1"/>
    <col min="5123" max="5123" width="9.83203125" style="33" customWidth="1"/>
    <col min="5124" max="5124" width="28.83203125" style="33" customWidth="1"/>
    <col min="5125" max="5125" width="10.83203125" style="33" customWidth="1"/>
    <col min="5126" max="5126" width="5.83203125" style="33" customWidth="1"/>
    <col min="5127" max="5127" width="9.33203125" style="33" customWidth="1"/>
    <col min="5128" max="5128" width="1.5" style="33" customWidth="1"/>
    <col min="5129" max="5129" width="9.5" style="33" customWidth="1"/>
    <col min="5130" max="5130" width="7.33203125" style="33" customWidth="1"/>
    <col min="5131" max="5131" width="11.6640625" style="33" customWidth="1"/>
    <col min="5132" max="5132" width="13.33203125" style="33" customWidth="1"/>
    <col min="5133" max="5133" width="12.1640625" style="33" bestFit="1" customWidth="1"/>
    <col min="5134" max="5134" width="12.1640625" style="33" customWidth="1"/>
    <col min="5135" max="5135" width="10.33203125" style="33" customWidth="1"/>
    <col min="5136" max="5136" width="11" style="33" bestFit="1" customWidth="1"/>
    <col min="5137" max="5137" width="12" style="33" customWidth="1"/>
    <col min="5138" max="5139" width="12.1640625" style="33" bestFit="1" customWidth="1"/>
    <col min="5140" max="5140" width="11.6640625" style="33" bestFit="1" customWidth="1"/>
    <col min="5141" max="5376" width="13.33203125" style="33"/>
    <col min="5377" max="5378" width="4.6640625" style="33" customWidth="1"/>
    <col min="5379" max="5379" width="9.83203125" style="33" customWidth="1"/>
    <col min="5380" max="5380" width="28.83203125" style="33" customWidth="1"/>
    <col min="5381" max="5381" width="10.83203125" style="33" customWidth="1"/>
    <col min="5382" max="5382" width="5.83203125" style="33" customWidth="1"/>
    <col min="5383" max="5383" width="9.33203125" style="33" customWidth="1"/>
    <col min="5384" max="5384" width="1.5" style="33" customWidth="1"/>
    <col min="5385" max="5385" width="9.5" style="33" customWidth="1"/>
    <col min="5386" max="5386" width="7.33203125" style="33" customWidth="1"/>
    <col min="5387" max="5387" width="11.6640625" style="33" customWidth="1"/>
    <col min="5388" max="5388" width="13.33203125" style="33" customWidth="1"/>
    <col min="5389" max="5389" width="12.1640625" style="33" bestFit="1" customWidth="1"/>
    <col min="5390" max="5390" width="12.1640625" style="33" customWidth="1"/>
    <col min="5391" max="5391" width="10.33203125" style="33" customWidth="1"/>
    <col min="5392" max="5392" width="11" style="33" bestFit="1" customWidth="1"/>
    <col min="5393" max="5393" width="12" style="33" customWidth="1"/>
    <col min="5394" max="5395" width="12.1640625" style="33" bestFit="1" customWidth="1"/>
    <col min="5396" max="5396" width="11.6640625" style="33" bestFit="1" customWidth="1"/>
    <col min="5397" max="5632" width="13.33203125" style="33"/>
    <col min="5633" max="5634" width="4.6640625" style="33" customWidth="1"/>
    <col min="5635" max="5635" width="9.83203125" style="33" customWidth="1"/>
    <col min="5636" max="5636" width="28.83203125" style="33" customWidth="1"/>
    <col min="5637" max="5637" width="10.83203125" style="33" customWidth="1"/>
    <col min="5638" max="5638" width="5.83203125" style="33" customWidth="1"/>
    <col min="5639" max="5639" width="9.33203125" style="33" customWidth="1"/>
    <col min="5640" max="5640" width="1.5" style="33" customWidth="1"/>
    <col min="5641" max="5641" width="9.5" style="33" customWidth="1"/>
    <col min="5642" max="5642" width="7.33203125" style="33" customWidth="1"/>
    <col min="5643" max="5643" width="11.6640625" style="33" customWidth="1"/>
    <col min="5644" max="5644" width="13.33203125" style="33" customWidth="1"/>
    <col min="5645" max="5645" width="12.1640625" style="33" bestFit="1" customWidth="1"/>
    <col min="5646" max="5646" width="12.1640625" style="33" customWidth="1"/>
    <col min="5647" max="5647" width="10.33203125" style="33" customWidth="1"/>
    <col min="5648" max="5648" width="11" style="33" bestFit="1" customWidth="1"/>
    <col min="5649" max="5649" width="12" style="33" customWidth="1"/>
    <col min="5650" max="5651" width="12.1640625" style="33" bestFit="1" customWidth="1"/>
    <col min="5652" max="5652" width="11.6640625" style="33" bestFit="1" customWidth="1"/>
    <col min="5653" max="5888" width="13.33203125" style="33"/>
    <col min="5889" max="5890" width="4.6640625" style="33" customWidth="1"/>
    <col min="5891" max="5891" width="9.83203125" style="33" customWidth="1"/>
    <col min="5892" max="5892" width="28.83203125" style="33" customWidth="1"/>
    <col min="5893" max="5893" width="10.83203125" style="33" customWidth="1"/>
    <col min="5894" max="5894" width="5.83203125" style="33" customWidth="1"/>
    <col min="5895" max="5895" width="9.33203125" style="33" customWidth="1"/>
    <col min="5896" max="5896" width="1.5" style="33" customWidth="1"/>
    <col min="5897" max="5897" width="9.5" style="33" customWidth="1"/>
    <col min="5898" max="5898" width="7.33203125" style="33" customWidth="1"/>
    <col min="5899" max="5899" width="11.6640625" style="33" customWidth="1"/>
    <col min="5900" max="5900" width="13.33203125" style="33" customWidth="1"/>
    <col min="5901" max="5901" width="12.1640625" style="33" bestFit="1" customWidth="1"/>
    <col min="5902" max="5902" width="12.1640625" style="33" customWidth="1"/>
    <col min="5903" max="5903" width="10.33203125" style="33" customWidth="1"/>
    <col min="5904" max="5904" width="11" style="33" bestFit="1" customWidth="1"/>
    <col min="5905" max="5905" width="12" style="33" customWidth="1"/>
    <col min="5906" max="5907" width="12.1640625" style="33" bestFit="1" customWidth="1"/>
    <col min="5908" max="5908" width="11.6640625" style="33" bestFit="1" customWidth="1"/>
    <col min="5909" max="6144" width="13.33203125" style="33"/>
    <col min="6145" max="6146" width="4.6640625" style="33" customWidth="1"/>
    <col min="6147" max="6147" width="9.83203125" style="33" customWidth="1"/>
    <col min="6148" max="6148" width="28.83203125" style="33" customWidth="1"/>
    <col min="6149" max="6149" width="10.83203125" style="33" customWidth="1"/>
    <col min="6150" max="6150" width="5.83203125" style="33" customWidth="1"/>
    <col min="6151" max="6151" width="9.33203125" style="33" customWidth="1"/>
    <col min="6152" max="6152" width="1.5" style="33" customWidth="1"/>
    <col min="6153" max="6153" width="9.5" style="33" customWidth="1"/>
    <col min="6154" max="6154" width="7.33203125" style="33" customWidth="1"/>
    <col min="6155" max="6155" width="11.6640625" style="33" customWidth="1"/>
    <col min="6156" max="6156" width="13.33203125" style="33" customWidth="1"/>
    <col min="6157" max="6157" width="12.1640625" style="33" bestFit="1" customWidth="1"/>
    <col min="6158" max="6158" width="12.1640625" style="33" customWidth="1"/>
    <col min="6159" max="6159" width="10.33203125" style="33" customWidth="1"/>
    <col min="6160" max="6160" width="11" style="33" bestFit="1" customWidth="1"/>
    <col min="6161" max="6161" width="12" style="33" customWidth="1"/>
    <col min="6162" max="6163" width="12.1640625" style="33" bestFit="1" customWidth="1"/>
    <col min="6164" max="6164" width="11.6640625" style="33" bestFit="1" customWidth="1"/>
    <col min="6165" max="6400" width="13.33203125" style="33"/>
    <col min="6401" max="6402" width="4.6640625" style="33" customWidth="1"/>
    <col min="6403" max="6403" width="9.83203125" style="33" customWidth="1"/>
    <col min="6404" max="6404" width="28.83203125" style="33" customWidth="1"/>
    <col min="6405" max="6405" width="10.83203125" style="33" customWidth="1"/>
    <col min="6406" max="6406" width="5.83203125" style="33" customWidth="1"/>
    <col min="6407" max="6407" width="9.33203125" style="33" customWidth="1"/>
    <col min="6408" max="6408" width="1.5" style="33" customWidth="1"/>
    <col min="6409" max="6409" width="9.5" style="33" customWidth="1"/>
    <col min="6410" max="6410" width="7.33203125" style="33" customWidth="1"/>
    <col min="6411" max="6411" width="11.6640625" style="33" customWidth="1"/>
    <col min="6412" max="6412" width="13.33203125" style="33" customWidth="1"/>
    <col min="6413" max="6413" width="12.1640625" style="33" bestFit="1" customWidth="1"/>
    <col min="6414" max="6414" width="12.1640625" style="33" customWidth="1"/>
    <col min="6415" max="6415" width="10.33203125" style="33" customWidth="1"/>
    <col min="6416" max="6416" width="11" style="33" bestFit="1" customWidth="1"/>
    <col min="6417" max="6417" width="12" style="33" customWidth="1"/>
    <col min="6418" max="6419" width="12.1640625" style="33" bestFit="1" customWidth="1"/>
    <col min="6420" max="6420" width="11.6640625" style="33" bestFit="1" customWidth="1"/>
    <col min="6421" max="6656" width="13.33203125" style="33"/>
    <col min="6657" max="6658" width="4.6640625" style="33" customWidth="1"/>
    <col min="6659" max="6659" width="9.83203125" style="33" customWidth="1"/>
    <col min="6660" max="6660" width="28.83203125" style="33" customWidth="1"/>
    <col min="6661" max="6661" width="10.83203125" style="33" customWidth="1"/>
    <col min="6662" max="6662" width="5.83203125" style="33" customWidth="1"/>
    <col min="6663" max="6663" width="9.33203125" style="33" customWidth="1"/>
    <col min="6664" max="6664" width="1.5" style="33" customWidth="1"/>
    <col min="6665" max="6665" width="9.5" style="33" customWidth="1"/>
    <col min="6666" max="6666" width="7.33203125" style="33" customWidth="1"/>
    <col min="6667" max="6667" width="11.6640625" style="33" customWidth="1"/>
    <col min="6668" max="6668" width="13.33203125" style="33" customWidth="1"/>
    <col min="6669" max="6669" width="12.1640625" style="33" bestFit="1" customWidth="1"/>
    <col min="6670" max="6670" width="12.1640625" style="33" customWidth="1"/>
    <col min="6671" max="6671" width="10.33203125" style="33" customWidth="1"/>
    <col min="6672" max="6672" width="11" style="33" bestFit="1" customWidth="1"/>
    <col min="6673" max="6673" width="12" style="33" customWidth="1"/>
    <col min="6674" max="6675" width="12.1640625" style="33" bestFit="1" customWidth="1"/>
    <col min="6676" max="6676" width="11.6640625" style="33" bestFit="1" customWidth="1"/>
    <col min="6677" max="6912" width="13.33203125" style="33"/>
    <col min="6913" max="6914" width="4.6640625" style="33" customWidth="1"/>
    <col min="6915" max="6915" width="9.83203125" style="33" customWidth="1"/>
    <col min="6916" max="6916" width="28.83203125" style="33" customWidth="1"/>
    <col min="6917" max="6917" width="10.83203125" style="33" customWidth="1"/>
    <col min="6918" max="6918" width="5.83203125" style="33" customWidth="1"/>
    <col min="6919" max="6919" width="9.33203125" style="33" customWidth="1"/>
    <col min="6920" max="6920" width="1.5" style="33" customWidth="1"/>
    <col min="6921" max="6921" width="9.5" style="33" customWidth="1"/>
    <col min="6922" max="6922" width="7.33203125" style="33" customWidth="1"/>
    <col min="6923" max="6923" width="11.6640625" style="33" customWidth="1"/>
    <col min="6924" max="6924" width="13.33203125" style="33" customWidth="1"/>
    <col min="6925" max="6925" width="12.1640625" style="33" bestFit="1" customWidth="1"/>
    <col min="6926" max="6926" width="12.1640625" style="33" customWidth="1"/>
    <col min="6927" max="6927" width="10.33203125" style="33" customWidth="1"/>
    <col min="6928" max="6928" width="11" style="33" bestFit="1" customWidth="1"/>
    <col min="6929" max="6929" width="12" style="33" customWidth="1"/>
    <col min="6930" max="6931" width="12.1640625" style="33" bestFit="1" customWidth="1"/>
    <col min="6932" max="6932" width="11.6640625" style="33" bestFit="1" customWidth="1"/>
    <col min="6933" max="7168" width="13.33203125" style="33"/>
    <col min="7169" max="7170" width="4.6640625" style="33" customWidth="1"/>
    <col min="7171" max="7171" width="9.83203125" style="33" customWidth="1"/>
    <col min="7172" max="7172" width="28.83203125" style="33" customWidth="1"/>
    <col min="7173" max="7173" width="10.83203125" style="33" customWidth="1"/>
    <col min="7174" max="7174" width="5.83203125" style="33" customWidth="1"/>
    <col min="7175" max="7175" width="9.33203125" style="33" customWidth="1"/>
    <col min="7176" max="7176" width="1.5" style="33" customWidth="1"/>
    <col min="7177" max="7177" width="9.5" style="33" customWidth="1"/>
    <col min="7178" max="7178" width="7.33203125" style="33" customWidth="1"/>
    <col min="7179" max="7179" width="11.6640625" style="33" customWidth="1"/>
    <col min="7180" max="7180" width="13.33203125" style="33" customWidth="1"/>
    <col min="7181" max="7181" width="12.1640625" style="33" bestFit="1" customWidth="1"/>
    <col min="7182" max="7182" width="12.1640625" style="33" customWidth="1"/>
    <col min="7183" max="7183" width="10.33203125" style="33" customWidth="1"/>
    <col min="7184" max="7184" width="11" style="33" bestFit="1" customWidth="1"/>
    <col min="7185" max="7185" width="12" style="33" customWidth="1"/>
    <col min="7186" max="7187" width="12.1640625" style="33" bestFit="1" customWidth="1"/>
    <col min="7188" max="7188" width="11.6640625" style="33" bestFit="1" customWidth="1"/>
    <col min="7189" max="7424" width="13.33203125" style="33"/>
    <col min="7425" max="7426" width="4.6640625" style="33" customWidth="1"/>
    <col min="7427" max="7427" width="9.83203125" style="33" customWidth="1"/>
    <col min="7428" max="7428" width="28.83203125" style="33" customWidth="1"/>
    <col min="7429" max="7429" width="10.83203125" style="33" customWidth="1"/>
    <col min="7430" max="7430" width="5.83203125" style="33" customWidth="1"/>
    <col min="7431" max="7431" width="9.33203125" style="33" customWidth="1"/>
    <col min="7432" max="7432" width="1.5" style="33" customWidth="1"/>
    <col min="7433" max="7433" width="9.5" style="33" customWidth="1"/>
    <col min="7434" max="7434" width="7.33203125" style="33" customWidth="1"/>
    <col min="7435" max="7435" width="11.6640625" style="33" customWidth="1"/>
    <col min="7436" max="7436" width="13.33203125" style="33" customWidth="1"/>
    <col min="7437" max="7437" width="12.1640625" style="33" bestFit="1" customWidth="1"/>
    <col min="7438" max="7438" width="12.1640625" style="33" customWidth="1"/>
    <col min="7439" max="7439" width="10.33203125" style="33" customWidth="1"/>
    <col min="7440" max="7440" width="11" style="33" bestFit="1" customWidth="1"/>
    <col min="7441" max="7441" width="12" style="33" customWidth="1"/>
    <col min="7442" max="7443" width="12.1640625" style="33" bestFit="1" customWidth="1"/>
    <col min="7444" max="7444" width="11.6640625" style="33" bestFit="1" customWidth="1"/>
    <col min="7445" max="7680" width="13.33203125" style="33"/>
    <col min="7681" max="7682" width="4.6640625" style="33" customWidth="1"/>
    <col min="7683" max="7683" width="9.83203125" style="33" customWidth="1"/>
    <col min="7684" max="7684" width="28.83203125" style="33" customWidth="1"/>
    <col min="7685" max="7685" width="10.83203125" style="33" customWidth="1"/>
    <col min="7686" max="7686" width="5.83203125" style="33" customWidth="1"/>
    <col min="7687" max="7687" width="9.33203125" style="33" customWidth="1"/>
    <col min="7688" max="7688" width="1.5" style="33" customWidth="1"/>
    <col min="7689" max="7689" width="9.5" style="33" customWidth="1"/>
    <col min="7690" max="7690" width="7.33203125" style="33" customWidth="1"/>
    <col min="7691" max="7691" width="11.6640625" style="33" customWidth="1"/>
    <col min="7692" max="7692" width="13.33203125" style="33" customWidth="1"/>
    <col min="7693" max="7693" width="12.1640625" style="33" bestFit="1" customWidth="1"/>
    <col min="7694" max="7694" width="12.1640625" style="33" customWidth="1"/>
    <col min="7695" max="7695" width="10.33203125" style="33" customWidth="1"/>
    <col min="7696" max="7696" width="11" style="33" bestFit="1" customWidth="1"/>
    <col min="7697" max="7697" width="12" style="33" customWidth="1"/>
    <col min="7698" max="7699" width="12.1640625" style="33" bestFit="1" customWidth="1"/>
    <col min="7700" max="7700" width="11.6640625" style="33" bestFit="1" customWidth="1"/>
    <col min="7701" max="7936" width="13.33203125" style="33"/>
    <col min="7937" max="7938" width="4.6640625" style="33" customWidth="1"/>
    <col min="7939" max="7939" width="9.83203125" style="33" customWidth="1"/>
    <col min="7940" max="7940" width="28.83203125" style="33" customWidth="1"/>
    <col min="7941" max="7941" width="10.83203125" style="33" customWidth="1"/>
    <col min="7942" max="7942" width="5.83203125" style="33" customWidth="1"/>
    <col min="7943" max="7943" width="9.33203125" style="33" customWidth="1"/>
    <col min="7944" max="7944" width="1.5" style="33" customWidth="1"/>
    <col min="7945" max="7945" width="9.5" style="33" customWidth="1"/>
    <col min="7946" max="7946" width="7.33203125" style="33" customWidth="1"/>
    <col min="7947" max="7947" width="11.6640625" style="33" customWidth="1"/>
    <col min="7948" max="7948" width="13.33203125" style="33" customWidth="1"/>
    <col min="7949" max="7949" width="12.1640625" style="33" bestFit="1" customWidth="1"/>
    <col min="7950" max="7950" width="12.1640625" style="33" customWidth="1"/>
    <col min="7951" max="7951" width="10.33203125" style="33" customWidth="1"/>
    <col min="7952" max="7952" width="11" style="33" bestFit="1" customWidth="1"/>
    <col min="7953" max="7953" width="12" style="33" customWidth="1"/>
    <col min="7954" max="7955" width="12.1640625" style="33" bestFit="1" customWidth="1"/>
    <col min="7956" max="7956" width="11.6640625" style="33" bestFit="1" customWidth="1"/>
    <col min="7957" max="8192" width="13.33203125" style="33"/>
    <col min="8193" max="8194" width="4.6640625" style="33" customWidth="1"/>
    <col min="8195" max="8195" width="9.83203125" style="33" customWidth="1"/>
    <col min="8196" max="8196" width="28.83203125" style="33" customWidth="1"/>
    <col min="8197" max="8197" width="10.83203125" style="33" customWidth="1"/>
    <col min="8198" max="8198" width="5.83203125" style="33" customWidth="1"/>
    <col min="8199" max="8199" width="9.33203125" style="33" customWidth="1"/>
    <col min="8200" max="8200" width="1.5" style="33" customWidth="1"/>
    <col min="8201" max="8201" width="9.5" style="33" customWidth="1"/>
    <col min="8202" max="8202" width="7.33203125" style="33" customWidth="1"/>
    <col min="8203" max="8203" width="11.6640625" style="33" customWidth="1"/>
    <col min="8204" max="8204" width="13.33203125" style="33" customWidth="1"/>
    <col min="8205" max="8205" width="12.1640625" style="33" bestFit="1" customWidth="1"/>
    <col min="8206" max="8206" width="12.1640625" style="33" customWidth="1"/>
    <col min="8207" max="8207" width="10.33203125" style="33" customWidth="1"/>
    <col min="8208" max="8208" width="11" style="33" bestFit="1" customWidth="1"/>
    <col min="8209" max="8209" width="12" style="33" customWidth="1"/>
    <col min="8210" max="8211" width="12.1640625" style="33" bestFit="1" customWidth="1"/>
    <col min="8212" max="8212" width="11.6640625" style="33" bestFit="1" customWidth="1"/>
    <col min="8213" max="8448" width="13.33203125" style="33"/>
    <col min="8449" max="8450" width="4.6640625" style="33" customWidth="1"/>
    <col min="8451" max="8451" width="9.83203125" style="33" customWidth="1"/>
    <col min="8452" max="8452" width="28.83203125" style="33" customWidth="1"/>
    <col min="8453" max="8453" width="10.83203125" style="33" customWidth="1"/>
    <col min="8454" max="8454" width="5.83203125" style="33" customWidth="1"/>
    <col min="8455" max="8455" width="9.33203125" style="33" customWidth="1"/>
    <col min="8456" max="8456" width="1.5" style="33" customWidth="1"/>
    <col min="8457" max="8457" width="9.5" style="33" customWidth="1"/>
    <col min="8458" max="8458" width="7.33203125" style="33" customWidth="1"/>
    <col min="8459" max="8459" width="11.6640625" style="33" customWidth="1"/>
    <col min="8460" max="8460" width="13.33203125" style="33" customWidth="1"/>
    <col min="8461" max="8461" width="12.1640625" style="33" bestFit="1" customWidth="1"/>
    <col min="8462" max="8462" width="12.1640625" style="33" customWidth="1"/>
    <col min="8463" max="8463" width="10.33203125" style="33" customWidth="1"/>
    <col min="8464" max="8464" width="11" style="33" bestFit="1" customWidth="1"/>
    <col min="8465" max="8465" width="12" style="33" customWidth="1"/>
    <col min="8466" max="8467" width="12.1640625" style="33" bestFit="1" customWidth="1"/>
    <col min="8468" max="8468" width="11.6640625" style="33" bestFit="1" customWidth="1"/>
    <col min="8469" max="8704" width="13.33203125" style="33"/>
    <col min="8705" max="8706" width="4.6640625" style="33" customWidth="1"/>
    <col min="8707" max="8707" width="9.83203125" style="33" customWidth="1"/>
    <col min="8708" max="8708" width="28.83203125" style="33" customWidth="1"/>
    <col min="8709" max="8709" width="10.83203125" style="33" customWidth="1"/>
    <col min="8710" max="8710" width="5.83203125" style="33" customWidth="1"/>
    <col min="8711" max="8711" width="9.33203125" style="33" customWidth="1"/>
    <col min="8712" max="8712" width="1.5" style="33" customWidth="1"/>
    <col min="8713" max="8713" width="9.5" style="33" customWidth="1"/>
    <col min="8714" max="8714" width="7.33203125" style="33" customWidth="1"/>
    <col min="8715" max="8715" width="11.6640625" style="33" customWidth="1"/>
    <col min="8716" max="8716" width="13.33203125" style="33" customWidth="1"/>
    <col min="8717" max="8717" width="12.1640625" style="33" bestFit="1" customWidth="1"/>
    <col min="8718" max="8718" width="12.1640625" style="33" customWidth="1"/>
    <col min="8719" max="8719" width="10.33203125" style="33" customWidth="1"/>
    <col min="8720" max="8720" width="11" style="33" bestFit="1" customWidth="1"/>
    <col min="8721" max="8721" width="12" style="33" customWidth="1"/>
    <col min="8722" max="8723" width="12.1640625" style="33" bestFit="1" customWidth="1"/>
    <col min="8724" max="8724" width="11.6640625" style="33" bestFit="1" customWidth="1"/>
    <col min="8725" max="8960" width="13.33203125" style="33"/>
    <col min="8961" max="8962" width="4.6640625" style="33" customWidth="1"/>
    <col min="8963" max="8963" width="9.83203125" style="33" customWidth="1"/>
    <col min="8964" max="8964" width="28.83203125" style="33" customWidth="1"/>
    <col min="8965" max="8965" width="10.83203125" style="33" customWidth="1"/>
    <col min="8966" max="8966" width="5.83203125" style="33" customWidth="1"/>
    <col min="8967" max="8967" width="9.33203125" style="33" customWidth="1"/>
    <col min="8968" max="8968" width="1.5" style="33" customWidth="1"/>
    <col min="8969" max="8969" width="9.5" style="33" customWidth="1"/>
    <col min="8970" max="8970" width="7.33203125" style="33" customWidth="1"/>
    <col min="8971" max="8971" width="11.6640625" style="33" customWidth="1"/>
    <col min="8972" max="8972" width="13.33203125" style="33" customWidth="1"/>
    <col min="8973" max="8973" width="12.1640625" style="33" bestFit="1" customWidth="1"/>
    <col min="8974" max="8974" width="12.1640625" style="33" customWidth="1"/>
    <col min="8975" max="8975" width="10.33203125" style="33" customWidth="1"/>
    <col min="8976" max="8976" width="11" style="33" bestFit="1" customWidth="1"/>
    <col min="8977" max="8977" width="12" style="33" customWidth="1"/>
    <col min="8978" max="8979" width="12.1640625" style="33" bestFit="1" customWidth="1"/>
    <col min="8980" max="8980" width="11.6640625" style="33" bestFit="1" customWidth="1"/>
    <col min="8981" max="9216" width="13.33203125" style="33"/>
    <col min="9217" max="9218" width="4.6640625" style="33" customWidth="1"/>
    <col min="9219" max="9219" width="9.83203125" style="33" customWidth="1"/>
    <col min="9220" max="9220" width="28.83203125" style="33" customWidth="1"/>
    <col min="9221" max="9221" width="10.83203125" style="33" customWidth="1"/>
    <col min="9222" max="9222" width="5.83203125" style="33" customWidth="1"/>
    <col min="9223" max="9223" width="9.33203125" style="33" customWidth="1"/>
    <col min="9224" max="9224" width="1.5" style="33" customWidth="1"/>
    <col min="9225" max="9225" width="9.5" style="33" customWidth="1"/>
    <col min="9226" max="9226" width="7.33203125" style="33" customWidth="1"/>
    <col min="9227" max="9227" width="11.6640625" style="33" customWidth="1"/>
    <col min="9228" max="9228" width="13.33203125" style="33" customWidth="1"/>
    <col min="9229" max="9229" width="12.1640625" style="33" bestFit="1" customWidth="1"/>
    <col min="9230" max="9230" width="12.1640625" style="33" customWidth="1"/>
    <col min="9231" max="9231" width="10.33203125" style="33" customWidth="1"/>
    <col min="9232" max="9232" width="11" style="33" bestFit="1" customWidth="1"/>
    <col min="9233" max="9233" width="12" style="33" customWidth="1"/>
    <col min="9234" max="9235" width="12.1640625" style="33" bestFit="1" customWidth="1"/>
    <col min="9236" max="9236" width="11.6640625" style="33" bestFit="1" customWidth="1"/>
    <col min="9237" max="9472" width="13.33203125" style="33"/>
    <col min="9473" max="9474" width="4.6640625" style="33" customWidth="1"/>
    <col min="9475" max="9475" width="9.83203125" style="33" customWidth="1"/>
    <col min="9476" max="9476" width="28.83203125" style="33" customWidth="1"/>
    <col min="9477" max="9477" width="10.83203125" style="33" customWidth="1"/>
    <col min="9478" max="9478" width="5.83203125" style="33" customWidth="1"/>
    <col min="9479" max="9479" width="9.33203125" style="33" customWidth="1"/>
    <col min="9480" max="9480" width="1.5" style="33" customWidth="1"/>
    <col min="9481" max="9481" width="9.5" style="33" customWidth="1"/>
    <col min="9482" max="9482" width="7.33203125" style="33" customWidth="1"/>
    <col min="9483" max="9483" width="11.6640625" style="33" customWidth="1"/>
    <col min="9484" max="9484" width="13.33203125" style="33" customWidth="1"/>
    <col min="9485" max="9485" width="12.1640625" style="33" bestFit="1" customWidth="1"/>
    <col min="9486" max="9486" width="12.1640625" style="33" customWidth="1"/>
    <col min="9487" max="9487" width="10.33203125" style="33" customWidth="1"/>
    <col min="9488" max="9488" width="11" style="33" bestFit="1" customWidth="1"/>
    <col min="9489" max="9489" width="12" style="33" customWidth="1"/>
    <col min="9490" max="9491" width="12.1640625" style="33" bestFit="1" customWidth="1"/>
    <col min="9492" max="9492" width="11.6640625" style="33" bestFit="1" customWidth="1"/>
    <col min="9493" max="9728" width="13.33203125" style="33"/>
    <col min="9729" max="9730" width="4.6640625" style="33" customWidth="1"/>
    <col min="9731" max="9731" width="9.83203125" style="33" customWidth="1"/>
    <col min="9732" max="9732" width="28.83203125" style="33" customWidth="1"/>
    <col min="9733" max="9733" width="10.83203125" style="33" customWidth="1"/>
    <col min="9734" max="9734" width="5.83203125" style="33" customWidth="1"/>
    <col min="9735" max="9735" width="9.33203125" style="33" customWidth="1"/>
    <col min="9736" max="9736" width="1.5" style="33" customWidth="1"/>
    <col min="9737" max="9737" width="9.5" style="33" customWidth="1"/>
    <col min="9738" max="9738" width="7.33203125" style="33" customWidth="1"/>
    <col min="9739" max="9739" width="11.6640625" style="33" customWidth="1"/>
    <col min="9740" max="9740" width="13.33203125" style="33" customWidth="1"/>
    <col min="9741" max="9741" width="12.1640625" style="33" bestFit="1" customWidth="1"/>
    <col min="9742" max="9742" width="12.1640625" style="33" customWidth="1"/>
    <col min="9743" max="9743" width="10.33203125" style="33" customWidth="1"/>
    <col min="9744" max="9744" width="11" style="33" bestFit="1" customWidth="1"/>
    <col min="9745" max="9745" width="12" style="33" customWidth="1"/>
    <col min="9746" max="9747" width="12.1640625" style="33" bestFit="1" customWidth="1"/>
    <col min="9748" max="9748" width="11.6640625" style="33" bestFit="1" customWidth="1"/>
    <col min="9749" max="9984" width="13.33203125" style="33"/>
    <col min="9985" max="9986" width="4.6640625" style="33" customWidth="1"/>
    <col min="9987" max="9987" width="9.83203125" style="33" customWidth="1"/>
    <col min="9988" max="9988" width="28.83203125" style="33" customWidth="1"/>
    <col min="9989" max="9989" width="10.83203125" style="33" customWidth="1"/>
    <col min="9990" max="9990" width="5.83203125" style="33" customWidth="1"/>
    <col min="9991" max="9991" width="9.33203125" style="33" customWidth="1"/>
    <col min="9992" max="9992" width="1.5" style="33" customWidth="1"/>
    <col min="9993" max="9993" width="9.5" style="33" customWidth="1"/>
    <col min="9994" max="9994" width="7.33203125" style="33" customWidth="1"/>
    <col min="9995" max="9995" width="11.6640625" style="33" customWidth="1"/>
    <col min="9996" max="9996" width="13.33203125" style="33" customWidth="1"/>
    <col min="9997" max="9997" width="12.1640625" style="33" bestFit="1" customWidth="1"/>
    <col min="9998" max="9998" width="12.1640625" style="33" customWidth="1"/>
    <col min="9999" max="9999" width="10.33203125" style="33" customWidth="1"/>
    <col min="10000" max="10000" width="11" style="33" bestFit="1" customWidth="1"/>
    <col min="10001" max="10001" width="12" style="33" customWidth="1"/>
    <col min="10002" max="10003" width="12.1640625" style="33" bestFit="1" customWidth="1"/>
    <col min="10004" max="10004" width="11.6640625" style="33" bestFit="1" customWidth="1"/>
    <col min="10005" max="10240" width="13.33203125" style="33"/>
    <col min="10241" max="10242" width="4.6640625" style="33" customWidth="1"/>
    <col min="10243" max="10243" width="9.83203125" style="33" customWidth="1"/>
    <col min="10244" max="10244" width="28.83203125" style="33" customWidth="1"/>
    <col min="10245" max="10245" width="10.83203125" style="33" customWidth="1"/>
    <col min="10246" max="10246" width="5.83203125" style="33" customWidth="1"/>
    <col min="10247" max="10247" width="9.33203125" style="33" customWidth="1"/>
    <col min="10248" max="10248" width="1.5" style="33" customWidth="1"/>
    <col min="10249" max="10249" width="9.5" style="33" customWidth="1"/>
    <col min="10250" max="10250" width="7.33203125" style="33" customWidth="1"/>
    <col min="10251" max="10251" width="11.6640625" style="33" customWidth="1"/>
    <col min="10252" max="10252" width="13.33203125" style="33" customWidth="1"/>
    <col min="10253" max="10253" width="12.1640625" style="33" bestFit="1" customWidth="1"/>
    <col min="10254" max="10254" width="12.1640625" style="33" customWidth="1"/>
    <col min="10255" max="10255" width="10.33203125" style="33" customWidth="1"/>
    <col min="10256" max="10256" width="11" style="33" bestFit="1" customWidth="1"/>
    <col min="10257" max="10257" width="12" style="33" customWidth="1"/>
    <col min="10258" max="10259" width="12.1640625" style="33" bestFit="1" customWidth="1"/>
    <col min="10260" max="10260" width="11.6640625" style="33" bestFit="1" customWidth="1"/>
    <col min="10261" max="10496" width="13.33203125" style="33"/>
    <col min="10497" max="10498" width="4.6640625" style="33" customWidth="1"/>
    <col min="10499" max="10499" width="9.83203125" style="33" customWidth="1"/>
    <col min="10500" max="10500" width="28.83203125" style="33" customWidth="1"/>
    <col min="10501" max="10501" width="10.83203125" style="33" customWidth="1"/>
    <col min="10502" max="10502" width="5.83203125" style="33" customWidth="1"/>
    <col min="10503" max="10503" width="9.33203125" style="33" customWidth="1"/>
    <col min="10504" max="10504" width="1.5" style="33" customWidth="1"/>
    <col min="10505" max="10505" width="9.5" style="33" customWidth="1"/>
    <col min="10506" max="10506" width="7.33203125" style="33" customWidth="1"/>
    <col min="10507" max="10507" width="11.6640625" style="33" customWidth="1"/>
    <col min="10508" max="10508" width="13.33203125" style="33" customWidth="1"/>
    <col min="10509" max="10509" width="12.1640625" style="33" bestFit="1" customWidth="1"/>
    <col min="10510" max="10510" width="12.1640625" style="33" customWidth="1"/>
    <col min="10511" max="10511" width="10.33203125" style="33" customWidth="1"/>
    <col min="10512" max="10512" width="11" style="33" bestFit="1" customWidth="1"/>
    <col min="10513" max="10513" width="12" style="33" customWidth="1"/>
    <col min="10514" max="10515" width="12.1640625" style="33" bestFit="1" customWidth="1"/>
    <col min="10516" max="10516" width="11.6640625" style="33" bestFit="1" customWidth="1"/>
    <col min="10517" max="10752" width="13.33203125" style="33"/>
    <col min="10753" max="10754" width="4.6640625" style="33" customWidth="1"/>
    <col min="10755" max="10755" width="9.83203125" style="33" customWidth="1"/>
    <col min="10756" max="10756" width="28.83203125" style="33" customWidth="1"/>
    <col min="10757" max="10757" width="10.83203125" style="33" customWidth="1"/>
    <col min="10758" max="10758" width="5.83203125" style="33" customWidth="1"/>
    <col min="10759" max="10759" width="9.33203125" style="33" customWidth="1"/>
    <col min="10760" max="10760" width="1.5" style="33" customWidth="1"/>
    <col min="10761" max="10761" width="9.5" style="33" customWidth="1"/>
    <col min="10762" max="10762" width="7.33203125" style="33" customWidth="1"/>
    <col min="10763" max="10763" width="11.6640625" style="33" customWidth="1"/>
    <col min="10764" max="10764" width="13.33203125" style="33" customWidth="1"/>
    <col min="10765" max="10765" width="12.1640625" style="33" bestFit="1" customWidth="1"/>
    <col min="10766" max="10766" width="12.1640625" style="33" customWidth="1"/>
    <col min="10767" max="10767" width="10.33203125" style="33" customWidth="1"/>
    <col min="10768" max="10768" width="11" style="33" bestFit="1" customWidth="1"/>
    <col min="10769" max="10769" width="12" style="33" customWidth="1"/>
    <col min="10770" max="10771" width="12.1640625" style="33" bestFit="1" customWidth="1"/>
    <col min="10772" max="10772" width="11.6640625" style="33" bestFit="1" customWidth="1"/>
    <col min="10773" max="11008" width="13.33203125" style="33"/>
    <col min="11009" max="11010" width="4.6640625" style="33" customWidth="1"/>
    <col min="11011" max="11011" width="9.83203125" style="33" customWidth="1"/>
    <col min="11012" max="11012" width="28.83203125" style="33" customWidth="1"/>
    <col min="11013" max="11013" width="10.83203125" style="33" customWidth="1"/>
    <col min="11014" max="11014" width="5.83203125" style="33" customWidth="1"/>
    <col min="11015" max="11015" width="9.33203125" style="33" customWidth="1"/>
    <col min="11016" max="11016" width="1.5" style="33" customWidth="1"/>
    <col min="11017" max="11017" width="9.5" style="33" customWidth="1"/>
    <col min="11018" max="11018" width="7.33203125" style="33" customWidth="1"/>
    <col min="11019" max="11019" width="11.6640625" style="33" customWidth="1"/>
    <col min="11020" max="11020" width="13.33203125" style="33" customWidth="1"/>
    <col min="11021" max="11021" width="12.1640625" style="33" bestFit="1" customWidth="1"/>
    <col min="11022" max="11022" width="12.1640625" style="33" customWidth="1"/>
    <col min="11023" max="11023" width="10.33203125" style="33" customWidth="1"/>
    <col min="11024" max="11024" width="11" style="33" bestFit="1" customWidth="1"/>
    <col min="11025" max="11025" width="12" style="33" customWidth="1"/>
    <col min="11026" max="11027" width="12.1640625" style="33" bestFit="1" customWidth="1"/>
    <col min="11028" max="11028" width="11.6640625" style="33" bestFit="1" customWidth="1"/>
    <col min="11029" max="11264" width="13.33203125" style="33"/>
    <col min="11265" max="11266" width="4.6640625" style="33" customWidth="1"/>
    <col min="11267" max="11267" width="9.83203125" style="33" customWidth="1"/>
    <col min="11268" max="11268" width="28.83203125" style="33" customWidth="1"/>
    <col min="11269" max="11269" width="10.83203125" style="33" customWidth="1"/>
    <col min="11270" max="11270" width="5.83203125" style="33" customWidth="1"/>
    <col min="11271" max="11271" width="9.33203125" style="33" customWidth="1"/>
    <col min="11272" max="11272" width="1.5" style="33" customWidth="1"/>
    <col min="11273" max="11273" width="9.5" style="33" customWidth="1"/>
    <col min="11274" max="11274" width="7.33203125" style="33" customWidth="1"/>
    <col min="11275" max="11275" width="11.6640625" style="33" customWidth="1"/>
    <col min="11276" max="11276" width="13.33203125" style="33" customWidth="1"/>
    <col min="11277" max="11277" width="12.1640625" style="33" bestFit="1" customWidth="1"/>
    <col min="11278" max="11278" width="12.1640625" style="33" customWidth="1"/>
    <col min="11279" max="11279" width="10.33203125" style="33" customWidth="1"/>
    <col min="11280" max="11280" width="11" style="33" bestFit="1" customWidth="1"/>
    <col min="11281" max="11281" width="12" style="33" customWidth="1"/>
    <col min="11282" max="11283" width="12.1640625" style="33" bestFit="1" customWidth="1"/>
    <col min="11284" max="11284" width="11.6640625" style="33" bestFit="1" customWidth="1"/>
    <col min="11285" max="11520" width="13.33203125" style="33"/>
    <col min="11521" max="11522" width="4.6640625" style="33" customWidth="1"/>
    <col min="11523" max="11523" width="9.83203125" style="33" customWidth="1"/>
    <col min="11524" max="11524" width="28.83203125" style="33" customWidth="1"/>
    <col min="11525" max="11525" width="10.83203125" style="33" customWidth="1"/>
    <col min="11526" max="11526" width="5.83203125" style="33" customWidth="1"/>
    <col min="11527" max="11527" width="9.33203125" style="33" customWidth="1"/>
    <col min="11528" max="11528" width="1.5" style="33" customWidth="1"/>
    <col min="11529" max="11529" width="9.5" style="33" customWidth="1"/>
    <col min="11530" max="11530" width="7.33203125" style="33" customWidth="1"/>
    <col min="11531" max="11531" width="11.6640625" style="33" customWidth="1"/>
    <col min="11532" max="11532" width="13.33203125" style="33" customWidth="1"/>
    <col min="11533" max="11533" width="12.1640625" style="33" bestFit="1" customWidth="1"/>
    <col min="11534" max="11534" width="12.1640625" style="33" customWidth="1"/>
    <col min="11535" max="11535" width="10.33203125" style="33" customWidth="1"/>
    <col min="11536" max="11536" width="11" style="33" bestFit="1" customWidth="1"/>
    <col min="11537" max="11537" width="12" style="33" customWidth="1"/>
    <col min="11538" max="11539" width="12.1640625" style="33" bestFit="1" customWidth="1"/>
    <col min="11540" max="11540" width="11.6640625" style="33" bestFit="1" customWidth="1"/>
    <col min="11541" max="11776" width="13.33203125" style="33"/>
    <col min="11777" max="11778" width="4.6640625" style="33" customWidth="1"/>
    <col min="11779" max="11779" width="9.83203125" style="33" customWidth="1"/>
    <col min="11780" max="11780" width="28.83203125" style="33" customWidth="1"/>
    <col min="11781" max="11781" width="10.83203125" style="33" customWidth="1"/>
    <col min="11782" max="11782" width="5.83203125" style="33" customWidth="1"/>
    <col min="11783" max="11783" width="9.33203125" style="33" customWidth="1"/>
    <col min="11784" max="11784" width="1.5" style="33" customWidth="1"/>
    <col min="11785" max="11785" width="9.5" style="33" customWidth="1"/>
    <col min="11786" max="11786" width="7.33203125" style="33" customWidth="1"/>
    <col min="11787" max="11787" width="11.6640625" style="33" customWidth="1"/>
    <col min="11788" max="11788" width="13.33203125" style="33" customWidth="1"/>
    <col min="11789" max="11789" width="12.1640625" style="33" bestFit="1" customWidth="1"/>
    <col min="11790" max="11790" width="12.1640625" style="33" customWidth="1"/>
    <col min="11791" max="11791" width="10.33203125" style="33" customWidth="1"/>
    <col min="11792" max="11792" width="11" style="33" bestFit="1" customWidth="1"/>
    <col min="11793" max="11793" width="12" style="33" customWidth="1"/>
    <col min="11794" max="11795" width="12.1640625" style="33" bestFit="1" customWidth="1"/>
    <col min="11796" max="11796" width="11.6640625" style="33" bestFit="1" customWidth="1"/>
    <col min="11797" max="12032" width="13.33203125" style="33"/>
    <col min="12033" max="12034" width="4.6640625" style="33" customWidth="1"/>
    <col min="12035" max="12035" width="9.83203125" style="33" customWidth="1"/>
    <col min="12036" max="12036" width="28.83203125" style="33" customWidth="1"/>
    <col min="12037" max="12037" width="10.83203125" style="33" customWidth="1"/>
    <col min="12038" max="12038" width="5.83203125" style="33" customWidth="1"/>
    <col min="12039" max="12039" width="9.33203125" style="33" customWidth="1"/>
    <col min="12040" max="12040" width="1.5" style="33" customWidth="1"/>
    <col min="12041" max="12041" width="9.5" style="33" customWidth="1"/>
    <col min="12042" max="12042" width="7.33203125" style="33" customWidth="1"/>
    <col min="12043" max="12043" width="11.6640625" style="33" customWidth="1"/>
    <col min="12044" max="12044" width="13.33203125" style="33" customWidth="1"/>
    <col min="12045" max="12045" width="12.1640625" style="33" bestFit="1" customWidth="1"/>
    <col min="12046" max="12046" width="12.1640625" style="33" customWidth="1"/>
    <col min="12047" max="12047" width="10.33203125" style="33" customWidth="1"/>
    <col min="12048" max="12048" width="11" style="33" bestFit="1" customWidth="1"/>
    <col min="12049" max="12049" width="12" style="33" customWidth="1"/>
    <col min="12050" max="12051" width="12.1640625" style="33" bestFit="1" customWidth="1"/>
    <col min="12052" max="12052" width="11.6640625" style="33" bestFit="1" customWidth="1"/>
    <col min="12053" max="12288" width="13.33203125" style="33"/>
    <col min="12289" max="12290" width="4.6640625" style="33" customWidth="1"/>
    <col min="12291" max="12291" width="9.83203125" style="33" customWidth="1"/>
    <col min="12292" max="12292" width="28.83203125" style="33" customWidth="1"/>
    <col min="12293" max="12293" width="10.83203125" style="33" customWidth="1"/>
    <col min="12294" max="12294" width="5.83203125" style="33" customWidth="1"/>
    <col min="12295" max="12295" width="9.33203125" style="33" customWidth="1"/>
    <col min="12296" max="12296" width="1.5" style="33" customWidth="1"/>
    <col min="12297" max="12297" width="9.5" style="33" customWidth="1"/>
    <col min="12298" max="12298" width="7.33203125" style="33" customWidth="1"/>
    <col min="12299" max="12299" width="11.6640625" style="33" customWidth="1"/>
    <col min="12300" max="12300" width="13.33203125" style="33" customWidth="1"/>
    <col min="12301" max="12301" width="12.1640625" style="33" bestFit="1" customWidth="1"/>
    <col min="12302" max="12302" width="12.1640625" style="33" customWidth="1"/>
    <col min="12303" max="12303" width="10.33203125" style="33" customWidth="1"/>
    <col min="12304" max="12304" width="11" style="33" bestFit="1" customWidth="1"/>
    <col min="12305" max="12305" width="12" style="33" customWidth="1"/>
    <col min="12306" max="12307" width="12.1640625" style="33" bestFit="1" customWidth="1"/>
    <col min="12308" max="12308" width="11.6640625" style="33" bestFit="1" customWidth="1"/>
    <col min="12309" max="12544" width="13.33203125" style="33"/>
    <col min="12545" max="12546" width="4.6640625" style="33" customWidth="1"/>
    <col min="12547" max="12547" width="9.83203125" style="33" customWidth="1"/>
    <col min="12548" max="12548" width="28.83203125" style="33" customWidth="1"/>
    <col min="12549" max="12549" width="10.83203125" style="33" customWidth="1"/>
    <col min="12550" max="12550" width="5.83203125" style="33" customWidth="1"/>
    <col min="12551" max="12551" width="9.33203125" style="33" customWidth="1"/>
    <col min="12552" max="12552" width="1.5" style="33" customWidth="1"/>
    <col min="12553" max="12553" width="9.5" style="33" customWidth="1"/>
    <col min="12554" max="12554" width="7.33203125" style="33" customWidth="1"/>
    <col min="12555" max="12555" width="11.6640625" style="33" customWidth="1"/>
    <col min="12556" max="12556" width="13.33203125" style="33" customWidth="1"/>
    <col min="12557" max="12557" width="12.1640625" style="33" bestFit="1" customWidth="1"/>
    <col min="12558" max="12558" width="12.1640625" style="33" customWidth="1"/>
    <col min="12559" max="12559" width="10.33203125" style="33" customWidth="1"/>
    <col min="12560" max="12560" width="11" style="33" bestFit="1" customWidth="1"/>
    <col min="12561" max="12561" width="12" style="33" customWidth="1"/>
    <col min="12562" max="12563" width="12.1640625" style="33" bestFit="1" customWidth="1"/>
    <col min="12564" max="12564" width="11.6640625" style="33" bestFit="1" customWidth="1"/>
    <col min="12565" max="12800" width="13.33203125" style="33"/>
    <col min="12801" max="12802" width="4.6640625" style="33" customWidth="1"/>
    <col min="12803" max="12803" width="9.83203125" style="33" customWidth="1"/>
    <col min="12804" max="12804" width="28.83203125" style="33" customWidth="1"/>
    <col min="12805" max="12805" width="10.83203125" style="33" customWidth="1"/>
    <col min="12806" max="12806" width="5.83203125" style="33" customWidth="1"/>
    <col min="12807" max="12807" width="9.33203125" style="33" customWidth="1"/>
    <col min="12808" max="12808" width="1.5" style="33" customWidth="1"/>
    <col min="12809" max="12809" width="9.5" style="33" customWidth="1"/>
    <col min="12810" max="12810" width="7.33203125" style="33" customWidth="1"/>
    <col min="12811" max="12811" width="11.6640625" style="33" customWidth="1"/>
    <col min="12812" max="12812" width="13.33203125" style="33" customWidth="1"/>
    <col min="12813" max="12813" width="12.1640625" style="33" bestFit="1" customWidth="1"/>
    <col min="12814" max="12814" width="12.1640625" style="33" customWidth="1"/>
    <col min="12815" max="12815" width="10.33203125" style="33" customWidth="1"/>
    <col min="12816" max="12816" width="11" style="33" bestFit="1" customWidth="1"/>
    <col min="12817" max="12817" width="12" style="33" customWidth="1"/>
    <col min="12818" max="12819" width="12.1640625" style="33" bestFit="1" customWidth="1"/>
    <col min="12820" max="12820" width="11.6640625" style="33" bestFit="1" customWidth="1"/>
    <col min="12821" max="13056" width="13.33203125" style="33"/>
    <col min="13057" max="13058" width="4.6640625" style="33" customWidth="1"/>
    <col min="13059" max="13059" width="9.83203125" style="33" customWidth="1"/>
    <col min="13060" max="13060" width="28.83203125" style="33" customWidth="1"/>
    <col min="13061" max="13061" width="10.83203125" style="33" customWidth="1"/>
    <col min="13062" max="13062" width="5.83203125" style="33" customWidth="1"/>
    <col min="13063" max="13063" width="9.33203125" style="33" customWidth="1"/>
    <col min="13064" max="13064" width="1.5" style="33" customWidth="1"/>
    <col min="13065" max="13065" width="9.5" style="33" customWidth="1"/>
    <col min="13066" max="13066" width="7.33203125" style="33" customWidth="1"/>
    <col min="13067" max="13067" width="11.6640625" style="33" customWidth="1"/>
    <col min="13068" max="13068" width="13.33203125" style="33" customWidth="1"/>
    <col min="13069" max="13069" width="12.1640625" style="33" bestFit="1" customWidth="1"/>
    <col min="13070" max="13070" width="12.1640625" style="33" customWidth="1"/>
    <col min="13071" max="13071" width="10.33203125" style="33" customWidth="1"/>
    <col min="13072" max="13072" width="11" style="33" bestFit="1" customWidth="1"/>
    <col min="13073" max="13073" width="12" style="33" customWidth="1"/>
    <col min="13074" max="13075" width="12.1640625" style="33" bestFit="1" customWidth="1"/>
    <col min="13076" max="13076" width="11.6640625" style="33" bestFit="1" customWidth="1"/>
    <col min="13077" max="13312" width="13.33203125" style="33"/>
    <col min="13313" max="13314" width="4.6640625" style="33" customWidth="1"/>
    <col min="13315" max="13315" width="9.83203125" style="33" customWidth="1"/>
    <col min="13316" max="13316" width="28.83203125" style="33" customWidth="1"/>
    <col min="13317" max="13317" width="10.83203125" style="33" customWidth="1"/>
    <col min="13318" max="13318" width="5.83203125" style="33" customWidth="1"/>
    <col min="13319" max="13319" width="9.33203125" style="33" customWidth="1"/>
    <col min="13320" max="13320" width="1.5" style="33" customWidth="1"/>
    <col min="13321" max="13321" width="9.5" style="33" customWidth="1"/>
    <col min="13322" max="13322" width="7.33203125" style="33" customWidth="1"/>
    <col min="13323" max="13323" width="11.6640625" style="33" customWidth="1"/>
    <col min="13324" max="13324" width="13.33203125" style="33" customWidth="1"/>
    <col min="13325" max="13325" width="12.1640625" style="33" bestFit="1" customWidth="1"/>
    <col min="13326" max="13326" width="12.1640625" style="33" customWidth="1"/>
    <col min="13327" max="13327" width="10.33203125" style="33" customWidth="1"/>
    <col min="13328" max="13328" width="11" style="33" bestFit="1" customWidth="1"/>
    <col min="13329" max="13329" width="12" style="33" customWidth="1"/>
    <col min="13330" max="13331" width="12.1640625" style="33" bestFit="1" customWidth="1"/>
    <col min="13332" max="13332" width="11.6640625" style="33" bestFit="1" customWidth="1"/>
    <col min="13333" max="13568" width="13.33203125" style="33"/>
    <col min="13569" max="13570" width="4.6640625" style="33" customWidth="1"/>
    <col min="13571" max="13571" width="9.83203125" style="33" customWidth="1"/>
    <col min="13572" max="13572" width="28.83203125" style="33" customWidth="1"/>
    <col min="13573" max="13573" width="10.83203125" style="33" customWidth="1"/>
    <col min="13574" max="13574" width="5.83203125" style="33" customWidth="1"/>
    <col min="13575" max="13575" width="9.33203125" style="33" customWidth="1"/>
    <col min="13576" max="13576" width="1.5" style="33" customWidth="1"/>
    <col min="13577" max="13577" width="9.5" style="33" customWidth="1"/>
    <col min="13578" max="13578" width="7.33203125" style="33" customWidth="1"/>
    <col min="13579" max="13579" width="11.6640625" style="33" customWidth="1"/>
    <col min="13580" max="13580" width="13.33203125" style="33" customWidth="1"/>
    <col min="13581" max="13581" width="12.1640625" style="33" bestFit="1" customWidth="1"/>
    <col min="13582" max="13582" width="12.1640625" style="33" customWidth="1"/>
    <col min="13583" max="13583" width="10.33203125" style="33" customWidth="1"/>
    <col min="13584" max="13584" width="11" style="33" bestFit="1" customWidth="1"/>
    <col min="13585" max="13585" width="12" style="33" customWidth="1"/>
    <col min="13586" max="13587" width="12.1640625" style="33" bestFit="1" customWidth="1"/>
    <col min="13588" max="13588" width="11.6640625" style="33" bestFit="1" customWidth="1"/>
    <col min="13589" max="13824" width="13.33203125" style="33"/>
    <col min="13825" max="13826" width="4.6640625" style="33" customWidth="1"/>
    <col min="13827" max="13827" width="9.83203125" style="33" customWidth="1"/>
    <col min="13828" max="13828" width="28.83203125" style="33" customWidth="1"/>
    <col min="13829" max="13829" width="10.83203125" style="33" customWidth="1"/>
    <col min="13830" max="13830" width="5.83203125" style="33" customWidth="1"/>
    <col min="13831" max="13831" width="9.33203125" style="33" customWidth="1"/>
    <col min="13832" max="13832" width="1.5" style="33" customWidth="1"/>
    <col min="13833" max="13833" width="9.5" style="33" customWidth="1"/>
    <col min="13834" max="13834" width="7.33203125" style="33" customWidth="1"/>
    <col min="13835" max="13835" width="11.6640625" style="33" customWidth="1"/>
    <col min="13836" max="13836" width="13.33203125" style="33" customWidth="1"/>
    <col min="13837" max="13837" width="12.1640625" style="33" bestFit="1" customWidth="1"/>
    <col min="13838" max="13838" width="12.1640625" style="33" customWidth="1"/>
    <col min="13839" max="13839" width="10.33203125" style="33" customWidth="1"/>
    <col min="13840" max="13840" width="11" style="33" bestFit="1" customWidth="1"/>
    <col min="13841" max="13841" width="12" style="33" customWidth="1"/>
    <col min="13842" max="13843" width="12.1640625" style="33" bestFit="1" customWidth="1"/>
    <col min="13844" max="13844" width="11.6640625" style="33" bestFit="1" customWidth="1"/>
    <col min="13845" max="14080" width="13.33203125" style="33"/>
    <col min="14081" max="14082" width="4.6640625" style="33" customWidth="1"/>
    <col min="14083" max="14083" width="9.83203125" style="33" customWidth="1"/>
    <col min="14084" max="14084" width="28.83203125" style="33" customWidth="1"/>
    <col min="14085" max="14085" width="10.83203125" style="33" customWidth="1"/>
    <col min="14086" max="14086" width="5.83203125" style="33" customWidth="1"/>
    <col min="14087" max="14087" width="9.33203125" style="33" customWidth="1"/>
    <col min="14088" max="14088" width="1.5" style="33" customWidth="1"/>
    <col min="14089" max="14089" width="9.5" style="33" customWidth="1"/>
    <col min="14090" max="14090" width="7.33203125" style="33" customWidth="1"/>
    <col min="14091" max="14091" width="11.6640625" style="33" customWidth="1"/>
    <col min="14092" max="14092" width="13.33203125" style="33" customWidth="1"/>
    <col min="14093" max="14093" width="12.1640625" style="33" bestFit="1" customWidth="1"/>
    <col min="14094" max="14094" width="12.1640625" style="33" customWidth="1"/>
    <col min="14095" max="14095" width="10.33203125" style="33" customWidth="1"/>
    <col min="14096" max="14096" width="11" style="33" bestFit="1" customWidth="1"/>
    <col min="14097" max="14097" width="12" style="33" customWidth="1"/>
    <col min="14098" max="14099" width="12.1640625" style="33" bestFit="1" customWidth="1"/>
    <col min="14100" max="14100" width="11.6640625" style="33" bestFit="1" customWidth="1"/>
    <col min="14101" max="14336" width="13.33203125" style="33"/>
    <col min="14337" max="14338" width="4.6640625" style="33" customWidth="1"/>
    <col min="14339" max="14339" width="9.83203125" style="33" customWidth="1"/>
    <col min="14340" max="14340" width="28.83203125" style="33" customWidth="1"/>
    <col min="14341" max="14341" width="10.83203125" style="33" customWidth="1"/>
    <col min="14342" max="14342" width="5.83203125" style="33" customWidth="1"/>
    <col min="14343" max="14343" width="9.33203125" style="33" customWidth="1"/>
    <col min="14344" max="14344" width="1.5" style="33" customWidth="1"/>
    <col min="14345" max="14345" width="9.5" style="33" customWidth="1"/>
    <col min="14346" max="14346" width="7.33203125" style="33" customWidth="1"/>
    <col min="14347" max="14347" width="11.6640625" style="33" customWidth="1"/>
    <col min="14348" max="14348" width="13.33203125" style="33" customWidth="1"/>
    <col min="14349" max="14349" width="12.1640625" style="33" bestFit="1" customWidth="1"/>
    <col min="14350" max="14350" width="12.1640625" style="33" customWidth="1"/>
    <col min="14351" max="14351" width="10.33203125" style="33" customWidth="1"/>
    <col min="14352" max="14352" width="11" style="33" bestFit="1" customWidth="1"/>
    <col min="14353" max="14353" width="12" style="33" customWidth="1"/>
    <col min="14354" max="14355" width="12.1640625" style="33" bestFit="1" customWidth="1"/>
    <col min="14356" max="14356" width="11.6640625" style="33" bestFit="1" customWidth="1"/>
    <col min="14357" max="14592" width="13.33203125" style="33"/>
    <col min="14593" max="14594" width="4.6640625" style="33" customWidth="1"/>
    <col min="14595" max="14595" width="9.83203125" style="33" customWidth="1"/>
    <col min="14596" max="14596" width="28.83203125" style="33" customWidth="1"/>
    <col min="14597" max="14597" width="10.83203125" style="33" customWidth="1"/>
    <col min="14598" max="14598" width="5.83203125" style="33" customWidth="1"/>
    <col min="14599" max="14599" width="9.33203125" style="33" customWidth="1"/>
    <col min="14600" max="14600" width="1.5" style="33" customWidth="1"/>
    <col min="14601" max="14601" width="9.5" style="33" customWidth="1"/>
    <col min="14602" max="14602" width="7.33203125" style="33" customWidth="1"/>
    <col min="14603" max="14603" width="11.6640625" style="33" customWidth="1"/>
    <col min="14604" max="14604" width="13.33203125" style="33" customWidth="1"/>
    <col min="14605" max="14605" width="12.1640625" style="33" bestFit="1" customWidth="1"/>
    <col min="14606" max="14606" width="12.1640625" style="33" customWidth="1"/>
    <col min="14607" max="14607" width="10.33203125" style="33" customWidth="1"/>
    <col min="14608" max="14608" width="11" style="33" bestFit="1" customWidth="1"/>
    <col min="14609" max="14609" width="12" style="33" customWidth="1"/>
    <col min="14610" max="14611" width="12.1640625" style="33" bestFit="1" customWidth="1"/>
    <col min="14612" max="14612" width="11.6640625" style="33" bestFit="1" customWidth="1"/>
    <col min="14613" max="14848" width="13.33203125" style="33"/>
    <col min="14849" max="14850" width="4.6640625" style="33" customWidth="1"/>
    <col min="14851" max="14851" width="9.83203125" style="33" customWidth="1"/>
    <col min="14852" max="14852" width="28.83203125" style="33" customWidth="1"/>
    <col min="14853" max="14853" width="10.83203125" style="33" customWidth="1"/>
    <col min="14854" max="14854" width="5.83203125" style="33" customWidth="1"/>
    <col min="14855" max="14855" width="9.33203125" style="33" customWidth="1"/>
    <col min="14856" max="14856" width="1.5" style="33" customWidth="1"/>
    <col min="14857" max="14857" width="9.5" style="33" customWidth="1"/>
    <col min="14858" max="14858" width="7.33203125" style="33" customWidth="1"/>
    <col min="14859" max="14859" width="11.6640625" style="33" customWidth="1"/>
    <col min="14860" max="14860" width="13.33203125" style="33" customWidth="1"/>
    <col min="14861" max="14861" width="12.1640625" style="33" bestFit="1" customWidth="1"/>
    <col min="14862" max="14862" width="12.1640625" style="33" customWidth="1"/>
    <col min="14863" max="14863" width="10.33203125" style="33" customWidth="1"/>
    <col min="14864" max="14864" width="11" style="33" bestFit="1" customWidth="1"/>
    <col min="14865" max="14865" width="12" style="33" customWidth="1"/>
    <col min="14866" max="14867" width="12.1640625" style="33" bestFit="1" customWidth="1"/>
    <col min="14868" max="14868" width="11.6640625" style="33" bestFit="1" customWidth="1"/>
    <col min="14869" max="15104" width="13.33203125" style="33"/>
    <col min="15105" max="15106" width="4.6640625" style="33" customWidth="1"/>
    <col min="15107" max="15107" width="9.83203125" style="33" customWidth="1"/>
    <col min="15108" max="15108" width="28.83203125" style="33" customWidth="1"/>
    <col min="15109" max="15109" width="10.83203125" style="33" customWidth="1"/>
    <col min="15110" max="15110" width="5.83203125" style="33" customWidth="1"/>
    <col min="15111" max="15111" width="9.33203125" style="33" customWidth="1"/>
    <col min="15112" max="15112" width="1.5" style="33" customWidth="1"/>
    <col min="15113" max="15113" width="9.5" style="33" customWidth="1"/>
    <col min="15114" max="15114" width="7.33203125" style="33" customWidth="1"/>
    <col min="15115" max="15115" width="11.6640625" style="33" customWidth="1"/>
    <col min="15116" max="15116" width="13.33203125" style="33" customWidth="1"/>
    <col min="15117" max="15117" width="12.1640625" style="33" bestFit="1" customWidth="1"/>
    <col min="15118" max="15118" width="12.1640625" style="33" customWidth="1"/>
    <col min="15119" max="15119" width="10.33203125" style="33" customWidth="1"/>
    <col min="15120" max="15120" width="11" style="33" bestFit="1" customWidth="1"/>
    <col min="15121" max="15121" width="12" style="33" customWidth="1"/>
    <col min="15122" max="15123" width="12.1640625" style="33" bestFit="1" customWidth="1"/>
    <col min="15124" max="15124" width="11.6640625" style="33" bestFit="1" customWidth="1"/>
    <col min="15125" max="15360" width="13.33203125" style="33"/>
    <col min="15361" max="15362" width="4.6640625" style="33" customWidth="1"/>
    <col min="15363" max="15363" width="9.83203125" style="33" customWidth="1"/>
    <col min="15364" max="15364" width="28.83203125" style="33" customWidth="1"/>
    <col min="15365" max="15365" width="10.83203125" style="33" customWidth="1"/>
    <col min="15366" max="15366" width="5.83203125" style="33" customWidth="1"/>
    <col min="15367" max="15367" width="9.33203125" style="33" customWidth="1"/>
    <col min="15368" max="15368" width="1.5" style="33" customWidth="1"/>
    <col min="15369" max="15369" width="9.5" style="33" customWidth="1"/>
    <col min="15370" max="15370" width="7.33203125" style="33" customWidth="1"/>
    <col min="15371" max="15371" width="11.6640625" style="33" customWidth="1"/>
    <col min="15372" max="15372" width="13.33203125" style="33" customWidth="1"/>
    <col min="15373" max="15373" width="12.1640625" style="33" bestFit="1" customWidth="1"/>
    <col min="15374" max="15374" width="12.1640625" style="33" customWidth="1"/>
    <col min="15375" max="15375" width="10.33203125" style="33" customWidth="1"/>
    <col min="15376" max="15376" width="11" style="33" bestFit="1" customWidth="1"/>
    <col min="15377" max="15377" width="12" style="33" customWidth="1"/>
    <col min="15378" max="15379" width="12.1640625" style="33" bestFit="1" customWidth="1"/>
    <col min="15380" max="15380" width="11.6640625" style="33" bestFit="1" customWidth="1"/>
    <col min="15381" max="15616" width="13.33203125" style="33"/>
    <col min="15617" max="15618" width="4.6640625" style="33" customWidth="1"/>
    <col min="15619" max="15619" width="9.83203125" style="33" customWidth="1"/>
    <col min="15620" max="15620" width="28.83203125" style="33" customWidth="1"/>
    <col min="15621" max="15621" width="10.83203125" style="33" customWidth="1"/>
    <col min="15622" max="15622" width="5.83203125" style="33" customWidth="1"/>
    <col min="15623" max="15623" width="9.33203125" style="33" customWidth="1"/>
    <col min="15624" max="15624" width="1.5" style="33" customWidth="1"/>
    <col min="15625" max="15625" width="9.5" style="33" customWidth="1"/>
    <col min="15626" max="15626" width="7.33203125" style="33" customWidth="1"/>
    <col min="15627" max="15627" width="11.6640625" style="33" customWidth="1"/>
    <col min="15628" max="15628" width="13.33203125" style="33" customWidth="1"/>
    <col min="15629" max="15629" width="12.1640625" style="33" bestFit="1" customWidth="1"/>
    <col min="15630" max="15630" width="12.1640625" style="33" customWidth="1"/>
    <col min="15631" max="15631" width="10.33203125" style="33" customWidth="1"/>
    <col min="15632" max="15632" width="11" style="33" bestFit="1" customWidth="1"/>
    <col min="15633" max="15633" width="12" style="33" customWidth="1"/>
    <col min="15634" max="15635" width="12.1640625" style="33" bestFit="1" customWidth="1"/>
    <col min="15636" max="15636" width="11.6640625" style="33" bestFit="1" customWidth="1"/>
    <col min="15637" max="15872" width="13.33203125" style="33"/>
    <col min="15873" max="15874" width="4.6640625" style="33" customWidth="1"/>
    <col min="15875" max="15875" width="9.83203125" style="33" customWidth="1"/>
    <col min="15876" max="15876" width="28.83203125" style="33" customWidth="1"/>
    <col min="15877" max="15877" width="10.83203125" style="33" customWidth="1"/>
    <col min="15878" max="15878" width="5.83203125" style="33" customWidth="1"/>
    <col min="15879" max="15879" width="9.33203125" style="33" customWidth="1"/>
    <col min="15880" max="15880" width="1.5" style="33" customWidth="1"/>
    <col min="15881" max="15881" width="9.5" style="33" customWidth="1"/>
    <col min="15882" max="15882" width="7.33203125" style="33" customWidth="1"/>
    <col min="15883" max="15883" width="11.6640625" style="33" customWidth="1"/>
    <col min="15884" max="15884" width="13.33203125" style="33" customWidth="1"/>
    <col min="15885" max="15885" width="12.1640625" style="33" bestFit="1" customWidth="1"/>
    <col min="15886" max="15886" width="12.1640625" style="33" customWidth="1"/>
    <col min="15887" max="15887" width="10.33203125" style="33" customWidth="1"/>
    <col min="15888" max="15888" width="11" style="33" bestFit="1" customWidth="1"/>
    <col min="15889" max="15889" width="12" style="33" customWidth="1"/>
    <col min="15890" max="15891" width="12.1640625" style="33" bestFit="1" customWidth="1"/>
    <col min="15892" max="15892" width="11.6640625" style="33" bestFit="1" customWidth="1"/>
    <col min="15893" max="16128" width="13.33203125" style="33"/>
    <col min="16129" max="16130" width="4.6640625" style="33" customWidth="1"/>
    <col min="16131" max="16131" width="9.83203125" style="33" customWidth="1"/>
    <col min="16132" max="16132" width="28.83203125" style="33" customWidth="1"/>
    <col min="16133" max="16133" width="10.83203125" style="33" customWidth="1"/>
    <col min="16134" max="16134" width="5.83203125" style="33" customWidth="1"/>
    <col min="16135" max="16135" width="9.33203125" style="33" customWidth="1"/>
    <col min="16136" max="16136" width="1.5" style="33" customWidth="1"/>
    <col min="16137" max="16137" width="9.5" style="33" customWidth="1"/>
    <col min="16138" max="16138" width="7.33203125" style="33" customWidth="1"/>
    <col min="16139" max="16139" width="11.6640625" style="33" customWidth="1"/>
    <col min="16140" max="16140" width="13.33203125" style="33" customWidth="1"/>
    <col min="16141" max="16141" width="12.1640625" style="33" bestFit="1" customWidth="1"/>
    <col min="16142" max="16142" width="12.1640625" style="33" customWidth="1"/>
    <col min="16143" max="16143" width="10.33203125" style="33" customWidth="1"/>
    <col min="16144" max="16144" width="11" style="33" bestFit="1" customWidth="1"/>
    <col min="16145" max="16145" width="12" style="33" customWidth="1"/>
    <col min="16146" max="16147" width="12.1640625" style="33" bestFit="1" customWidth="1"/>
    <col min="16148" max="16148" width="11.6640625" style="33" bestFit="1" customWidth="1"/>
    <col min="16149" max="16384" width="13.33203125" style="33"/>
  </cols>
  <sheetData>
    <row r="1" spans="1:20" x14ac:dyDescent="0.2">
      <c r="D1" s="61" t="str">
        <f>+Trks!D1</f>
        <v>Waste Control</v>
      </c>
      <c r="K1" s="60"/>
      <c r="N1" s="63"/>
      <c r="O1" s="63"/>
    </row>
    <row r="2" spans="1:20" x14ac:dyDescent="0.2">
      <c r="D2" s="61" t="s">
        <v>307</v>
      </c>
      <c r="K2" s="60"/>
      <c r="N2" s="187">
        <f>+Trks!N2</f>
        <v>12</v>
      </c>
      <c r="O2" s="65" t="s">
        <v>353</v>
      </c>
    </row>
    <row r="3" spans="1:20" x14ac:dyDescent="0.2">
      <c r="D3" s="125">
        <f>'Depr Summary'!H6</f>
        <v>44865</v>
      </c>
      <c r="K3" s="60"/>
      <c r="N3" s="187">
        <f>+Trks!N3</f>
        <v>2022</v>
      </c>
      <c r="O3" s="65" t="s">
        <v>363</v>
      </c>
    </row>
    <row r="4" spans="1:20" x14ac:dyDescent="0.2">
      <c r="K4" s="60"/>
      <c r="N4" s="64">
        <f>Trks!N4</f>
        <v>2023</v>
      </c>
      <c r="O4" s="65" t="s">
        <v>316</v>
      </c>
    </row>
    <row r="5" spans="1:20" x14ac:dyDescent="0.2">
      <c r="K5" s="60"/>
      <c r="N5" s="68">
        <f>Trks!N5</f>
        <v>2024</v>
      </c>
      <c r="O5" s="65" t="s">
        <v>311</v>
      </c>
    </row>
    <row r="6" spans="1:20" x14ac:dyDescent="0.2">
      <c r="D6" s="233" t="s">
        <v>638</v>
      </c>
      <c r="E6" s="238">
        <f>SUM(M28:M55,M62:M63,M13:M22)+'Land Alloc'!M51</f>
        <v>812376.44256331748</v>
      </c>
      <c r="K6" s="60"/>
    </row>
    <row r="7" spans="1:20" x14ac:dyDescent="0.2">
      <c r="E7" s="265">
        <f>E6-M67</f>
        <v>0</v>
      </c>
      <c r="K7" s="60"/>
    </row>
    <row r="8" spans="1:20" x14ac:dyDescent="0.2">
      <c r="B8" s="63"/>
      <c r="C8" s="63"/>
      <c r="D8" s="63"/>
      <c r="E8" s="63"/>
      <c r="F8" s="63"/>
      <c r="G8" s="63"/>
      <c r="H8" s="63"/>
      <c r="I8" s="63"/>
      <c r="J8" s="69"/>
      <c r="K8" s="60"/>
      <c r="R8" s="37" t="s">
        <v>281</v>
      </c>
      <c r="S8" s="37" t="s">
        <v>282</v>
      </c>
      <c r="T8" s="37"/>
    </row>
    <row r="9" spans="1:20" x14ac:dyDescent="0.2">
      <c r="A9" s="37"/>
      <c r="B9" s="37" t="s">
        <v>319</v>
      </c>
      <c r="C9" s="37"/>
      <c r="D9" s="73"/>
      <c r="E9" s="37" t="s">
        <v>320</v>
      </c>
      <c r="F9" s="37"/>
      <c r="G9" s="71" t="s">
        <v>286</v>
      </c>
      <c r="H9" s="63"/>
      <c r="I9" s="37" t="s">
        <v>319</v>
      </c>
      <c r="J9" s="37"/>
      <c r="K9" s="37" t="s">
        <v>321</v>
      </c>
      <c r="L9" s="37" t="s">
        <v>322</v>
      </c>
      <c r="M9" s="37" t="s">
        <v>319</v>
      </c>
      <c r="N9" s="73" t="s">
        <v>319</v>
      </c>
      <c r="O9" s="73"/>
      <c r="P9" s="37"/>
      <c r="Q9" s="37"/>
      <c r="R9" s="37" t="s">
        <v>356</v>
      </c>
      <c r="S9" s="37" t="s">
        <v>356</v>
      </c>
      <c r="T9" s="37" t="s">
        <v>283</v>
      </c>
    </row>
    <row r="10" spans="1:20" x14ac:dyDescent="0.2">
      <c r="A10" s="37"/>
      <c r="B10" s="37"/>
      <c r="C10" s="37"/>
      <c r="D10" s="73" t="s">
        <v>364</v>
      </c>
      <c r="E10" s="37" t="s">
        <v>325</v>
      </c>
      <c r="F10" s="37"/>
      <c r="G10" s="71" t="s">
        <v>326</v>
      </c>
      <c r="H10" s="63"/>
      <c r="I10" s="37" t="s">
        <v>327</v>
      </c>
      <c r="J10" s="37" t="s">
        <v>328</v>
      </c>
      <c r="K10" s="37" t="s">
        <v>329</v>
      </c>
      <c r="L10" s="37" t="s">
        <v>330</v>
      </c>
      <c r="M10" s="37" t="s">
        <v>331</v>
      </c>
      <c r="N10" s="37" t="s">
        <v>287</v>
      </c>
      <c r="O10" s="37" t="s">
        <v>332</v>
      </c>
      <c r="P10" s="37" t="s">
        <v>333</v>
      </c>
      <c r="Q10" s="37" t="s">
        <v>334</v>
      </c>
      <c r="R10" s="37" t="s">
        <v>287</v>
      </c>
      <c r="S10" s="37" t="s">
        <v>287</v>
      </c>
      <c r="T10" s="37" t="s">
        <v>290</v>
      </c>
    </row>
    <row r="11" spans="1:20" x14ac:dyDescent="0.2">
      <c r="A11" s="127" t="s">
        <v>338</v>
      </c>
      <c r="B11" s="127" t="s">
        <v>339</v>
      </c>
      <c r="C11" s="127" t="s">
        <v>359</v>
      </c>
      <c r="D11" s="128" t="s">
        <v>340</v>
      </c>
      <c r="E11" s="127" t="s">
        <v>321</v>
      </c>
      <c r="F11" s="127" t="s">
        <v>341</v>
      </c>
      <c r="G11" s="129" t="s">
        <v>342</v>
      </c>
      <c r="H11" s="130" t="s">
        <v>343</v>
      </c>
      <c r="I11" s="127" t="s">
        <v>344</v>
      </c>
      <c r="J11" s="127" t="s">
        <v>345</v>
      </c>
      <c r="K11" s="127" t="s">
        <v>287</v>
      </c>
      <c r="L11" s="127" t="s">
        <v>287</v>
      </c>
      <c r="M11" s="127" t="s">
        <v>285</v>
      </c>
      <c r="N11" s="127" t="s">
        <v>285</v>
      </c>
      <c r="O11" s="127" t="s">
        <v>287</v>
      </c>
      <c r="P11" s="127" t="s">
        <v>287</v>
      </c>
      <c r="Q11" s="40" t="s">
        <v>346</v>
      </c>
      <c r="R11" s="131">
        <f>'Depr Summary'!F6</f>
        <v>44501</v>
      </c>
      <c r="S11" s="131">
        <f>+D3</f>
        <v>44865</v>
      </c>
      <c r="T11" s="132">
        <f>D3</f>
        <v>44865</v>
      </c>
    </row>
    <row r="12" spans="1:20" x14ac:dyDescent="0.2">
      <c r="A12" s="75"/>
      <c r="B12" s="75"/>
      <c r="C12" s="75"/>
      <c r="D12" s="70" t="s">
        <v>364</v>
      </c>
      <c r="E12" s="75"/>
      <c r="F12" s="75"/>
      <c r="G12" s="76"/>
      <c r="H12" s="63"/>
      <c r="I12" s="75"/>
      <c r="J12" s="75"/>
      <c r="K12" s="75"/>
      <c r="L12" s="75"/>
      <c r="M12" s="75"/>
      <c r="N12" s="75"/>
      <c r="O12" s="75"/>
      <c r="P12" s="75"/>
      <c r="Q12" s="37"/>
      <c r="R12" s="79"/>
      <c r="S12" s="79"/>
      <c r="T12" s="80"/>
    </row>
    <row r="13" spans="1:20" s="234" customFormat="1" x14ac:dyDescent="0.2">
      <c r="A13" s="255"/>
      <c r="B13" s="255"/>
      <c r="C13" s="253"/>
      <c r="D13" s="253" t="s">
        <v>640</v>
      </c>
      <c r="E13" s="253">
        <v>2006</v>
      </c>
      <c r="F13" s="253">
        <v>3</v>
      </c>
      <c r="G13" s="254">
        <v>0</v>
      </c>
      <c r="H13" s="239"/>
      <c r="I13" s="232" t="s">
        <v>351</v>
      </c>
      <c r="J13" s="253">
        <v>5</v>
      </c>
      <c r="K13" s="232">
        <f t="shared" ref="K13:K22" si="0">E13+J13</f>
        <v>2011</v>
      </c>
      <c r="L13" s="237">
        <f t="shared" ref="L13:L22" si="1">+K13+(F13/12)</f>
        <v>2011.25</v>
      </c>
      <c r="M13" s="245">
        <v>1069.46</v>
      </c>
      <c r="N13" s="253">
        <f t="shared" ref="N13:N22" si="2">M13-M13*G13</f>
        <v>1069.46</v>
      </c>
      <c r="O13" s="250">
        <f t="shared" ref="O13:O22" si="3">N13/J13/12</f>
        <v>17.824333333333332</v>
      </c>
      <c r="P13" s="250">
        <f t="shared" ref="P13:P22" si="4">+O13*12</f>
        <v>213.892</v>
      </c>
      <c r="Q13" s="252">
        <f t="shared" ref="Q13:Q22" si="5">+IF(L13&lt;=$N$5,0,IF(K13&gt;$N$4,P13,(O13*F13)))</f>
        <v>0</v>
      </c>
      <c r="R13" s="250">
        <f t="shared" ref="R13:R22" si="6">+IF(Q13=0,N13,IF($N$3-E13&lt;1,0,(($N$3-E13)*P13)))</f>
        <v>1069.46</v>
      </c>
      <c r="S13" s="250">
        <f t="shared" ref="S13:S22" si="7">+IF(Q13=0,R13,R13+Q13)</f>
        <v>1069.46</v>
      </c>
      <c r="T13" s="252">
        <f t="shared" ref="T13:T22" si="8">+M13-S13</f>
        <v>0</v>
      </c>
    </row>
    <row r="14" spans="1:20" s="234" customFormat="1" x14ac:dyDescent="0.2">
      <c r="A14" s="255"/>
      <c r="B14" s="255"/>
      <c r="C14" s="253"/>
      <c r="D14" s="253" t="s">
        <v>639</v>
      </c>
      <c r="E14" s="253">
        <v>2006</v>
      </c>
      <c r="F14" s="253">
        <v>8</v>
      </c>
      <c r="G14" s="254">
        <v>0</v>
      </c>
      <c r="H14" s="239"/>
      <c r="I14" s="232" t="s">
        <v>351</v>
      </c>
      <c r="J14" s="253">
        <v>5</v>
      </c>
      <c r="K14" s="232">
        <f t="shared" si="0"/>
        <v>2011</v>
      </c>
      <c r="L14" s="237">
        <f t="shared" si="1"/>
        <v>2011.6666666666667</v>
      </c>
      <c r="M14" s="245">
        <v>4495</v>
      </c>
      <c r="N14" s="253">
        <f t="shared" si="2"/>
        <v>4495</v>
      </c>
      <c r="O14" s="250">
        <f t="shared" si="3"/>
        <v>74.916666666666671</v>
      </c>
      <c r="P14" s="250">
        <f t="shared" si="4"/>
        <v>899</v>
      </c>
      <c r="Q14" s="252">
        <f t="shared" si="5"/>
        <v>0</v>
      </c>
      <c r="R14" s="250">
        <f t="shared" si="6"/>
        <v>4495</v>
      </c>
      <c r="S14" s="250">
        <f t="shared" si="7"/>
        <v>4495</v>
      </c>
      <c r="T14" s="252">
        <f t="shared" si="8"/>
        <v>0</v>
      </c>
    </row>
    <row r="15" spans="1:20" s="234" customFormat="1" x14ac:dyDescent="0.2">
      <c r="A15" s="255"/>
      <c r="B15" s="255"/>
      <c r="C15" s="253"/>
      <c r="D15" s="253" t="s">
        <v>641</v>
      </c>
      <c r="E15" s="253">
        <v>2009</v>
      </c>
      <c r="F15" s="253">
        <v>12</v>
      </c>
      <c r="G15" s="254">
        <v>0</v>
      </c>
      <c r="H15" s="239"/>
      <c r="I15" s="232" t="s">
        <v>351</v>
      </c>
      <c r="J15" s="253">
        <v>5</v>
      </c>
      <c r="K15" s="232">
        <f t="shared" si="0"/>
        <v>2014</v>
      </c>
      <c r="L15" s="237">
        <f t="shared" si="1"/>
        <v>2015</v>
      </c>
      <c r="M15" s="245">
        <v>1217.1199999999999</v>
      </c>
      <c r="N15" s="253">
        <f t="shared" si="2"/>
        <v>1217.1199999999999</v>
      </c>
      <c r="O15" s="250">
        <f t="shared" si="3"/>
        <v>20.28533333333333</v>
      </c>
      <c r="P15" s="250">
        <f t="shared" si="4"/>
        <v>243.42399999999998</v>
      </c>
      <c r="Q15" s="252">
        <f t="shared" si="5"/>
        <v>0</v>
      </c>
      <c r="R15" s="250">
        <f t="shared" si="6"/>
        <v>1217.1199999999999</v>
      </c>
      <c r="S15" s="250">
        <f t="shared" si="7"/>
        <v>1217.1199999999999</v>
      </c>
      <c r="T15" s="252">
        <f t="shared" si="8"/>
        <v>0</v>
      </c>
    </row>
    <row r="16" spans="1:20" s="234" customFormat="1" x14ac:dyDescent="0.2">
      <c r="A16" s="255"/>
      <c r="B16" s="255"/>
      <c r="C16" s="253"/>
      <c r="D16" s="253" t="s">
        <v>642</v>
      </c>
      <c r="E16" s="253">
        <v>2011</v>
      </c>
      <c r="F16" s="253">
        <v>11</v>
      </c>
      <c r="G16" s="254">
        <v>0</v>
      </c>
      <c r="H16" s="239"/>
      <c r="I16" s="232" t="s">
        <v>351</v>
      </c>
      <c r="J16" s="253">
        <v>5</v>
      </c>
      <c r="K16" s="232">
        <f t="shared" si="0"/>
        <v>2016</v>
      </c>
      <c r="L16" s="237">
        <f t="shared" si="1"/>
        <v>2016.9166666666667</v>
      </c>
      <c r="M16" s="245">
        <v>3880.08</v>
      </c>
      <c r="N16" s="253">
        <f t="shared" si="2"/>
        <v>3880.08</v>
      </c>
      <c r="O16" s="250">
        <f t="shared" si="3"/>
        <v>64.667999999999992</v>
      </c>
      <c r="P16" s="250">
        <f t="shared" si="4"/>
        <v>776.01599999999985</v>
      </c>
      <c r="Q16" s="252">
        <f t="shared" si="5"/>
        <v>0</v>
      </c>
      <c r="R16" s="250">
        <f t="shared" si="6"/>
        <v>3880.08</v>
      </c>
      <c r="S16" s="250">
        <f t="shared" si="7"/>
        <v>3880.08</v>
      </c>
      <c r="T16" s="252">
        <f t="shared" si="8"/>
        <v>0</v>
      </c>
    </row>
    <row r="17" spans="1:20" s="234" customFormat="1" x14ac:dyDescent="0.2">
      <c r="A17" s="255"/>
      <c r="B17" s="255"/>
      <c r="C17" s="253"/>
      <c r="D17" s="253" t="s">
        <v>643</v>
      </c>
      <c r="E17" s="253">
        <v>2012</v>
      </c>
      <c r="F17" s="253">
        <v>4</v>
      </c>
      <c r="G17" s="254">
        <v>0</v>
      </c>
      <c r="H17" s="239"/>
      <c r="I17" s="232" t="s">
        <v>351</v>
      </c>
      <c r="J17" s="253">
        <v>5</v>
      </c>
      <c r="K17" s="232">
        <f t="shared" si="0"/>
        <v>2017</v>
      </c>
      <c r="L17" s="237">
        <f t="shared" si="1"/>
        <v>2017.3333333333333</v>
      </c>
      <c r="M17" s="245">
        <v>1008.83</v>
      </c>
      <c r="N17" s="253">
        <f t="shared" si="2"/>
        <v>1008.83</v>
      </c>
      <c r="O17" s="250">
        <f t="shared" si="3"/>
        <v>16.813833333333335</v>
      </c>
      <c r="P17" s="250">
        <f t="shared" si="4"/>
        <v>201.76600000000002</v>
      </c>
      <c r="Q17" s="252">
        <f t="shared" si="5"/>
        <v>0</v>
      </c>
      <c r="R17" s="250">
        <f t="shared" si="6"/>
        <v>1008.83</v>
      </c>
      <c r="S17" s="250">
        <f t="shared" si="7"/>
        <v>1008.83</v>
      </c>
      <c r="T17" s="252">
        <f t="shared" si="8"/>
        <v>0</v>
      </c>
    </row>
    <row r="18" spans="1:20" s="234" customFormat="1" x14ac:dyDescent="0.2">
      <c r="A18" s="255"/>
      <c r="B18" s="255"/>
      <c r="C18" s="253"/>
      <c r="D18" s="253" t="s">
        <v>644</v>
      </c>
      <c r="E18" s="253">
        <v>2012</v>
      </c>
      <c r="F18" s="253">
        <v>11</v>
      </c>
      <c r="G18" s="254">
        <v>0</v>
      </c>
      <c r="H18" s="239"/>
      <c r="I18" s="232" t="s">
        <v>351</v>
      </c>
      <c r="J18" s="253">
        <v>5</v>
      </c>
      <c r="K18" s="232">
        <f t="shared" si="0"/>
        <v>2017</v>
      </c>
      <c r="L18" s="237">
        <f t="shared" si="1"/>
        <v>2017.9166666666667</v>
      </c>
      <c r="M18" s="245">
        <v>704.24</v>
      </c>
      <c r="N18" s="253">
        <f t="shared" si="2"/>
        <v>704.24</v>
      </c>
      <c r="O18" s="250">
        <f t="shared" si="3"/>
        <v>11.737333333333334</v>
      </c>
      <c r="P18" s="250">
        <f t="shared" si="4"/>
        <v>140.84800000000001</v>
      </c>
      <c r="Q18" s="252">
        <f t="shared" si="5"/>
        <v>0</v>
      </c>
      <c r="R18" s="250">
        <f t="shared" si="6"/>
        <v>704.24</v>
      </c>
      <c r="S18" s="250">
        <f t="shared" si="7"/>
        <v>704.24</v>
      </c>
      <c r="T18" s="252">
        <f t="shared" si="8"/>
        <v>0</v>
      </c>
    </row>
    <row r="19" spans="1:20" s="234" customFormat="1" x14ac:dyDescent="0.2">
      <c r="A19" s="255"/>
      <c r="B19" s="255"/>
      <c r="C19" s="253"/>
      <c r="D19" s="253" t="s">
        <v>645</v>
      </c>
      <c r="E19" s="253">
        <v>2012</v>
      </c>
      <c r="F19" s="253">
        <v>11</v>
      </c>
      <c r="G19" s="254">
        <v>0</v>
      </c>
      <c r="H19" s="239"/>
      <c r="I19" s="232" t="s">
        <v>351</v>
      </c>
      <c r="J19" s="253">
        <v>5</v>
      </c>
      <c r="K19" s="232">
        <f t="shared" si="0"/>
        <v>2017</v>
      </c>
      <c r="L19" s="237">
        <f t="shared" si="1"/>
        <v>2017.9166666666667</v>
      </c>
      <c r="M19" s="245">
        <v>1571.01</v>
      </c>
      <c r="N19" s="253">
        <f t="shared" si="2"/>
        <v>1571.01</v>
      </c>
      <c r="O19" s="250">
        <f t="shared" si="3"/>
        <v>26.183499999999999</v>
      </c>
      <c r="P19" s="250">
        <f t="shared" si="4"/>
        <v>314.202</v>
      </c>
      <c r="Q19" s="252">
        <f t="shared" si="5"/>
        <v>0</v>
      </c>
      <c r="R19" s="250">
        <f t="shared" si="6"/>
        <v>1571.01</v>
      </c>
      <c r="S19" s="250">
        <f t="shared" si="7"/>
        <v>1571.01</v>
      </c>
      <c r="T19" s="252">
        <f t="shared" si="8"/>
        <v>0</v>
      </c>
    </row>
    <row r="20" spans="1:20" s="234" customFormat="1" x14ac:dyDescent="0.2">
      <c r="A20" s="255"/>
      <c r="B20" s="255"/>
      <c r="C20" s="253"/>
      <c r="D20" s="253" t="s">
        <v>646</v>
      </c>
      <c r="E20" s="253">
        <v>2012</v>
      </c>
      <c r="F20" s="253">
        <v>12</v>
      </c>
      <c r="G20" s="254">
        <v>0</v>
      </c>
      <c r="H20" s="239"/>
      <c r="I20" s="232" t="s">
        <v>351</v>
      </c>
      <c r="J20" s="253">
        <v>5</v>
      </c>
      <c r="K20" s="232">
        <f t="shared" si="0"/>
        <v>2017</v>
      </c>
      <c r="L20" s="237">
        <f t="shared" si="1"/>
        <v>2018</v>
      </c>
      <c r="M20" s="245">
        <v>4167.51</v>
      </c>
      <c r="N20" s="253">
        <f t="shared" si="2"/>
        <v>4167.51</v>
      </c>
      <c r="O20" s="250">
        <f t="shared" si="3"/>
        <v>69.458500000000001</v>
      </c>
      <c r="P20" s="250">
        <f t="shared" si="4"/>
        <v>833.50199999999995</v>
      </c>
      <c r="Q20" s="252">
        <f t="shared" si="5"/>
        <v>0</v>
      </c>
      <c r="R20" s="250">
        <f t="shared" si="6"/>
        <v>4167.51</v>
      </c>
      <c r="S20" s="250">
        <f t="shared" si="7"/>
        <v>4167.51</v>
      </c>
      <c r="T20" s="252">
        <f t="shared" si="8"/>
        <v>0</v>
      </c>
    </row>
    <row r="21" spans="1:20" s="234" customFormat="1" x14ac:dyDescent="0.2">
      <c r="A21" s="255"/>
      <c r="B21" s="255"/>
      <c r="C21" s="253"/>
      <c r="D21" s="253" t="s">
        <v>647</v>
      </c>
      <c r="E21" s="253">
        <v>2013</v>
      </c>
      <c r="F21" s="253">
        <v>2</v>
      </c>
      <c r="G21" s="254">
        <v>0</v>
      </c>
      <c r="H21" s="239"/>
      <c r="I21" s="232" t="s">
        <v>351</v>
      </c>
      <c r="J21" s="253">
        <v>5</v>
      </c>
      <c r="K21" s="232">
        <f t="shared" si="0"/>
        <v>2018</v>
      </c>
      <c r="L21" s="237">
        <f t="shared" si="1"/>
        <v>2018.1666666666667</v>
      </c>
      <c r="M21" s="245">
        <v>1093.73</v>
      </c>
      <c r="N21" s="253">
        <f t="shared" si="2"/>
        <v>1093.73</v>
      </c>
      <c r="O21" s="250">
        <f t="shared" si="3"/>
        <v>18.228833333333334</v>
      </c>
      <c r="P21" s="250">
        <f t="shared" si="4"/>
        <v>218.74600000000001</v>
      </c>
      <c r="Q21" s="252">
        <f t="shared" si="5"/>
        <v>0</v>
      </c>
      <c r="R21" s="250">
        <f t="shared" si="6"/>
        <v>1093.73</v>
      </c>
      <c r="S21" s="250">
        <f t="shared" si="7"/>
        <v>1093.73</v>
      </c>
      <c r="T21" s="252">
        <f t="shared" si="8"/>
        <v>0</v>
      </c>
    </row>
    <row r="22" spans="1:20" s="256" customFormat="1" x14ac:dyDescent="0.2">
      <c r="A22" s="255"/>
      <c r="B22" s="255"/>
      <c r="C22" s="253"/>
      <c r="D22" s="253" t="s">
        <v>648</v>
      </c>
      <c r="E22" s="253">
        <v>2014</v>
      </c>
      <c r="F22" s="253">
        <v>2</v>
      </c>
      <c r="G22" s="254">
        <v>0</v>
      </c>
      <c r="H22" s="239"/>
      <c r="I22" s="232" t="s">
        <v>351</v>
      </c>
      <c r="J22" s="253">
        <v>5</v>
      </c>
      <c r="K22" s="232">
        <f t="shared" si="0"/>
        <v>2019</v>
      </c>
      <c r="L22" s="237">
        <f t="shared" si="1"/>
        <v>2019.1666666666667</v>
      </c>
      <c r="M22" s="245">
        <v>602.77</v>
      </c>
      <c r="N22" s="253">
        <f t="shared" si="2"/>
        <v>602.77</v>
      </c>
      <c r="O22" s="250">
        <f t="shared" si="3"/>
        <v>10.046166666666666</v>
      </c>
      <c r="P22" s="250">
        <f t="shared" si="4"/>
        <v>120.554</v>
      </c>
      <c r="Q22" s="252">
        <f t="shared" si="5"/>
        <v>0</v>
      </c>
      <c r="R22" s="250">
        <f t="shared" si="6"/>
        <v>602.77</v>
      </c>
      <c r="S22" s="250">
        <f t="shared" si="7"/>
        <v>602.77</v>
      </c>
      <c r="T22" s="252">
        <f t="shared" si="8"/>
        <v>0</v>
      </c>
    </row>
    <row r="23" spans="1:20" x14ac:dyDescent="0.2">
      <c r="A23" s="67"/>
      <c r="E23" s="92"/>
      <c r="F23" s="92"/>
      <c r="G23" s="95"/>
      <c r="H23" s="63"/>
      <c r="I23" s="60"/>
      <c r="J23" s="92"/>
      <c r="K23" s="60"/>
      <c r="L23" s="83"/>
      <c r="M23" s="93"/>
      <c r="N23" s="63"/>
      <c r="O23" s="63"/>
      <c r="P23" s="63"/>
      <c r="Q23" s="63"/>
      <c r="R23" s="63"/>
      <c r="S23" s="63"/>
      <c r="T23" s="63"/>
    </row>
    <row r="24" spans="1:20" x14ac:dyDescent="0.2">
      <c r="A24" s="67"/>
      <c r="B24" s="60"/>
      <c r="C24" s="60"/>
      <c r="D24" s="72" t="s">
        <v>365</v>
      </c>
      <c r="E24" s="60"/>
      <c r="F24" s="60"/>
      <c r="G24" s="95"/>
      <c r="H24" s="63"/>
      <c r="I24" s="60"/>
      <c r="K24" s="60"/>
      <c r="M24" s="190">
        <f t="shared" ref="M24:T24" si="9">SUM(M13:M23)</f>
        <v>19809.75</v>
      </c>
      <c r="N24" s="190">
        <f t="shared" si="9"/>
        <v>19809.75</v>
      </c>
      <c r="O24" s="190">
        <f t="shared" si="9"/>
        <v>330.16250000000002</v>
      </c>
      <c r="P24" s="190">
        <f t="shared" si="9"/>
        <v>3961.9500000000003</v>
      </c>
      <c r="Q24" s="190">
        <f t="shared" si="9"/>
        <v>0</v>
      </c>
      <c r="R24" s="190">
        <f t="shared" si="9"/>
        <v>19809.75</v>
      </c>
      <c r="S24" s="190">
        <f t="shared" si="9"/>
        <v>19809.75</v>
      </c>
      <c r="T24" s="190">
        <f t="shared" si="9"/>
        <v>0</v>
      </c>
    </row>
    <row r="25" spans="1:20" x14ac:dyDescent="0.2">
      <c r="A25" s="67"/>
      <c r="G25" s="95"/>
      <c r="H25" s="63"/>
      <c r="I25" s="60"/>
      <c r="K25" s="60"/>
      <c r="M25" s="67"/>
      <c r="N25" s="63"/>
      <c r="O25" s="63"/>
      <c r="P25" s="63"/>
      <c r="Q25" s="63"/>
      <c r="R25" s="63"/>
      <c r="S25" s="63"/>
      <c r="T25" s="63"/>
    </row>
    <row r="26" spans="1:20" x14ac:dyDescent="0.2">
      <c r="A26" s="67"/>
      <c r="D26" s="73"/>
      <c r="M26" s="191"/>
      <c r="N26" s="191"/>
      <c r="O26" s="191"/>
      <c r="P26" s="191"/>
      <c r="Q26" s="191"/>
      <c r="T26" s="191"/>
    </row>
    <row r="27" spans="1:20" x14ac:dyDescent="0.2">
      <c r="A27" s="67"/>
      <c r="D27" s="72" t="s">
        <v>303</v>
      </c>
      <c r="M27" s="191"/>
      <c r="N27" s="191"/>
      <c r="O27" s="191"/>
      <c r="P27" s="191"/>
      <c r="Q27" s="191"/>
      <c r="R27" s="191"/>
      <c r="S27" s="191"/>
      <c r="T27" s="191"/>
    </row>
    <row r="28" spans="1:20" s="234" customFormat="1" x14ac:dyDescent="0.2">
      <c r="B28" s="253"/>
      <c r="C28" s="253"/>
      <c r="D28" s="253" t="s">
        <v>625</v>
      </c>
      <c r="E28" s="253">
        <v>2000</v>
      </c>
      <c r="F28" s="253">
        <v>6</v>
      </c>
      <c r="G28" s="254">
        <v>0</v>
      </c>
      <c r="H28" s="239"/>
      <c r="I28" s="232" t="s">
        <v>351</v>
      </c>
      <c r="J28" s="253">
        <v>15</v>
      </c>
      <c r="K28" s="232">
        <f t="shared" ref="K28:K56" si="10">E28+J28</f>
        <v>2015</v>
      </c>
      <c r="L28" s="237">
        <f t="shared" ref="L28:L56" si="11">+K28+(F28/12)</f>
        <v>2015.5</v>
      </c>
      <c r="M28" s="245">
        <v>4796.7700000000004</v>
      </c>
      <c r="N28" s="250">
        <f t="shared" ref="N28:N55" si="12">M28-M28*G28</f>
        <v>4796.7700000000004</v>
      </c>
      <c r="O28" s="250">
        <f t="shared" ref="O28:O55" si="13">N28/J28/12</f>
        <v>26.648722222222222</v>
      </c>
      <c r="P28" s="250">
        <f t="shared" ref="P28:P55" si="14">+O28*12</f>
        <v>319.78466666666668</v>
      </c>
      <c r="Q28" s="251">
        <f t="shared" ref="Q28:Q55" si="15">+IF(L28&lt;=$N$5,0,IF(K28&gt;$N$4,P28,(O28*F28)))</f>
        <v>0</v>
      </c>
      <c r="R28" s="250">
        <f t="shared" ref="R28:R55" si="16">+IF(Q28=0,N28,IF($N$3-E28&lt;1,0,(($N$3-E28)*P28)))</f>
        <v>4796.7700000000004</v>
      </c>
      <c r="S28" s="250">
        <f t="shared" ref="S28:S55" si="17">+IF(Q28=0,R28,R28+Q28)</f>
        <v>4796.7700000000004</v>
      </c>
      <c r="T28" s="252">
        <f t="shared" ref="T28:T55" si="18">+M28-S28</f>
        <v>0</v>
      </c>
    </row>
    <row r="29" spans="1:20" s="234" customFormat="1" x14ac:dyDescent="0.2">
      <c r="B29" s="253"/>
      <c r="C29" s="253"/>
      <c r="D29" s="253" t="s">
        <v>626</v>
      </c>
      <c r="E29" s="253">
        <v>2000</v>
      </c>
      <c r="F29" s="253">
        <v>8</v>
      </c>
      <c r="G29" s="254">
        <v>0</v>
      </c>
      <c r="H29" s="239"/>
      <c r="I29" s="232" t="s">
        <v>351</v>
      </c>
      <c r="J29" s="253">
        <v>15</v>
      </c>
      <c r="K29" s="232">
        <f t="shared" si="10"/>
        <v>2015</v>
      </c>
      <c r="L29" s="237">
        <f t="shared" si="11"/>
        <v>2015.6666666666667</v>
      </c>
      <c r="M29" s="245">
        <v>3506.7</v>
      </c>
      <c r="N29" s="250">
        <f t="shared" si="12"/>
        <v>3506.7</v>
      </c>
      <c r="O29" s="250">
        <f t="shared" si="13"/>
        <v>19.481666666666666</v>
      </c>
      <c r="P29" s="250">
        <f t="shared" si="14"/>
        <v>233.77999999999997</v>
      </c>
      <c r="Q29" s="251">
        <f t="shared" si="15"/>
        <v>0</v>
      </c>
      <c r="R29" s="250">
        <f t="shared" si="16"/>
        <v>3506.7</v>
      </c>
      <c r="S29" s="250">
        <f t="shared" si="17"/>
        <v>3506.7</v>
      </c>
      <c r="T29" s="252">
        <f t="shared" si="18"/>
        <v>0</v>
      </c>
    </row>
    <row r="30" spans="1:20" s="234" customFormat="1" x14ac:dyDescent="0.2">
      <c r="B30" s="253"/>
      <c r="C30" s="253"/>
      <c r="D30" s="253" t="s">
        <v>627</v>
      </c>
      <c r="E30" s="253">
        <v>2000</v>
      </c>
      <c r="F30" s="253">
        <v>9</v>
      </c>
      <c r="G30" s="254">
        <v>0</v>
      </c>
      <c r="H30" s="239"/>
      <c r="I30" s="232" t="s">
        <v>351</v>
      </c>
      <c r="J30" s="253">
        <v>15</v>
      </c>
      <c r="K30" s="232">
        <f t="shared" si="10"/>
        <v>2015</v>
      </c>
      <c r="L30" s="237">
        <f t="shared" si="11"/>
        <v>2015.75</v>
      </c>
      <c r="M30" s="245">
        <v>1717.3</v>
      </c>
      <c r="N30" s="250">
        <f t="shared" si="12"/>
        <v>1717.3</v>
      </c>
      <c r="O30" s="250">
        <f t="shared" si="13"/>
        <v>9.5405555555555548</v>
      </c>
      <c r="P30" s="250">
        <f t="shared" si="14"/>
        <v>114.48666666666665</v>
      </c>
      <c r="Q30" s="251">
        <f t="shared" si="15"/>
        <v>0</v>
      </c>
      <c r="R30" s="250">
        <f t="shared" si="16"/>
        <v>1717.3</v>
      </c>
      <c r="S30" s="250">
        <f t="shared" si="17"/>
        <v>1717.3</v>
      </c>
      <c r="T30" s="252">
        <f t="shared" si="18"/>
        <v>0</v>
      </c>
    </row>
    <row r="31" spans="1:20" s="234" customFormat="1" x14ac:dyDescent="0.2">
      <c r="B31" s="253"/>
      <c r="C31" s="253"/>
      <c r="D31" s="253" t="s">
        <v>602</v>
      </c>
      <c r="E31" s="253">
        <v>2000</v>
      </c>
      <c r="F31" s="253">
        <v>10</v>
      </c>
      <c r="G31" s="254">
        <v>0</v>
      </c>
      <c r="H31" s="239"/>
      <c r="I31" s="232" t="s">
        <v>351</v>
      </c>
      <c r="J31" s="253">
        <v>15</v>
      </c>
      <c r="K31" s="232">
        <f t="shared" si="10"/>
        <v>2015</v>
      </c>
      <c r="L31" s="237">
        <f t="shared" si="11"/>
        <v>2015.8333333333333</v>
      </c>
      <c r="M31" s="245">
        <v>822.31</v>
      </c>
      <c r="N31" s="250">
        <f t="shared" si="12"/>
        <v>822.31</v>
      </c>
      <c r="O31" s="250">
        <f t="shared" si="13"/>
        <v>4.5683888888888884</v>
      </c>
      <c r="P31" s="250">
        <f t="shared" si="14"/>
        <v>54.820666666666661</v>
      </c>
      <c r="Q31" s="251">
        <f t="shared" si="15"/>
        <v>0</v>
      </c>
      <c r="R31" s="250">
        <f t="shared" si="16"/>
        <v>822.31</v>
      </c>
      <c r="S31" s="250">
        <f t="shared" si="17"/>
        <v>822.31</v>
      </c>
      <c r="T31" s="252">
        <f t="shared" si="18"/>
        <v>0</v>
      </c>
    </row>
    <row r="32" spans="1:20" s="234" customFormat="1" x14ac:dyDescent="0.2">
      <c r="B32" s="253"/>
      <c r="C32" s="253"/>
      <c r="D32" s="253" t="s">
        <v>603</v>
      </c>
      <c r="E32" s="253">
        <v>2000</v>
      </c>
      <c r="F32" s="253">
        <v>11</v>
      </c>
      <c r="G32" s="254">
        <v>0</v>
      </c>
      <c r="H32" s="239"/>
      <c r="I32" s="232" t="s">
        <v>351</v>
      </c>
      <c r="J32" s="253">
        <v>15</v>
      </c>
      <c r="K32" s="232">
        <f t="shared" si="10"/>
        <v>2015</v>
      </c>
      <c r="L32" s="237">
        <f t="shared" si="11"/>
        <v>2015.9166666666667</v>
      </c>
      <c r="M32" s="245">
        <v>797.32</v>
      </c>
      <c r="N32" s="250">
        <f t="shared" si="12"/>
        <v>797.32</v>
      </c>
      <c r="O32" s="250">
        <f t="shared" si="13"/>
        <v>4.4295555555555559</v>
      </c>
      <c r="P32" s="250">
        <f t="shared" si="14"/>
        <v>53.154666666666671</v>
      </c>
      <c r="Q32" s="251">
        <f t="shared" si="15"/>
        <v>0</v>
      </c>
      <c r="R32" s="250">
        <f t="shared" si="16"/>
        <v>797.32</v>
      </c>
      <c r="S32" s="250">
        <f t="shared" si="17"/>
        <v>797.32</v>
      </c>
      <c r="T32" s="252">
        <f t="shared" si="18"/>
        <v>0</v>
      </c>
    </row>
    <row r="33" spans="2:20" s="234" customFormat="1" x14ac:dyDescent="0.2">
      <c r="B33" s="253"/>
      <c r="C33" s="253"/>
      <c r="D33" s="253" t="s">
        <v>604</v>
      </c>
      <c r="E33" s="253">
        <v>2000</v>
      </c>
      <c r="F33" s="253">
        <v>12</v>
      </c>
      <c r="G33" s="254">
        <v>0</v>
      </c>
      <c r="H33" s="239"/>
      <c r="I33" s="232" t="s">
        <v>351</v>
      </c>
      <c r="J33" s="253">
        <v>15</v>
      </c>
      <c r="K33" s="232">
        <f t="shared" si="10"/>
        <v>2015</v>
      </c>
      <c r="L33" s="237">
        <f t="shared" si="11"/>
        <v>2016</v>
      </c>
      <c r="M33" s="245">
        <v>1310.44</v>
      </c>
      <c r="N33" s="250">
        <f t="shared" si="12"/>
        <v>1310.44</v>
      </c>
      <c r="O33" s="250">
        <f t="shared" si="13"/>
        <v>7.2802222222222222</v>
      </c>
      <c r="P33" s="250">
        <f t="shared" si="14"/>
        <v>87.362666666666669</v>
      </c>
      <c r="Q33" s="251">
        <f t="shared" si="15"/>
        <v>0</v>
      </c>
      <c r="R33" s="250">
        <f t="shared" si="16"/>
        <v>1310.44</v>
      </c>
      <c r="S33" s="250">
        <f t="shared" si="17"/>
        <v>1310.44</v>
      </c>
      <c r="T33" s="252">
        <f t="shared" si="18"/>
        <v>0</v>
      </c>
    </row>
    <row r="34" spans="2:20" s="234" customFormat="1" x14ac:dyDescent="0.2">
      <c r="B34" s="253"/>
      <c r="C34" s="253"/>
      <c r="D34" s="253" t="s">
        <v>605</v>
      </c>
      <c r="E34" s="253">
        <v>2000</v>
      </c>
      <c r="F34" s="253">
        <v>12</v>
      </c>
      <c r="G34" s="254">
        <v>0</v>
      </c>
      <c r="H34" s="239"/>
      <c r="I34" s="232" t="s">
        <v>351</v>
      </c>
      <c r="J34" s="253">
        <v>15</v>
      </c>
      <c r="K34" s="232">
        <f t="shared" si="10"/>
        <v>2015</v>
      </c>
      <c r="L34" s="237">
        <f t="shared" si="11"/>
        <v>2016</v>
      </c>
      <c r="M34" s="245">
        <v>2637.28</v>
      </c>
      <c r="N34" s="250">
        <f t="shared" si="12"/>
        <v>2637.28</v>
      </c>
      <c r="O34" s="250">
        <f t="shared" si="13"/>
        <v>14.651555555555555</v>
      </c>
      <c r="P34" s="250">
        <f t="shared" si="14"/>
        <v>175.81866666666667</v>
      </c>
      <c r="Q34" s="251">
        <f t="shared" si="15"/>
        <v>0</v>
      </c>
      <c r="R34" s="250">
        <f t="shared" si="16"/>
        <v>2637.28</v>
      </c>
      <c r="S34" s="250">
        <f t="shared" si="17"/>
        <v>2637.28</v>
      </c>
      <c r="T34" s="252">
        <f t="shared" si="18"/>
        <v>0</v>
      </c>
    </row>
    <row r="35" spans="2:20" s="234" customFormat="1" x14ac:dyDescent="0.2">
      <c r="B35" s="253"/>
      <c r="C35" s="253"/>
      <c r="D35" s="253" t="s">
        <v>606</v>
      </c>
      <c r="E35" s="253">
        <v>2001</v>
      </c>
      <c r="F35" s="253">
        <v>1</v>
      </c>
      <c r="G35" s="254">
        <v>0</v>
      </c>
      <c r="H35" s="239"/>
      <c r="I35" s="232" t="s">
        <v>351</v>
      </c>
      <c r="J35" s="253">
        <v>15</v>
      </c>
      <c r="K35" s="232">
        <f t="shared" si="10"/>
        <v>2016</v>
      </c>
      <c r="L35" s="237">
        <f t="shared" si="11"/>
        <v>2016.0833333333333</v>
      </c>
      <c r="M35" s="245">
        <v>398.66</v>
      </c>
      <c r="N35" s="250">
        <f t="shared" si="12"/>
        <v>398.66</v>
      </c>
      <c r="O35" s="250">
        <f t="shared" si="13"/>
        <v>2.214777777777778</v>
      </c>
      <c r="P35" s="250">
        <f t="shared" si="14"/>
        <v>26.577333333333335</v>
      </c>
      <c r="Q35" s="251">
        <f t="shared" si="15"/>
        <v>0</v>
      </c>
      <c r="R35" s="250">
        <f t="shared" si="16"/>
        <v>398.66</v>
      </c>
      <c r="S35" s="250">
        <f t="shared" si="17"/>
        <v>398.66</v>
      </c>
      <c r="T35" s="252">
        <f t="shared" si="18"/>
        <v>0</v>
      </c>
    </row>
    <row r="36" spans="2:20" s="234" customFormat="1" x14ac:dyDescent="0.2">
      <c r="B36" s="253"/>
      <c r="C36" s="253"/>
      <c r="D36" s="253" t="s">
        <v>607</v>
      </c>
      <c r="E36" s="253">
        <v>2001</v>
      </c>
      <c r="F36" s="253">
        <v>2</v>
      </c>
      <c r="G36" s="254">
        <v>0</v>
      </c>
      <c r="H36" s="239"/>
      <c r="I36" s="232" t="s">
        <v>351</v>
      </c>
      <c r="J36" s="253">
        <v>15</v>
      </c>
      <c r="K36" s="232">
        <f t="shared" si="10"/>
        <v>2016</v>
      </c>
      <c r="L36" s="237">
        <f t="shared" si="11"/>
        <v>2016.1666666666667</v>
      </c>
      <c r="M36" s="245">
        <v>429.32</v>
      </c>
      <c r="N36" s="250">
        <f t="shared" si="12"/>
        <v>429.32</v>
      </c>
      <c r="O36" s="250">
        <f t="shared" si="13"/>
        <v>2.3851111111111112</v>
      </c>
      <c r="P36" s="250">
        <f t="shared" si="14"/>
        <v>28.621333333333332</v>
      </c>
      <c r="Q36" s="251">
        <f t="shared" si="15"/>
        <v>0</v>
      </c>
      <c r="R36" s="250">
        <f t="shared" si="16"/>
        <v>429.32</v>
      </c>
      <c r="S36" s="250">
        <f t="shared" si="17"/>
        <v>429.32</v>
      </c>
      <c r="T36" s="252">
        <f t="shared" si="18"/>
        <v>0</v>
      </c>
    </row>
    <row r="37" spans="2:20" s="234" customFormat="1" x14ac:dyDescent="0.2">
      <c r="B37" s="253"/>
      <c r="C37" s="253"/>
      <c r="D37" s="253" t="s">
        <v>608</v>
      </c>
      <c r="E37" s="253">
        <v>2001</v>
      </c>
      <c r="F37" s="253">
        <v>3</v>
      </c>
      <c r="G37" s="254">
        <v>0</v>
      </c>
      <c r="H37" s="239"/>
      <c r="I37" s="232" t="s">
        <v>351</v>
      </c>
      <c r="J37" s="253">
        <v>15</v>
      </c>
      <c r="K37" s="232">
        <f t="shared" si="10"/>
        <v>2016</v>
      </c>
      <c r="L37" s="237">
        <f t="shared" si="11"/>
        <v>2016.25</v>
      </c>
      <c r="M37" s="245">
        <v>965.98</v>
      </c>
      <c r="N37" s="250">
        <f t="shared" si="12"/>
        <v>965.98</v>
      </c>
      <c r="O37" s="250">
        <f t="shared" si="13"/>
        <v>5.3665555555555562</v>
      </c>
      <c r="P37" s="250">
        <f t="shared" si="14"/>
        <v>64.398666666666671</v>
      </c>
      <c r="Q37" s="251">
        <f t="shared" si="15"/>
        <v>0</v>
      </c>
      <c r="R37" s="250">
        <f t="shared" si="16"/>
        <v>965.98</v>
      </c>
      <c r="S37" s="250">
        <f t="shared" si="17"/>
        <v>965.98</v>
      </c>
      <c r="T37" s="252">
        <f t="shared" si="18"/>
        <v>0</v>
      </c>
    </row>
    <row r="38" spans="2:20" s="234" customFormat="1" x14ac:dyDescent="0.2">
      <c r="B38" s="253"/>
      <c r="C38" s="253"/>
      <c r="D38" s="253" t="s">
        <v>609</v>
      </c>
      <c r="E38" s="253">
        <v>2001</v>
      </c>
      <c r="F38" s="253">
        <v>4</v>
      </c>
      <c r="G38" s="254">
        <v>0</v>
      </c>
      <c r="H38" s="239"/>
      <c r="I38" s="232" t="s">
        <v>351</v>
      </c>
      <c r="J38" s="253">
        <v>15</v>
      </c>
      <c r="K38" s="232">
        <f t="shared" si="10"/>
        <v>2016</v>
      </c>
      <c r="L38" s="237">
        <f t="shared" si="11"/>
        <v>2016.3333333333333</v>
      </c>
      <c r="M38" s="245">
        <v>1522.54</v>
      </c>
      <c r="N38" s="250">
        <f t="shared" si="12"/>
        <v>1522.54</v>
      </c>
      <c r="O38" s="250">
        <f t="shared" si="13"/>
        <v>8.4585555555555558</v>
      </c>
      <c r="P38" s="250">
        <f t="shared" si="14"/>
        <v>101.50266666666667</v>
      </c>
      <c r="Q38" s="251">
        <f t="shared" si="15"/>
        <v>0</v>
      </c>
      <c r="R38" s="250">
        <f t="shared" si="16"/>
        <v>1522.54</v>
      </c>
      <c r="S38" s="250">
        <f t="shared" si="17"/>
        <v>1522.54</v>
      </c>
      <c r="T38" s="252">
        <f t="shared" si="18"/>
        <v>0</v>
      </c>
    </row>
    <row r="39" spans="2:20" s="234" customFormat="1" x14ac:dyDescent="0.2">
      <c r="B39" s="253"/>
      <c r="C39" s="253"/>
      <c r="D39" s="253" t="s">
        <v>610</v>
      </c>
      <c r="E39" s="253">
        <v>2001</v>
      </c>
      <c r="F39" s="253">
        <v>4</v>
      </c>
      <c r="G39" s="254">
        <v>0</v>
      </c>
      <c r="H39" s="239"/>
      <c r="I39" s="232" t="s">
        <v>351</v>
      </c>
      <c r="J39" s="253">
        <v>15</v>
      </c>
      <c r="K39" s="232">
        <f t="shared" si="10"/>
        <v>2016</v>
      </c>
      <c r="L39" s="237">
        <f t="shared" si="11"/>
        <v>2016.3333333333333</v>
      </c>
      <c r="M39" s="245">
        <v>356.88</v>
      </c>
      <c r="N39" s="250">
        <f t="shared" si="12"/>
        <v>356.88</v>
      </c>
      <c r="O39" s="250">
        <f t="shared" si="13"/>
        <v>1.9826666666666666</v>
      </c>
      <c r="P39" s="250">
        <f t="shared" si="14"/>
        <v>23.791999999999998</v>
      </c>
      <c r="Q39" s="251">
        <f t="shared" si="15"/>
        <v>0</v>
      </c>
      <c r="R39" s="250">
        <f t="shared" si="16"/>
        <v>356.88</v>
      </c>
      <c r="S39" s="250">
        <f t="shared" si="17"/>
        <v>356.88</v>
      </c>
      <c r="T39" s="252">
        <f t="shared" si="18"/>
        <v>0</v>
      </c>
    </row>
    <row r="40" spans="2:20" s="234" customFormat="1" x14ac:dyDescent="0.2">
      <c r="B40" s="253"/>
      <c r="C40" s="253"/>
      <c r="D40" s="253" t="s">
        <v>611</v>
      </c>
      <c r="E40" s="253">
        <v>2001</v>
      </c>
      <c r="F40" s="253">
        <v>4</v>
      </c>
      <c r="G40" s="254">
        <v>0</v>
      </c>
      <c r="H40" s="239"/>
      <c r="I40" s="232" t="s">
        <v>351</v>
      </c>
      <c r="J40" s="253">
        <v>15</v>
      </c>
      <c r="K40" s="232">
        <f t="shared" si="10"/>
        <v>2016</v>
      </c>
      <c r="L40" s="237">
        <f t="shared" si="11"/>
        <v>2016.3333333333333</v>
      </c>
      <c r="M40" s="245">
        <v>245.33</v>
      </c>
      <c r="N40" s="250">
        <f t="shared" si="12"/>
        <v>245.33</v>
      </c>
      <c r="O40" s="250">
        <f t="shared" si="13"/>
        <v>1.3629444444444445</v>
      </c>
      <c r="P40" s="250">
        <f t="shared" si="14"/>
        <v>16.355333333333334</v>
      </c>
      <c r="Q40" s="251">
        <f t="shared" si="15"/>
        <v>0</v>
      </c>
      <c r="R40" s="250">
        <f t="shared" si="16"/>
        <v>245.33</v>
      </c>
      <c r="S40" s="250">
        <f t="shared" si="17"/>
        <v>245.33</v>
      </c>
      <c r="T40" s="252">
        <f t="shared" si="18"/>
        <v>0</v>
      </c>
    </row>
    <row r="41" spans="2:20" s="234" customFormat="1" x14ac:dyDescent="0.2">
      <c r="B41" s="253"/>
      <c r="C41" s="253"/>
      <c r="D41" s="253" t="s">
        <v>612</v>
      </c>
      <c r="E41" s="253">
        <v>2001</v>
      </c>
      <c r="F41" s="253">
        <v>4</v>
      </c>
      <c r="G41" s="254">
        <v>0</v>
      </c>
      <c r="H41" s="239"/>
      <c r="I41" s="232" t="s">
        <v>351</v>
      </c>
      <c r="J41" s="253">
        <v>15</v>
      </c>
      <c r="K41" s="232">
        <f t="shared" si="10"/>
        <v>2016</v>
      </c>
      <c r="L41" s="237">
        <f t="shared" si="11"/>
        <v>2016.3333333333333</v>
      </c>
      <c r="M41" s="245">
        <v>7000</v>
      </c>
      <c r="N41" s="250">
        <f t="shared" si="12"/>
        <v>7000</v>
      </c>
      <c r="O41" s="250">
        <f t="shared" si="13"/>
        <v>38.888888888888893</v>
      </c>
      <c r="P41" s="250">
        <f t="shared" si="14"/>
        <v>466.66666666666674</v>
      </c>
      <c r="Q41" s="251">
        <f t="shared" si="15"/>
        <v>0</v>
      </c>
      <c r="R41" s="250">
        <f t="shared" si="16"/>
        <v>7000</v>
      </c>
      <c r="S41" s="250">
        <f t="shared" si="17"/>
        <v>7000</v>
      </c>
      <c r="T41" s="252">
        <f t="shared" si="18"/>
        <v>0</v>
      </c>
    </row>
    <row r="42" spans="2:20" s="234" customFormat="1" x14ac:dyDescent="0.2">
      <c r="B42" s="253"/>
      <c r="C42" s="253"/>
      <c r="D42" s="253" t="s">
        <v>613</v>
      </c>
      <c r="E42" s="253">
        <v>2001</v>
      </c>
      <c r="F42" s="253">
        <v>8</v>
      </c>
      <c r="G42" s="254">
        <v>0</v>
      </c>
      <c r="H42" s="239"/>
      <c r="I42" s="232" t="s">
        <v>351</v>
      </c>
      <c r="J42" s="253">
        <v>15</v>
      </c>
      <c r="K42" s="232">
        <f t="shared" si="10"/>
        <v>2016</v>
      </c>
      <c r="L42" s="237">
        <f t="shared" si="11"/>
        <v>2016.6666666666667</v>
      </c>
      <c r="M42" s="245">
        <v>11590.83</v>
      </c>
      <c r="N42" s="250">
        <f t="shared" si="12"/>
        <v>11590.83</v>
      </c>
      <c r="O42" s="250">
        <f t="shared" si="13"/>
        <v>64.393500000000003</v>
      </c>
      <c r="P42" s="250">
        <f t="shared" si="14"/>
        <v>772.72199999999998</v>
      </c>
      <c r="Q42" s="251">
        <f t="shared" si="15"/>
        <v>0</v>
      </c>
      <c r="R42" s="250">
        <f t="shared" si="16"/>
        <v>11590.83</v>
      </c>
      <c r="S42" s="250">
        <f t="shared" si="17"/>
        <v>11590.83</v>
      </c>
      <c r="T42" s="252">
        <f t="shared" si="18"/>
        <v>0</v>
      </c>
    </row>
    <row r="43" spans="2:20" s="234" customFormat="1" x14ac:dyDescent="0.2">
      <c r="B43" s="253"/>
      <c r="C43" s="253"/>
      <c r="D43" s="253" t="s">
        <v>614</v>
      </c>
      <c r="E43" s="253">
        <v>2001</v>
      </c>
      <c r="F43" s="253">
        <v>9</v>
      </c>
      <c r="G43" s="254">
        <v>0</v>
      </c>
      <c r="H43" s="239"/>
      <c r="I43" s="232" t="s">
        <v>351</v>
      </c>
      <c r="J43" s="253">
        <v>15</v>
      </c>
      <c r="K43" s="232">
        <f t="shared" si="10"/>
        <v>2016</v>
      </c>
      <c r="L43" s="237">
        <f t="shared" si="11"/>
        <v>2016.75</v>
      </c>
      <c r="M43" s="245">
        <v>1655.96</v>
      </c>
      <c r="N43" s="250">
        <f t="shared" si="12"/>
        <v>1655.96</v>
      </c>
      <c r="O43" s="250">
        <f t="shared" si="13"/>
        <v>9.1997777777777774</v>
      </c>
      <c r="P43" s="250">
        <f t="shared" si="14"/>
        <v>110.39733333333334</v>
      </c>
      <c r="Q43" s="251">
        <f t="shared" si="15"/>
        <v>0</v>
      </c>
      <c r="R43" s="250">
        <f t="shared" si="16"/>
        <v>1655.96</v>
      </c>
      <c r="S43" s="250">
        <f t="shared" si="17"/>
        <v>1655.96</v>
      </c>
      <c r="T43" s="252">
        <f t="shared" si="18"/>
        <v>0</v>
      </c>
    </row>
    <row r="44" spans="2:20" s="234" customFormat="1" x14ac:dyDescent="0.2">
      <c r="B44" s="253"/>
      <c r="C44" s="253"/>
      <c r="D44" s="253" t="s">
        <v>615</v>
      </c>
      <c r="E44" s="253">
        <v>2002</v>
      </c>
      <c r="F44" s="253">
        <v>5</v>
      </c>
      <c r="G44" s="254">
        <v>0</v>
      </c>
      <c r="H44" s="239"/>
      <c r="I44" s="232" t="s">
        <v>351</v>
      </c>
      <c r="J44" s="253">
        <v>15</v>
      </c>
      <c r="K44" s="232">
        <f t="shared" si="10"/>
        <v>2017</v>
      </c>
      <c r="L44" s="237">
        <f t="shared" si="11"/>
        <v>2017.4166666666667</v>
      </c>
      <c r="M44" s="245">
        <v>1334.33</v>
      </c>
      <c r="N44" s="250">
        <f t="shared" si="12"/>
        <v>1334.33</v>
      </c>
      <c r="O44" s="250">
        <f t="shared" si="13"/>
        <v>7.4129444444444443</v>
      </c>
      <c r="P44" s="250">
        <f t="shared" si="14"/>
        <v>88.955333333333328</v>
      </c>
      <c r="Q44" s="251">
        <f t="shared" si="15"/>
        <v>0</v>
      </c>
      <c r="R44" s="250">
        <f t="shared" si="16"/>
        <v>1334.33</v>
      </c>
      <c r="S44" s="250">
        <f t="shared" si="17"/>
        <v>1334.33</v>
      </c>
      <c r="T44" s="252">
        <f t="shared" si="18"/>
        <v>0</v>
      </c>
    </row>
    <row r="45" spans="2:20" s="234" customFormat="1" x14ac:dyDescent="0.2">
      <c r="B45" s="253"/>
      <c r="C45" s="253"/>
      <c r="D45" s="253" t="s">
        <v>616</v>
      </c>
      <c r="E45" s="253">
        <v>2002</v>
      </c>
      <c r="F45" s="253">
        <v>10</v>
      </c>
      <c r="G45" s="254">
        <v>0</v>
      </c>
      <c r="H45" s="239"/>
      <c r="I45" s="232" t="s">
        <v>351</v>
      </c>
      <c r="J45" s="253">
        <v>15</v>
      </c>
      <c r="K45" s="232">
        <f t="shared" si="10"/>
        <v>2017</v>
      </c>
      <c r="L45" s="237">
        <f t="shared" si="11"/>
        <v>2017.8333333333333</v>
      </c>
      <c r="M45" s="245">
        <v>1147.74</v>
      </c>
      <c r="N45" s="250">
        <f t="shared" si="12"/>
        <v>1147.74</v>
      </c>
      <c r="O45" s="250">
        <f t="shared" si="13"/>
        <v>6.3763333333333341</v>
      </c>
      <c r="P45" s="250">
        <f t="shared" si="14"/>
        <v>76.516000000000005</v>
      </c>
      <c r="Q45" s="251">
        <f t="shared" si="15"/>
        <v>0</v>
      </c>
      <c r="R45" s="250">
        <f t="shared" si="16"/>
        <v>1147.74</v>
      </c>
      <c r="S45" s="250">
        <f t="shared" si="17"/>
        <v>1147.74</v>
      </c>
      <c r="T45" s="252">
        <f t="shared" si="18"/>
        <v>0</v>
      </c>
    </row>
    <row r="46" spans="2:20" s="234" customFormat="1" x14ac:dyDescent="0.2">
      <c r="B46" s="253"/>
      <c r="C46" s="253"/>
      <c r="D46" s="253" t="s">
        <v>617</v>
      </c>
      <c r="E46" s="253">
        <v>2003</v>
      </c>
      <c r="F46" s="253">
        <v>5</v>
      </c>
      <c r="G46" s="254">
        <v>0</v>
      </c>
      <c r="H46" s="239"/>
      <c r="I46" s="232" t="s">
        <v>351</v>
      </c>
      <c r="J46" s="253">
        <v>15</v>
      </c>
      <c r="K46" s="232">
        <f t="shared" si="10"/>
        <v>2018</v>
      </c>
      <c r="L46" s="237">
        <f t="shared" si="11"/>
        <v>2018.4166666666667</v>
      </c>
      <c r="M46" s="245">
        <v>677.67</v>
      </c>
      <c r="N46" s="250">
        <f t="shared" si="12"/>
        <v>677.67</v>
      </c>
      <c r="O46" s="250">
        <f t="shared" si="13"/>
        <v>3.7648333333333333</v>
      </c>
      <c r="P46" s="250">
        <f t="shared" si="14"/>
        <v>45.177999999999997</v>
      </c>
      <c r="Q46" s="251">
        <f t="shared" si="15"/>
        <v>0</v>
      </c>
      <c r="R46" s="250">
        <f t="shared" si="16"/>
        <v>677.67</v>
      </c>
      <c r="S46" s="250">
        <f t="shared" si="17"/>
        <v>677.67</v>
      </c>
      <c r="T46" s="252">
        <f t="shared" si="18"/>
        <v>0</v>
      </c>
    </row>
    <row r="47" spans="2:20" s="234" customFormat="1" x14ac:dyDescent="0.2">
      <c r="B47" s="253"/>
      <c r="C47" s="253"/>
      <c r="D47" s="253" t="s">
        <v>618</v>
      </c>
      <c r="E47" s="253">
        <v>2003</v>
      </c>
      <c r="F47" s="253">
        <v>5</v>
      </c>
      <c r="G47" s="254">
        <v>0</v>
      </c>
      <c r="H47" s="239"/>
      <c r="I47" s="232" t="s">
        <v>351</v>
      </c>
      <c r="J47" s="253">
        <v>15</v>
      </c>
      <c r="K47" s="232">
        <f t="shared" si="10"/>
        <v>2018</v>
      </c>
      <c r="L47" s="237">
        <f t="shared" si="11"/>
        <v>2018.4166666666667</v>
      </c>
      <c r="M47" s="245">
        <v>710.16</v>
      </c>
      <c r="N47" s="250">
        <f t="shared" si="12"/>
        <v>710.16</v>
      </c>
      <c r="O47" s="250">
        <f t="shared" si="13"/>
        <v>3.9453333333333336</v>
      </c>
      <c r="P47" s="250">
        <f t="shared" si="14"/>
        <v>47.344000000000001</v>
      </c>
      <c r="Q47" s="251">
        <f t="shared" si="15"/>
        <v>0</v>
      </c>
      <c r="R47" s="250">
        <f t="shared" si="16"/>
        <v>710.16</v>
      </c>
      <c r="S47" s="250">
        <f t="shared" si="17"/>
        <v>710.16</v>
      </c>
      <c r="T47" s="252">
        <f t="shared" si="18"/>
        <v>0</v>
      </c>
    </row>
    <row r="48" spans="2:20" s="234" customFormat="1" x14ac:dyDescent="0.2">
      <c r="B48" s="253"/>
      <c r="C48" s="253"/>
      <c r="D48" s="253" t="s">
        <v>619</v>
      </c>
      <c r="E48" s="253">
        <v>2003</v>
      </c>
      <c r="F48" s="253">
        <v>6</v>
      </c>
      <c r="G48" s="254">
        <v>0</v>
      </c>
      <c r="H48" s="239"/>
      <c r="I48" s="232" t="s">
        <v>351</v>
      </c>
      <c r="J48" s="253">
        <v>15</v>
      </c>
      <c r="K48" s="232">
        <f t="shared" si="10"/>
        <v>2018</v>
      </c>
      <c r="L48" s="237">
        <f t="shared" si="11"/>
        <v>2018.5</v>
      </c>
      <c r="M48" s="245">
        <v>1124.25</v>
      </c>
      <c r="N48" s="250">
        <f t="shared" si="12"/>
        <v>1124.25</v>
      </c>
      <c r="O48" s="250">
        <f t="shared" si="13"/>
        <v>6.2458333333333336</v>
      </c>
      <c r="P48" s="250">
        <f t="shared" si="14"/>
        <v>74.95</v>
      </c>
      <c r="Q48" s="251">
        <f t="shared" si="15"/>
        <v>0</v>
      </c>
      <c r="R48" s="250">
        <f t="shared" si="16"/>
        <v>1124.25</v>
      </c>
      <c r="S48" s="250">
        <f t="shared" si="17"/>
        <v>1124.25</v>
      </c>
      <c r="T48" s="252">
        <f t="shared" si="18"/>
        <v>0</v>
      </c>
    </row>
    <row r="49" spans="2:21" s="234" customFormat="1" x14ac:dyDescent="0.2">
      <c r="B49" s="253"/>
      <c r="C49" s="253"/>
      <c r="D49" s="253" t="s">
        <v>620</v>
      </c>
      <c r="E49" s="253">
        <v>2003</v>
      </c>
      <c r="F49" s="253">
        <v>6</v>
      </c>
      <c r="G49" s="254">
        <v>0</v>
      </c>
      <c r="H49" s="239"/>
      <c r="I49" s="232" t="s">
        <v>351</v>
      </c>
      <c r="J49" s="253">
        <v>15</v>
      </c>
      <c r="K49" s="232">
        <f t="shared" si="10"/>
        <v>2018</v>
      </c>
      <c r="L49" s="237">
        <f t="shared" si="11"/>
        <v>2018.5</v>
      </c>
      <c r="M49" s="245">
        <v>322.8</v>
      </c>
      <c r="N49" s="250">
        <f t="shared" si="12"/>
        <v>322.8</v>
      </c>
      <c r="O49" s="250">
        <f t="shared" si="13"/>
        <v>1.7933333333333332</v>
      </c>
      <c r="P49" s="250">
        <f t="shared" si="14"/>
        <v>21.52</v>
      </c>
      <c r="Q49" s="251">
        <f t="shared" si="15"/>
        <v>0</v>
      </c>
      <c r="R49" s="250">
        <f t="shared" si="16"/>
        <v>322.8</v>
      </c>
      <c r="S49" s="250">
        <f t="shared" si="17"/>
        <v>322.8</v>
      </c>
      <c r="T49" s="252">
        <f t="shared" si="18"/>
        <v>0</v>
      </c>
    </row>
    <row r="50" spans="2:21" s="234" customFormat="1" x14ac:dyDescent="0.2">
      <c r="B50" s="253"/>
      <c r="C50" s="253"/>
      <c r="D50" s="253" t="s">
        <v>621</v>
      </c>
      <c r="E50" s="253">
        <v>2003</v>
      </c>
      <c r="F50" s="253">
        <v>7</v>
      </c>
      <c r="G50" s="254">
        <v>0</v>
      </c>
      <c r="H50" s="239"/>
      <c r="I50" s="232" t="s">
        <v>351</v>
      </c>
      <c r="J50" s="253">
        <v>15</v>
      </c>
      <c r="K50" s="232">
        <f t="shared" si="10"/>
        <v>2018</v>
      </c>
      <c r="L50" s="237">
        <f t="shared" si="11"/>
        <v>2018.5833333333333</v>
      </c>
      <c r="M50" s="245">
        <v>2485.56</v>
      </c>
      <c r="N50" s="250">
        <f t="shared" si="12"/>
        <v>2485.56</v>
      </c>
      <c r="O50" s="250">
        <f t="shared" si="13"/>
        <v>13.808666666666667</v>
      </c>
      <c r="P50" s="250">
        <f t="shared" si="14"/>
        <v>165.70400000000001</v>
      </c>
      <c r="Q50" s="251">
        <f t="shared" si="15"/>
        <v>0</v>
      </c>
      <c r="R50" s="250">
        <f t="shared" si="16"/>
        <v>2485.56</v>
      </c>
      <c r="S50" s="250">
        <f t="shared" si="17"/>
        <v>2485.56</v>
      </c>
      <c r="T50" s="252">
        <f t="shared" si="18"/>
        <v>0</v>
      </c>
    </row>
    <row r="51" spans="2:21" s="234" customFormat="1" x14ac:dyDescent="0.2">
      <c r="B51" s="253"/>
      <c r="C51" s="253"/>
      <c r="D51" s="253" t="s">
        <v>622</v>
      </c>
      <c r="E51" s="253">
        <v>2003</v>
      </c>
      <c r="F51" s="253">
        <v>8</v>
      </c>
      <c r="G51" s="254">
        <v>0</v>
      </c>
      <c r="H51" s="239"/>
      <c r="I51" s="232" t="s">
        <v>351</v>
      </c>
      <c r="J51" s="253">
        <v>15</v>
      </c>
      <c r="K51" s="232">
        <f t="shared" si="10"/>
        <v>2018</v>
      </c>
      <c r="L51" s="237">
        <f t="shared" si="11"/>
        <v>2018.6666666666667</v>
      </c>
      <c r="M51" s="245">
        <v>940.56</v>
      </c>
      <c r="N51" s="250">
        <f t="shared" si="12"/>
        <v>940.56</v>
      </c>
      <c r="O51" s="250">
        <f t="shared" si="13"/>
        <v>5.2253333333333325</v>
      </c>
      <c r="P51" s="250">
        <f t="shared" si="14"/>
        <v>62.703999999999994</v>
      </c>
      <c r="Q51" s="251">
        <f t="shared" si="15"/>
        <v>0</v>
      </c>
      <c r="R51" s="250">
        <f t="shared" si="16"/>
        <v>940.56</v>
      </c>
      <c r="S51" s="250">
        <f t="shared" si="17"/>
        <v>940.56</v>
      </c>
      <c r="T51" s="252">
        <f t="shared" si="18"/>
        <v>0</v>
      </c>
    </row>
    <row r="52" spans="2:21" s="234" customFormat="1" x14ac:dyDescent="0.2">
      <c r="B52" s="253"/>
      <c r="C52" s="253"/>
      <c r="D52" s="253" t="s">
        <v>621</v>
      </c>
      <c r="E52" s="253">
        <v>2003</v>
      </c>
      <c r="F52" s="253">
        <v>8</v>
      </c>
      <c r="G52" s="254">
        <v>0</v>
      </c>
      <c r="H52" s="239"/>
      <c r="I52" s="232" t="s">
        <v>351</v>
      </c>
      <c r="J52" s="253">
        <v>15</v>
      </c>
      <c r="K52" s="232">
        <f t="shared" si="10"/>
        <v>2018</v>
      </c>
      <c r="L52" s="237">
        <f t="shared" si="11"/>
        <v>2018.6666666666667</v>
      </c>
      <c r="M52" s="245">
        <v>2065.92</v>
      </c>
      <c r="N52" s="250">
        <f t="shared" si="12"/>
        <v>2065.92</v>
      </c>
      <c r="O52" s="250">
        <f t="shared" si="13"/>
        <v>11.477333333333334</v>
      </c>
      <c r="P52" s="250">
        <f t="shared" si="14"/>
        <v>137.72800000000001</v>
      </c>
      <c r="Q52" s="251">
        <f t="shared" si="15"/>
        <v>0</v>
      </c>
      <c r="R52" s="250">
        <f t="shared" si="16"/>
        <v>2065.92</v>
      </c>
      <c r="S52" s="250">
        <f t="shared" si="17"/>
        <v>2065.92</v>
      </c>
      <c r="T52" s="252">
        <f t="shared" si="18"/>
        <v>0</v>
      </c>
    </row>
    <row r="53" spans="2:21" s="234" customFormat="1" x14ac:dyDescent="0.2">
      <c r="B53" s="253"/>
      <c r="C53" s="253"/>
      <c r="D53" s="253" t="s">
        <v>622</v>
      </c>
      <c r="E53" s="253">
        <v>2003</v>
      </c>
      <c r="F53" s="253">
        <v>9</v>
      </c>
      <c r="G53" s="254">
        <v>0</v>
      </c>
      <c r="H53" s="239"/>
      <c r="I53" s="232" t="s">
        <v>351</v>
      </c>
      <c r="J53" s="253">
        <v>15</v>
      </c>
      <c r="K53" s="232">
        <f t="shared" si="10"/>
        <v>2018</v>
      </c>
      <c r="L53" s="237">
        <f t="shared" si="11"/>
        <v>2018.75</v>
      </c>
      <c r="M53" s="245">
        <v>1221.49</v>
      </c>
      <c r="N53" s="250">
        <f t="shared" si="12"/>
        <v>1221.49</v>
      </c>
      <c r="O53" s="250">
        <f t="shared" si="13"/>
        <v>6.7860555555555555</v>
      </c>
      <c r="P53" s="250">
        <f t="shared" si="14"/>
        <v>81.432666666666663</v>
      </c>
      <c r="Q53" s="251">
        <f t="shared" si="15"/>
        <v>0</v>
      </c>
      <c r="R53" s="250">
        <f t="shared" si="16"/>
        <v>1221.49</v>
      </c>
      <c r="S53" s="250">
        <f t="shared" si="17"/>
        <v>1221.49</v>
      </c>
      <c r="T53" s="252">
        <f t="shared" si="18"/>
        <v>0</v>
      </c>
    </row>
    <row r="54" spans="2:21" s="234" customFormat="1" x14ac:dyDescent="0.2">
      <c r="B54" s="253"/>
      <c r="C54" s="253"/>
      <c r="D54" s="253" t="s">
        <v>623</v>
      </c>
      <c r="E54" s="253">
        <v>2003</v>
      </c>
      <c r="F54" s="253">
        <v>9</v>
      </c>
      <c r="G54" s="254">
        <v>0</v>
      </c>
      <c r="H54" s="239"/>
      <c r="I54" s="232" t="s">
        <v>351</v>
      </c>
      <c r="J54" s="253">
        <v>15</v>
      </c>
      <c r="K54" s="232">
        <f t="shared" si="10"/>
        <v>2018</v>
      </c>
      <c r="L54" s="237">
        <f t="shared" si="11"/>
        <v>2018.75</v>
      </c>
      <c r="M54" s="245">
        <v>1704.53</v>
      </c>
      <c r="N54" s="250">
        <f t="shared" si="12"/>
        <v>1704.53</v>
      </c>
      <c r="O54" s="250">
        <f t="shared" si="13"/>
        <v>9.4696111111111119</v>
      </c>
      <c r="P54" s="250">
        <f t="shared" si="14"/>
        <v>113.63533333333334</v>
      </c>
      <c r="Q54" s="251">
        <f t="shared" si="15"/>
        <v>0</v>
      </c>
      <c r="R54" s="250">
        <f t="shared" si="16"/>
        <v>1704.53</v>
      </c>
      <c r="S54" s="250">
        <f t="shared" si="17"/>
        <v>1704.53</v>
      </c>
      <c r="T54" s="252">
        <f t="shared" si="18"/>
        <v>0</v>
      </c>
    </row>
    <row r="55" spans="2:21" s="234" customFormat="1" x14ac:dyDescent="0.2">
      <c r="B55" s="253"/>
      <c r="C55" s="253"/>
      <c r="D55" s="253" t="s">
        <v>624</v>
      </c>
      <c r="E55" s="253">
        <v>2003</v>
      </c>
      <c r="F55" s="253">
        <v>10</v>
      </c>
      <c r="G55" s="254">
        <v>0</v>
      </c>
      <c r="H55" s="239"/>
      <c r="I55" s="232" t="s">
        <v>351</v>
      </c>
      <c r="J55" s="253">
        <v>15</v>
      </c>
      <c r="K55" s="232">
        <f t="shared" si="10"/>
        <v>2018</v>
      </c>
      <c r="L55" s="237">
        <f t="shared" si="11"/>
        <v>2018.8333333333333</v>
      </c>
      <c r="M55" s="245">
        <v>1248.04</v>
      </c>
      <c r="N55" s="250">
        <f t="shared" si="12"/>
        <v>1248.04</v>
      </c>
      <c r="O55" s="250">
        <f t="shared" si="13"/>
        <v>6.9335555555555546</v>
      </c>
      <c r="P55" s="250">
        <f t="shared" si="14"/>
        <v>83.202666666666659</v>
      </c>
      <c r="Q55" s="251">
        <f t="shared" si="15"/>
        <v>0</v>
      </c>
      <c r="R55" s="250">
        <f t="shared" si="16"/>
        <v>1248.04</v>
      </c>
      <c r="S55" s="250">
        <f t="shared" si="17"/>
        <v>1248.04</v>
      </c>
      <c r="T55" s="252">
        <f t="shared" si="18"/>
        <v>0</v>
      </c>
    </row>
    <row r="56" spans="2:21" s="234" customFormat="1" x14ac:dyDescent="0.2">
      <c r="B56" s="253"/>
      <c r="C56" s="253">
        <v>234495</v>
      </c>
      <c r="D56" s="253" t="s">
        <v>754</v>
      </c>
      <c r="E56" s="253">
        <v>2020</v>
      </c>
      <c r="F56" s="253">
        <v>6</v>
      </c>
      <c r="G56" s="254">
        <v>0</v>
      </c>
      <c r="H56" s="239"/>
      <c r="I56" s="232" t="s">
        <v>351</v>
      </c>
      <c r="J56" s="253">
        <v>20</v>
      </c>
      <c r="K56" s="232">
        <f t="shared" si="10"/>
        <v>2040</v>
      </c>
      <c r="L56" s="237">
        <f t="shared" si="11"/>
        <v>2040.5</v>
      </c>
      <c r="M56" s="245">
        <f>'Land Alloc'!M51</f>
        <v>737830.02256331744</v>
      </c>
      <c r="N56" s="250">
        <f t="shared" ref="N56" si="19">M56-M56*G56</f>
        <v>737830.02256331744</v>
      </c>
      <c r="O56" s="250">
        <f t="shared" ref="O56" si="20">N56/J56/12</f>
        <v>3074.2917606804895</v>
      </c>
      <c r="P56" s="250">
        <f t="shared" ref="P56" si="21">+O56*12</f>
        <v>36891.501128165874</v>
      </c>
      <c r="Q56" s="251">
        <f t="shared" ref="Q56" si="22">+IF(L56&lt;=$N$5,0,IF(K56&gt;$N$4,P56,(O56*F56)))</f>
        <v>36891.501128165874</v>
      </c>
      <c r="R56" s="250">
        <f t="shared" ref="R56" si="23">+IF(Q56=0,N56,IF($N$3-E56&lt;1,0,(($N$3-E56)*P56)))</f>
        <v>73783.002256331747</v>
      </c>
      <c r="S56" s="250">
        <f t="shared" ref="S56" si="24">+IF(Q56=0,R56,R56+Q56)</f>
        <v>110674.50338449763</v>
      </c>
      <c r="T56" s="252">
        <f t="shared" ref="T56" si="25">+M56-S56</f>
        <v>627155.51917881984</v>
      </c>
    </row>
    <row r="57" spans="2:21" s="234" customFormat="1" x14ac:dyDescent="0.2">
      <c r="B57" s="253"/>
      <c r="C57" s="253"/>
      <c r="D57" s="253"/>
      <c r="E57" s="253"/>
      <c r="F57" s="253"/>
      <c r="G57" s="254"/>
      <c r="H57" s="239"/>
      <c r="I57" s="232"/>
      <c r="J57" s="253"/>
      <c r="K57" s="232"/>
      <c r="L57" s="237"/>
      <c r="M57" s="245"/>
      <c r="N57" s="250"/>
      <c r="O57" s="250"/>
      <c r="P57" s="250"/>
      <c r="Q57" s="251"/>
      <c r="R57" s="250"/>
      <c r="S57" s="250"/>
      <c r="T57" s="252"/>
    </row>
    <row r="58" spans="2:21" x14ac:dyDescent="0.2">
      <c r="B58" s="92"/>
      <c r="C58" s="92"/>
      <c r="D58" s="92"/>
      <c r="E58" s="92"/>
      <c r="F58" s="92"/>
      <c r="T58" s="161"/>
    </row>
    <row r="59" spans="2:21" x14ac:dyDescent="0.2">
      <c r="B59" s="72"/>
      <c r="C59" s="72"/>
      <c r="D59" s="98" t="s">
        <v>753</v>
      </c>
      <c r="E59" s="72"/>
      <c r="F59" s="72"/>
      <c r="M59" s="107">
        <f t="shared" ref="M59:T59" si="26">SUM(M28:M58)</f>
        <v>792566.69256331748</v>
      </c>
      <c r="N59" s="107">
        <f t="shared" si="26"/>
        <v>792566.69256331748</v>
      </c>
      <c r="O59" s="107">
        <f t="shared" si="26"/>
        <v>3378.3843717916006</v>
      </c>
      <c r="P59" s="107">
        <f t="shared" si="26"/>
        <v>40540.612461499208</v>
      </c>
      <c r="Q59" s="107">
        <f t="shared" si="26"/>
        <v>36891.501128165874</v>
      </c>
      <c r="R59" s="107">
        <f t="shared" si="26"/>
        <v>128519.67225633175</v>
      </c>
      <c r="S59" s="107">
        <f t="shared" si="26"/>
        <v>165411.17338449764</v>
      </c>
      <c r="T59" s="107">
        <f t="shared" si="26"/>
        <v>627155.51917881984</v>
      </c>
    </row>
    <row r="61" spans="2:21" x14ac:dyDescent="0.2">
      <c r="D61" s="72" t="s">
        <v>637</v>
      </c>
    </row>
    <row r="62" spans="2:21" s="234" customFormat="1" x14ac:dyDescent="0.2">
      <c r="D62" s="234" t="s">
        <v>635</v>
      </c>
      <c r="E62" s="234">
        <v>2001</v>
      </c>
      <c r="F62" s="234">
        <v>6</v>
      </c>
      <c r="G62" s="234">
        <v>0</v>
      </c>
      <c r="I62" s="234" t="s">
        <v>351</v>
      </c>
      <c r="J62" s="232">
        <v>5</v>
      </c>
      <c r="K62" s="232">
        <f>E62+J62</f>
        <v>2006</v>
      </c>
      <c r="L62" s="237">
        <f>+K62+(F62/12)</f>
        <v>2006.5</v>
      </c>
      <c r="M62" s="249"/>
      <c r="N62" s="250"/>
      <c r="O62" s="250"/>
      <c r="P62" s="250"/>
      <c r="Q62" s="251"/>
      <c r="R62" s="250"/>
      <c r="S62" s="250"/>
      <c r="T62" s="252"/>
      <c r="U62" s="234" t="s">
        <v>752</v>
      </c>
    </row>
    <row r="63" spans="2:21" s="234" customFormat="1" x14ac:dyDescent="0.2">
      <c r="D63" s="234" t="s">
        <v>634</v>
      </c>
      <c r="E63" s="234">
        <v>2001</v>
      </c>
      <c r="F63" s="234">
        <v>7</v>
      </c>
      <c r="G63" s="234">
        <v>0</v>
      </c>
      <c r="I63" s="234" t="s">
        <v>351</v>
      </c>
      <c r="J63" s="232">
        <v>5</v>
      </c>
      <c r="K63" s="232">
        <f>E63+J63</f>
        <v>2006</v>
      </c>
      <c r="L63" s="237">
        <f>+K63+(F63/12)</f>
        <v>2006.5833333333333</v>
      </c>
      <c r="M63" s="249"/>
      <c r="N63" s="250"/>
      <c r="O63" s="250"/>
      <c r="P63" s="250"/>
      <c r="Q63" s="251"/>
      <c r="R63" s="250"/>
      <c r="S63" s="250"/>
      <c r="T63" s="252"/>
      <c r="U63" s="234" t="s">
        <v>752</v>
      </c>
    </row>
    <row r="65" spans="4:20" ht="12.75" thickBot="1" x14ac:dyDescent="0.25">
      <c r="D65" s="72" t="s">
        <v>636</v>
      </c>
      <c r="M65" s="210">
        <f>SUM(M62:M64)</f>
        <v>0</v>
      </c>
      <c r="N65" s="210">
        <f t="shared" ref="N65:T65" si="27">SUM(N62:N64)</f>
        <v>0</v>
      </c>
      <c r="O65" s="210">
        <f t="shared" si="27"/>
        <v>0</v>
      </c>
      <c r="P65" s="210">
        <f t="shared" si="27"/>
        <v>0</v>
      </c>
      <c r="Q65" s="210">
        <f t="shared" si="27"/>
        <v>0</v>
      </c>
      <c r="R65" s="210">
        <f t="shared" si="27"/>
        <v>0</v>
      </c>
      <c r="S65" s="210">
        <f t="shared" si="27"/>
        <v>0</v>
      </c>
      <c r="T65" s="210">
        <f t="shared" si="27"/>
        <v>0</v>
      </c>
    </row>
    <row r="67" spans="4:20" ht="12.75" thickBot="1" x14ac:dyDescent="0.25">
      <c r="M67" s="151">
        <f>+M24+M59+M65</f>
        <v>812376.44256331748</v>
      </c>
      <c r="N67" s="151">
        <f t="shared" ref="N67:T67" si="28">+N24+N59+N65</f>
        <v>812376.44256331748</v>
      </c>
      <c r="O67" s="151">
        <f t="shared" si="28"/>
        <v>3708.5468717916006</v>
      </c>
      <c r="P67" s="151">
        <f t="shared" si="28"/>
        <v>44502.562461499205</v>
      </c>
      <c r="Q67" s="151">
        <f t="shared" si="28"/>
        <v>36891.501128165874</v>
      </c>
      <c r="R67" s="151">
        <f t="shared" si="28"/>
        <v>148329.42225633175</v>
      </c>
      <c r="S67" s="151">
        <f t="shared" si="28"/>
        <v>185220.92338449764</v>
      </c>
      <c r="T67" s="151">
        <f t="shared" si="28"/>
        <v>627155.51917881984</v>
      </c>
    </row>
    <row r="68" spans="4:20" ht="12.75" thickTop="1" x14ac:dyDescent="0.2"/>
    <row r="69" spans="4:20" x14ac:dyDescent="0.2">
      <c r="T69" s="192"/>
    </row>
    <row r="70" spans="4:20" x14ac:dyDescent="0.2">
      <c r="M70" s="193"/>
      <c r="T70" s="54"/>
    </row>
  </sheetData>
  <sortState xmlns:xlrd2="http://schemas.microsoft.com/office/spreadsheetml/2017/richdata2" ref="A70:T71">
    <sortCondition ref="E70:E71"/>
    <sortCondition ref="F70:F71"/>
  </sortState>
  <pageMargins left="0.75" right="0.75" top="1" bottom="1" header="0.5" footer="0.5"/>
  <pageSetup scale="58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9"/>
  <sheetViews>
    <sheetView view="pageBreakPreview" zoomScale="60" zoomScaleNormal="85" workbookViewId="0">
      <pane xSplit="3" ySplit="3" topLeftCell="I24" activePane="bottomRight" state="frozen"/>
      <selection activeCell="M65" sqref="M65"/>
      <selection pane="topRight" activeCell="M65" sqref="M65"/>
      <selection pane="bottomLeft" activeCell="M65" sqref="M65"/>
      <selection pane="bottomRight" activeCell="N51" sqref="N51"/>
    </sheetView>
  </sheetViews>
  <sheetFormatPr defaultRowHeight="12.75" x14ac:dyDescent="0.2"/>
  <cols>
    <col min="1" max="1" width="52" bestFit="1" customWidth="1"/>
    <col min="2" max="2" width="9.1640625" bestFit="1" customWidth="1"/>
    <col min="3" max="3" width="51.83203125" bestFit="1" customWidth="1"/>
    <col min="4" max="4" width="17.5" bestFit="1" customWidth="1"/>
    <col min="5" max="5" width="15.33203125" hidden="1" customWidth="1"/>
    <col min="6" max="6" width="16.6640625" hidden="1" customWidth="1"/>
    <col min="7" max="7" width="11.33203125" bestFit="1" customWidth="1"/>
    <col min="8" max="8" width="18" bestFit="1" customWidth="1"/>
    <col min="9" max="9" width="1.83203125" customWidth="1"/>
    <col min="10" max="10" width="13.83203125" customWidth="1"/>
    <col min="11" max="11" width="17.33203125" customWidth="1"/>
    <col min="12" max="12" width="13.33203125" customWidth="1"/>
    <col min="13" max="14" width="16.6640625" bestFit="1" customWidth="1"/>
    <col min="15" max="15" width="6.6640625" bestFit="1" customWidth="1"/>
    <col min="16" max="16" width="8" bestFit="1" customWidth="1"/>
    <col min="17" max="17" width="8.6640625" bestFit="1" customWidth="1"/>
    <col min="18" max="18" width="16.6640625" bestFit="1" customWidth="1"/>
    <col min="19" max="19" width="8.6640625" bestFit="1" customWidth="1"/>
    <col min="20" max="20" width="13.6640625" bestFit="1" customWidth="1"/>
    <col min="21" max="21" width="15.5" bestFit="1" customWidth="1"/>
    <col min="22" max="22" width="8.1640625" bestFit="1" customWidth="1"/>
    <col min="23" max="23" width="8.6640625" bestFit="1" customWidth="1"/>
    <col min="24" max="24" width="12.33203125" bestFit="1" customWidth="1"/>
    <col min="25" max="25" width="6.1640625" bestFit="1" customWidth="1"/>
    <col min="26" max="26" width="16" bestFit="1" customWidth="1"/>
    <col min="27" max="27" width="8.6640625" bestFit="1" customWidth="1"/>
    <col min="28" max="28" width="8.5" bestFit="1" customWidth="1"/>
    <col min="30" max="30" width="9" bestFit="1" customWidth="1"/>
    <col min="31" max="31" width="6.83203125" bestFit="1" customWidth="1"/>
    <col min="32" max="32" width="6" bestFit="1" customWidth="1"/>
    <col min="33" max="33" width="7.6640625" bestFit="1" customWidth="1"/>
    <col min="34" max="34" width="5" bestFit="1" customWidth="1"/>
  </cols>
  <sheetData>
    <row r="1" spans="1:28" ht="26.25" x14ac:dyDescent="0.4">
      <c r="A1" s="214" t="s">
        <v>651</v>
      </c>
      <c r="B1" s="215"/>
      <c r="C1" s="215"/>
      <c r="D1" s="215"/>
      <c r="E1" s="215"/>
      <c r="F1" s="215"/>
      <c r="G1" s="215"/>
      <c r="H1" s="215"/>
      <c r="I1" s="215"/>
    </row>
    <row r="2" spans="1:28" ht="15" x14ac:dyDescent="0.25">
      <c r="A2" s="215"/>
      <c r="B2" s="215"/>
      <c r="C2" s="215"/>
      <c r="D2" s="215"/>
      <c r="E2" s="216" t="s">
        <v>652</v>
      </c>
      <c r="F2" s="216"/>
      <c r="G2" s="216"/>
      <c r="H2" s="308">
        <f>K58</f>
        <v>3043616</v>
      </c>
      <c r="I2" s="230"/>
    </row>
    <row r="3" spans="1:28" ht="45" x14ac:dyDescent="0.25">
      <c r="A3" s="217" t="s">
        <v>653</v>
      </c>
      <c r="B3" s="221" t="s">
        <v>657</v>
      </c>
      <c r="C3" s="217" t="s">
        <v>654</v>
      </c>
      <c r="D3" s="220" t="s">
        <v>725</v>
      </c>
      <c r="E3" s="220" t="s">
        <v>655</v>
      </c>
      <c r="F3" s="220" t="s">
        <v>656</v>
      </c>
      <c r="G3" s="220" t="s">
        <v>728</v>
      </c>
      <c r="H3" s="220" t="s">
        <v>729</v>
      </c>
      <c r="I3" s="220"/>
      <c r="J3" s="220" t="s">
        <v>676</v>
      </c>
      <c r="K3" s="220" t="s">
        <v>677</v>
      </c>
      <c r="M3" s="220" t="s">
        <v>740</v>
      </c>
      <c r="N3" s="220" t="s">
        <v>739</v>
      </c>
    </row>
    <row r="4" spans="1:28" ht="15" x14ac:dyDescent="0.25">
      <c r="A4" s="218"/>
      <c r="B4" s="215"/>
      <c r="C4" s="218"/>
      <c r="D4" s="218"/>
      <c r="E4" s="215"/>
      <c r="F4" s="215"/>
      <c r="G4" s="215"/>
      <c r="H4" s="215"/>
      <c r="I4" s="215"/>
    </row>
    <row r="5" spans="1:28" ht="15" x14ac:dyDescent="0.25">
      <c r="A5" s="325" t="s">
        <v>726</v>
      </c>
      <c r="B5" s="215"/>
      <c r="C5" s="218"/>
      <c r="D5" s="219"/>
      <c r="E5" s="215"/>
      <c r="F5" s="215"/>
      <c r="G5" s="215"/>
      <c r="H5" s="215"/>
      <c r="I5" s="215"/>
      <c r="M5" s="324"/>
      <c r="N5" s="324"/>
    </row>
    <row r="6" spans="1:28" ht="15" x14ac:dyDescent="0.25">
      <c r="A6" s="313" t="s">
        <v>658</v>
      </c>
      <c r="B6" s="314">
        <v>10015</v>
      </c>
      <c r="C6" s="313" t="s">
        <v>659</v>
      </c>
      <c r="D6" s="315">
        <v>32480.799999999999</v>
      </c>
      <c r="E6" s="316">
        <f>530.39/D6</f>
        <v>1.632933917883796E-2</v>
      </c>
      <c r="F6" s="317">
        <f t="shared" ref="F6:F11" si="0">D6*E6</f>
        <v>530.39</v>
      </c>
      <c r="G6" s="318">
        <f t="shared" ref="G6:G11" si="1">D6/$D$25</f>
        <v>4.0087662449461228E-2</v>
      </c>
      <c r="H6" s="319">
        <f>G6*$H$2</f>
        <v>122011.45083377938</v>
      </c>
      <c r="I6" s="319"/>
      <c r="J6" s="320">
        <v>1</v>
      </c>
      <c r="K6" s="320">
        <v>0</v>
      </c>
      <c r="L6" s="321" t="s">
        <v>724</v>
      </c>
      <c r="M6" s="312">
        <f>$H6*J6</f>
        <v>122011.45083377938</v>
      </c>
      <c r="N6" s="312">
        <f>$H6*K6</f>
        <v>0</v>
      </c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</row>
    <row r="7" spans="1:28" ht="15" x14ac:dyDescent="0.25">
      <c r="A7" s="218" t="s">
        <v>660</v>
      </c>
      <c r="B7" s="215">
        <v>10028</v>
      </c>
      <c r="C7" s="218" t="s">
        <v>659</v>
      </c>
      <c r="D7" s="323">
        <v>22177.599999999999</v>
      </c>
      <c r="E7" s="293">
        <f>502.96/D7</f>
        <v>2.2678738907726717E-2</v>
      </c>
      <c r="F7" s="294">
        <f t="shared" si="0"/>
        <v>502.96</v>
      </c>
      <c r="G7" s="310">
        <f t="shared" si="1"/>
        <v>2.7371497707543265E-2</v>
      </c>
      <c r="H7" s="312">
        <f t="shared" ref="H7:H17" si="2">G7*$H$2</f>
        <v>83308.328366642003</v>
      </c>
      <c r="I7" s="312"/>
      <c r="J7" s="297">
        <v>1</v>
      </c>
      <c r="K7" s="297">
        <v>0</v>
      </c>
      <c r="L7" s="291" t="s">
        <v>724</v>
      </c>
      <c r="M7" s="312">
        <f t="shared" ref="M7:M11" si="3">$H7*J7</f>
        <v>83308.328366642003</v>
      </c>
      <c r="N7" s="312">
        <f t="shared" ref="N7:N11" si="4">$H7*K7</f>
        <v>0</v>
      </c>
    </row>
    <row r="8" spans="1:28" ht="15" x14ac:dyDescent="0.25">
      <c r="A8" s="218" t="s">
        <v>661</v>
      </c>
      <c r="B8" s="215">
        <v>1002602</v>
      </c>
      <c r="C8" s="218" t="s">
        <v>659</v>
      </c>
      <c r="D8" s="323">
        <v>4020.7</v>
      </c>
      <c r="E8" s="293">
        <f>14.64/D8</f>
        <v>3.6411570124605173E-3</v>
      </c>
      <c r="F8" s="294">
        <f t="shared" si="0"/>
        <v>14.64</v>
      </c>
      <c r="G8" s="310">
        <f t="shared" si="1"/>
        <v>4.962330497110562E-3</v>
      </c>
      <c r="H8" s="312">
        <f t="shared" si="2"/>
        <v>15103.428498293661</v>
      </c>
      <c r="I8" s="312"/>
      <c r="J8" s="297">
        <v>1</v>
      </c>
      <c r="K8" s="297">
        <v>0</v>
      </c>
      <c r="L8" s="291" t="s">
        <v>724</v>
      </c>
      <c r="M8" s="312">
        <f t="shared" si="3"/>
        <v>15103.428498293661</v>
      </c>
      <c r="N8" s="312">
        <f t="shared" si="4"/>
        <v>0</v>
      </c>
    </row>
    <row r="9" spans="1:28" ht="15" x14ac:dyDescent="0.25">
      <c r="A9" s="218" t="s">
        <v>661</v>
      </c>
      <c r="B9" s="215">
        <v>1002604</v>
      </c>
      <c r="C9" s="218" t="s">
        <v>659</v>
      </c>
      <c r="D9" s="323">
        <v>11123.8</v>
      </c>
      <c r="E9" s="293">
        <f>14.64/D9</f>
        <v>1.3160970172063505E-3</v>
      </c>
      <c r="F9" s="294">
        <f t="shared" si="0"/>
        <v>14.64</v>
      </c>
      <c r="G9" s="310">
        <f t="shared" si="1"/>
        <v>1.3728945701932119E-2</v>
      </c>
      <c r="H9" s="312">
        <f t="shared" si="2"/>
        <v>41785.63880153183</v>
      </c>
      <c r="I9" s="312"/>
      <c r="J9" s="297">
        <v>1</v>
      </c>
      <c r="K9" s="297">
        <v>0</v>
      </c>
      <c r="L9" s="291" t="s">
        <v>724</v>
      </c>
      <c r="M9" s="312">
        <f t="shared" si="3"/>
        <v>41785.63880153183</v>
      </c>
      <c r="N9" s="312">
        <f t="shared" si="4"/>
        <v>0</v>
      </c>
    </row>
    <row r="10" spans="1:28" ht="15" x14ac:dyDescent="0.25">
      <c r="A10" s="218" t="s">
        <v>661</v>
      </c>
      <c r="B10" s="215">
        <v>1002801</v>
      </c>
      <c r="C10" s="218" t="s">
        <v>659</v>
      </c>
      <c r="D10" s="323">
        <v>12333.2</v>
      </c>
      <c r="E10" s="293">
        <f>319.4/D10</f>
        <v>2.5897577271105629E-2</v>
      </c>
      <c r="F10" s="294">
        <f t="shared" si="0"/>
        <v>319.39999999999998</v>
      </c>
      <c r="G10" s="310">
        <f t="shared" si="1"/>
        <v>1.5221581935226203E-2</v>
      </c>
      <c r="H10" s="312">
        <f t="shared" si="2"/>
        <v>46328.650323365437</v>
      </c>
      <c r="I10" s="312"/>
      <c r="J10" s="297">
        <v>1</v>
      </c>
      <c r="K10" s="297">
        <v>0</v>
      </c>
      <c r="L10" s="291" t="s">
        <v>724</v>
      </c>
      <c r="M10" s="312">
        <f t="shared" si="3"/>
        <v>46328.650323365437</v>
      </c>
      <c r="N10" s="312">
        <f t="shared" si="4"/>
        <v>0</v>
      </c>
    </row>
    <row r="11" spans="1:28" ht="15" x14ac:dyDescent="0.25">
      <c r="A11" s="218" t="s">
        <v>661</v>
      </c>
      <c r="B11" s="215">
        <v>10027</v>
      </c>
      <c r="C11" s="218" t="s">
        <v>662</v>
      </c>
      <c r="D11" s="323">
        <v>60196.1</v>
      </c>
      <c r="E11" s="293">
        <f>468.8/D11</f>
        <v>7.7878799457107694E-3</v>
      </c>
      <c r="F11" s="294">
        <f t="shared" si="0"/>
        <v>468.8</v>
      </c>
      <c r="G11" s="310">
        <f t="shared" si="1"/>
        <v>7.4293765472956727E-2</v>
      </c>
      <c r="H11" s="312">
        <f t="shared" si="2"/>
        <v>226121.69329373867</v>
      </c>
      <c r="I11" s="312"/>
      <c r="J11" s="297">
        <v>1</v>
      </c>
      <c r="K11" s="297">
        <v>0</v>
      </c>
      <c r="L11" s="291" t="s">
        <v>724</v>
      </c>
      <c r="M11" s="312">
        <f t="shared" si="3"/>
        <v>226121.69329373867</v>
      </c>
      <c r="N11" s="312">
        <f t="shared" si="4"/>
        <v>0</v>
      </c>
    </row>
    <row r="12" spans="1:28" ht="15" x14ac:dyDescent="0.25">
      <c r="A12" s="218"/>
      <c r="B12" s="215"/>
      <c r="C12" s="218"/>
      <c r="D12" s="330"/>
      <c r="E12" s="293"/>
      <c r="F12" s="294"/>
      <c r="G12" s="328"/>
      <c r="H12" s="331"/>
      <c r="I12" s="331"/>
      <c r="J12" s="297"/>
      <c r="K12" s="298"/>
      <c r="L12" s="291"/>
      <c r="M12" s="291"/>
      <c r="N12" s="291"/>
    </row>
    <row r="13" spans="1:28" ht="15" x14ac:dyDescent="0.25">
      <c r="A13" s="218" t="s">
        <v>663</v>
      </c>
      <c r="B13" s="215">
        <v>10068</v>
      </c>
      <c r="C13" s="218" t="s">
        <v>714</v>
      </c>
      <c r="D13" s="323">
        <v>310758.5</v>
      </c>
      <c r="E13" s="293">
        <f>27150.48/D13</f>
        <v>8.7368422746280469E-2</v>
      </c>
      <c r="F13" s="294">
        <f>D13*E13</f>
        <v>27150.48</v>
      </c>
      <c r="G13" s="310">
        <f>D13/$D$25</f>
        <v>0.38353679254516199</v>
      </c>
      <c r="H13" s="312">
        <f t="shared" si="2"/>
        <v>1167338.7183791357</v>
      </c>
      <c r="I13" s="312"/>
      <c r="J13" s="297">
        <f>1-K13</f>
        <v>0.87388470468225332</v>
      </c>
      <c r="K13" s="297">
        <f>D32/D13</f>
        <v>0.12611529531774673</v>
      </c>
      <c r="L13" s="291" t="s">
        <v>737</v>
      </c>
      <c r="M13" s="312">
        <f t="shared" ref="M13" si="5">$H13*J13</f>
        <v>1020119.4511749111</v>
      </c>
      <c r="N13" s="312">
        <f t="shared" ref="N13" si="6">$H13*K13</f>
        <v>147219.26720422468</v>
      </c>
    </row>
    <row r="14" spans="1:28" ht="15" x14ac:dyDescent="0.25">
      <c r="A14" s="218"/>
      <c r="B14" s="215"/>
      <c r="C14" s="326"/>
      <c r="D14" s="327"/>
      <c r="E14" s="293"/>
      <c r="F14" s="294"/>
      <c r="G14" s="328"/>
      <c r="H14" s="328"/>
      <c r="I14" s="328"/>
      <c r="J14" s="297"/>
      <c r="K14" s="298"/>
      <c r="L14" s="291"/>
      <c r="M14" s="291"/>
      <c r="N14" s="291"/>
    </row>
    <row r="15" spans="1:28" ht="15" x14ac:dyDescent="0.25">
      <c r="A15" s="218" t="s">
        <v>664</v>
      </c>
      <c r="B15" s="215">
        <v>10018</v>
      </c>
      <c r="C15" s="218" t="s">
        <v>665</v>
      </c>
      <c r="D15" s="323">
        <v>15087.4</v>
      </c>
      <c r="E15" s="293">
        <f>356.95/D15</f>
        <v>2.3658814640030754E-2</v>
      </c>
      <c r="F15" s="294">
        <f>D15*E15</f>
        <v>356.95</v>
      </c>
      <c r="G15" s="310">
        <f>D15/$D$25</f>
        <v>1.8620803626758001E-2</v>
      </c>
      <c r="H15" s="312">
        <f t="shared" si="2"/>
        <v>56674.575851258684</v>
      </c>
      <c r="I15" s="312"/>
      <c r="J15" s="297">
        <f>J36</f>
        <v>0.74149512961571273</v>
      </c>
      <c r="K15" s="336">
        <f>K36</f>
        <v>0.25850487038428721</v>
      </c>
      <c r="L15" s="291" t="s">
        <v>736</v>
      </c>
      <c r="M15" s="312">
        <f t="shared" ref="M15" si="7">$H15*J15</f>
        <v>42023.921966744601</v>
      </c>
      <c r="N15" s="312">
        <f t="shared" ref="N15" si="8">$H15*K15</f>
        <v>14650.65388451408</v>
      </c>
    </row>
    <row r="16" spans="1:28" ht="15" x14ac:dyDescent="0.25">
      <c r="A16" s="218"/>
      <c r="B16" s="215"/>
      <c r="C16" s="218"/>
      <c r="D16" s="323"/>
      <c r="E16" s="293"/>
      <c r="F16" s="294"/>
      <c r="G16" s="310"/>
      <c r="H16" s="312"/>
      <c r="I16" s="312"/>
      <c r="J16" s="297"/>
      <c r="K16" s="298"/>
      <c r="L16" s="291"/>
      <c r="M16" s="291"/>
      <c r="N16" s="291"/>
    </row>
    <row r="17" spans="1:28" ht="15" x14ac:dyDescent="0.25">
      <c r="A17" s="218" t="s">
        <v>664</v>
      </c>
      <c r="B17" s="215">
        <v>10022</v>
      </c>
      <c r="C17" s="218" t="s">
        <v>713</v>
      </c>
      <c r="D17" s="323">
        <f>37814.2</f>
        <v>37814.199999999997</v>
      </c>
      <c r="E17" s="293">
        <f>11732.63/D17</f>
        <v>0.31027048040154226</v>
      </c>
      <c r="F17" s="294">
        <f>D17*E17</f>
        <v>11732.63</v>
      </c>
      <c r="G17" s="310">
        <f>D17/$D$25</f>
        <v>4.6670121591722388E-2</v>
      </c>
      <c r="H17" s="312">
        <f t="shared" si="2"/>
        <v>142045.92879851174</v>
      </c>
      <c r="I17" s="312"/>
      <c r="J17" s="297">
        <f>AVERAGE(J35:J37)</f>
        <v>0.41383170987190426</v>
      </c>
      <c r="K17" s="297">
        <f>AVERAGE(K35:K37)</f>
        <v>0.58616829012809568</v>
      </c>
      <c r="L17" s="291" t="s">
        <v>738</v>
      </c>
      <c r="M17" s="312">
        <f t="shared" ref="M17" si="9">$H17*J17</f>
        <v>58783.109595030881</v>
      </c>
      <c r="N17" s="312">
        <f t="shared" ref="N17" si="10">$H17*K17</f>
        <v>83262.819203480845</v>
      </c>
    </row>
    <row r="18" spans="1:28" ht="15" x14ac:dyDescent="0.25">
      <c r="A18" s="218"/>
      <c r="B18" s="215"/>
      <c r="C18" s="326"/>
      <c r="D18" s="327"/>
      <c r="E18" s="293"/>
      <c r="F18" s="294"/>
      <c r="G18" s="328"/>
      <c r="H18" s="294"/>
      <c r="I18" s="294"/>
      <c r="J18" s="297"/>
      <c r="K18" s="298"/>
      <c r="L18" s="291"/>
      <c r="M18" s="291"/>
      <c r="N18" s="291"/>
    </row>
    <row r="19" spans="1:28" ht="15" x14ac:dyDescent="0.25">
      <c r="A19" s="218" t="s">
        <v>667</v>
      </c>
      <c r="B19" s="215">
        <v>10016</v>
      </c>
      <c r="C19" s="218" t="s">
        <v>668</v>
      </c>
      <c r="D19" s="323">
        <v>107959.9</v>
      </c>
      <c r="E19" s="293">
        <f>9144.85/D19</f>
        <v>8.4705988056676604E-2</v>
      </c>
      <c r="F19" s="294">
        <f>D19*E19</f>
        <v>9144.85</v>
      </c>
      <c r="G19" s="310">
        <f>D19/$D$25</f>
        <v>0.13324364022061</v>
      </c>
      <c r="H19" s="312">
        <f>G19*$H$2</f>
        <v>405542.47527369211</v>
      </c>
      <c r="I19" s="312"/>
      <c r="J19" s="297">
        <f>'[28]Allocators (C)'!$C$79+'[28]Allocators (C)'!$D$79</f>
        <v>0.60835414557318024</v>
      </c>
      <c r="K19" s="297">
        <f>'[28]Allocators (C)'!$E$79</f>
        <v>0.39164585442681965</v>
      </c>
      <c r="L19" s="291" t="s">
        <v>731</v>
      </c>
      <c r="M19" s="312">
        <f t="shared" ref="M19" si="11">$H19*J19</f>
        <v>246713.44603875955</v>
      </c>
      <c r="N19" s="312">
        <f t="shared" ref="N19" si="12">$H19*K19</f>
        <v>158829.02923493253</v>
      </c>
    </row>
    <row r="20" spans="1:28" ht="15" x14ac:dyDescent="0.25">
      <c r="A20" s="218"/>
      <c r="B20" s="215"/>
      <c r="C20" s="329"/>
      <c r="D20" s="327"/>
      <c r="E20" s="299"/>
      <c r="F20" s="294"/>
      <c r="G20" s="294"/>
      <c r="H20" s="294"/>
      <c r="I20" s="294"/>
      <c r="J20" s="297"/>
      <c r="K20" s="298"/>
      <c r="L20" s="291"/>
      <c r="M20" s="291"/>
      <c r="N20" s="291"/>
    </row>
    <row r="21" spans="1:28" ht="15" x14ac:dyDescent="0.25">
      <c r="A21" s="218" t="s">
        <v>670</v>
      </c>
      <c r="B21" s="215">
        <v>10021</v>
      </c>
      <c r="C21" s="218" t="s">
        <v>671</v>
      </c>
      <c r="D21" s="323">
        <v>83681.8</v>
      </c>
      <c r="E21" s="293">
        <f>8338.26/D21</f>
        <v>9.9642455109713216E-2</v>
      </c>
      <c r="F21" s="294">
        <f>D21*E21</f>
        <v>8338.26</v>
      </c>
      <c r="G21" s="310">
        <f>D21/$D$25</f>
        <v>0.10327971452560666</v>
      </c>
      <c r="H21" s="312">
        <f t="shared" ref="H21" si="13">G21*$H$2</f>
        <v>314343.79160556884</v>
      </c>
      <c r="I21" s="312"/>
      <c r="J21" s="297">
        <f>1-K21</f>
        <v>0.71447793905006818</v>
      </c>
      <c r="K21" s="297">
        <f>D44/D21</f>
        <v>0.28552206094993177</v>
      </c>
      <c r="L21" s="291" t="s">
        <v>737</v>
      </c>
      <c r="M21" s="312">
        <f t="shared" ref="M21" si="14">$H21*J21</f>
        <v>224591.70437953094</v>
      </c>
      <c r="N21" s="312">
        <f t="shared" ref="N21" si="15">$H21*K21</f>
        <v>89752.087226037882</v>
      </c>
    </row>
    <row r="22" spans="1:28" ht="15" x14ac:dyDescent="0.25">
      <c r="A22" s="218"/>
      <c r="B22" s="215"/>
      <c r="C22" s="305"/>
      <c r="D22" s="323"/>
      <c r="E22" s="293"/>
      <c r="F22" s="294"/>
      <c r="G22" s="310"/>
      <c r="H22" s="310"/>
      <c r="I22" s="310"/>
      <c r="J22" s="297"/>
      <c r="K22" s="298"/>
      <c r="L22" s="291"/>
      <c r="M22" s="291"/>
      <c r="N22" s="291"/>
    </row>
    <row r="23" spans="1:28" ht="15" x14ac:dyDescent="0.25">
      <c r="A23" s="218" t="s">
        <v>664</v>
      </c>
      <c r="B23" s="215">
        <v>10023</v>
      </c>
      <c r="C23" s="218" t="s">
        <v>672</v>
      </c>
      <c r="D23" s="323">
        <v>26905</v>
      </c>
      <c r="E23" s="293">
        <f>648.55/D23</f>
        <v>2.4105184909868054E-2</v>
      </c>
      <c r="F23" s="294">
        <f>D23*E23</f>
        <v>648.54999999999995</v>
      </c>
      <c r="G23" s="310">
        <f>D23/$D$25</f>
        <v>3.3206034278797147E-2</v>
      </c>
      <c r="H23" s="312">
        <f>G23*$H$2</f>
        <v>101066.41722749546</v>
      </c>
      <c r="I23" s="312"/>
      <c r="J23" s="297">
        <v>0</v>
      </c>
      <c r="K23" s="297">
        <v>1</v>
      </c>
      <c r="L23" s="291" t="s">
        <v>724</v>
      </c>
      <c r="M23" s="312">
        <f t="shared" ref="M23:M24" si="16">$H23*J23</f>
        <v>0</v>
      </c>
      <c r="N23" s="312">
        <f t="shared" ref="N23:N24" si="17">$H23*K23</f>
        <v>101066.41722749546</v>
      </c>
    </row>
    <row r="24" spans="1:28" ht="15" x14ac:dyDescent="0.25">
      <c r="A24" s="218" t="s">
        <v>673</v>
      </c>
      <c r="B24" s="215">
        <v>10019</v>
      </c>
      <c r="C24" s="218" t="s">
        <v>674</v>
      </c>
      <c r="D24" s="311">
        <v>85705.3</v>
      </c>
      <c r="E24" s="293">
        <f>8202.42/D24</f>
        <v>9.5704933067149875E-2</v>
      </c>
      <c r="F24" s="294">
        <f>D24*E24</f>
        <v>8202.42</v>
      </c>
      <c r="G24" s="309">
        <f>D24/$D$25</f>
        <v>0.10577710944711366</v>
      </c>
      <c r="H24" s="311">
        <f t="shared" ref="H24" si="18">G24*$H$2</f>
        <v>321944.90274698631</v>
      </c>
      <c r="I24" s="296"/>
      <c r="J24" s="297">
        <f>1-K24</f>
        <v>0.74805525445917587</v>
      </c>
      <c r="K24" s="297">
        <f>D49/D24</f>
        <v>0.25194474554082419</v>
      </c>
      <c r="L24" s="291" t="s">
        <v>737</v>
      </c>
      <c r="M24" s="311">
        <f t="shared" si="16"/>
        <v>240832.57614623147</v>
      </c>
      <c r="N24" s="311">
        <f t="shared" si="17"/>
        <v>81112.326600754852</v>
      </c>
    </row>
    <row r="25" spans="1:28" ht="15" x14ac:dyDescent="0.2">
      <c r="D25" s="337">
        <f>SUM(D6:D24)</f>
        <v>810244.3</v>
      </c>
      <c r="E25" s="298"/>
      <c r="F25" s="301">
        <f>SUM(F6:F24)</f>
        <v>67424.97</v>
      </c>
      <c r="G25" s="332">
        <f>SUM(G6:G24)</f>
        <v>0.99999999999999978</v>
      </c>
      <c r="H25" s="337">
        <f>SUM(H6:H24)</f>
        <v>3043615.9999999995</v>
      </c>
      <c r="I25" s="303"/>
      <c r="J25" s="298"/>
      <c r="K25" s="298"/>
      <c r="L25" s="291"/>
      <c r="M25" s="337">
        <f>SUM(M6:M24)</f>
        <v>2367723.3994185594</v>
      </c>
      <c r="N25" s="337">
        <f>SUM(N6:N24)</f>
        <v>675892.60058144038</v>
      </c>
      <c r="O25" s="268">
        <f>H25-M25-N25</f>
        <v>0</v>
      </c>
    </row>
    <row r="26" spans="1:28" ht="15" x14ac:dyDescent="0.2">
      <c r="D26" s="303"/>
      <c r="E26" s="298"/>
      <c r="F26" s="301"/>
      <c r="G26" s="302"/>
      <c r="H26" s="303"/>
      <c r="I26" s="303"/>
      <c r="J26" s="298"/>
      <c r="K26" s="298"/>
      <c r="L26" s="291"/>
      <c r="M26" s="339">
        <f>M25/$H$25</f>
        <v>0.77793105287216247</v>
      </c>
      <c r="N26" s="339">
        <f>N25/$H$25</f>
        <v>0.22206894712783756</v>
      </c>
    </row>
    <row r="27" spans="1:28" ht="15" x14ac:dyDescent="0.2">
      <c r="D27" s="303"/>
      <c r="E27" s="298"/>
      <c r="F27" s="301"/>
      <c r="G27" s="302"/>
      <c r="H27" s="303"/>
      <c r="I27" s="303"/>
      <c r="J27" s="298"/>
      <c r="K27" s="298"/>
      <c r="L27" s="291"/>
      <c r="M27" s="291"/>
      <c r="N27" s="291"/>
    </row>
    <row r="28" spans="1:28" ht="15" x14ac:dyDescent="0.2">
      <c r="D28" s="303"/>
      <c r="E28" s="298"/>
      <c r="F28" s="301"/>
      <c r="G28" s="302"/>
      <c r="H28" s="303"/>
      <c r="I28" s="303"/>
      <c r="J28" s="298"/>
      <c r="K28" s="298"/>
      <c r="L28" s="291"/>
      <c r="M28" s="291"/>
      <c r="N28" s="291"/>
    </row>
    <row r="29" spans="1:28" ht="15" x14ac:dyDescent="0.2">
      <c r="D29" s="303"/>
      <c r="E29" s="298"/>
      <c r="F29" s="301"/>
      <c r="G29" s="302"/>
      <c r="H29" s="303"/>
      <c r="I29" s="303"/>
      <c r="J29" s="298"/>
      <c r="K29" s="298"/>
      <c r="L29" s="291"/>
      <c r="M29" s="291"/>
      <c r="N29" s="291"/>
    </row>
    <row r="30" spans="1:28" ht="15" x14ac:dyDescent="0.25">
      <c r="A30" s="325" t="s">
        <v>727</v>
      </c>
      <c r="D30" s="303"/>
      <c r="E30" s="298"/>
      <c r="F30" s="301"/>
      <c r="G30" s="302"/>
      <c r="H30" s="308">
        <f>K59</f>
        <v>10656384</v>
      </c>
      <c r="I30" s="303"/>
      <c r="J30" s="298"/>
      <c r="K30" s="298"/>
      <c r="L30" s="291"/>
      <c r="M30" s="291"/>
      <c r="N30" s="291"/>
      <c r="P30" s="528">
        <v>2032</v>
      </c>
      <c r="Q30" s="528">
        <v>2031</v>
      </c>
    </row>
    <row r="31" spans="1:28" ht="15" x14ac:dyDescent="0.25">
      <c r="A31" s="313" t="s">
        <v>663</v>
      </c>
      <c r="B31" s="314">
        <v>10068</v>
      </c>
      <c r="C31" s="313" t="s">
        <v>714</v>
      </c>
      <c r="D31" s="315"/>
      <c r="E31" s="316" t="e">
        <f>27150.48/D31</f>
        <v>#DIV/0!</v>
      </c>
      <c r="F31" s="317" t="e">
        <f>D31*E31</f>
        <v>#DIV/0!</v>
      </c>
      <c r="G31" s="318"/>
      <c r="H31" s="319"/>
      <c r="I31" s="319"/>
      <c r="J31" s="320"/>
      <c r="K31" s="320"/>
      <c r="L31" s="321"/>
      <c r="M31" s="321"/>
      <c r="N31" s="321"/>
      <c r="O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</row>
    <row r="32" spans="1:28" ht="15" x14ac:dyDescent="0.25">
      <c r="A32" s="218"/>
      <c r="B32" s="215"/>
      <c r="C32" s="326" t="s">
        <v>719</v>
      </c>
      <c r="D32" s="330">
        <v>39191.4</v>
      </c>
      <c r="E32" s="293"/>
      <c r="F32" s="294"/>
      <c r="G32" s="310">
        <f>D32/$D$51</f>
        <v>0.2750700284044052</v>
      </c>
      <c r="H32" s="312">
        <f>G32*$H$30</f>
        <v>2931251.8495682492</v>
      </c>
      <c r="I32" s="310"/>
      <c r="J32" s="297">
        <v>0</v>
      </c>
      <c r="K32" s="297">
        <v>1</v>
      </c>
      <c r="L32" s="291" t="s">
        <v>724</v>
      </c>
      <c r="M32" s="312">
        <f t="shared" ref="M32" si="19">$H32*J32</f>
        <v>0</v>
      </c>
      <c r="N32" s="312">
        <f t="shared" ref="N32" si="20">$H32*K32</f>
        <v>2931251.8495682492</v>
      </c>
    </row>
    <row r="33" spans="1:17" ht="15" x14ac:dyDescent="0.2">
      <c r="D33" s="303"/>
      <c r="E33" s="298"/>
      <c r="F33" s="301"/>
      <c r="G33" s="302"/>
      <c r="H33" s="303"/>
      <c r="I33" s="303"/>
      <c r="J33" s="298"/>
      <c r="K33" s="298"/>
      <c r="L33" s="291"/>
      <c r="M33" s="291"/>
      <c r="N33" s="291"/>
    </row>
    <row r="34" spans="1:17" ht="15" x14ac:dyDescent="0.25">
      <c r="A34" s="218" t="s">
        <v>664</v>
      </c>
      <c r="B34" s="215">
        <v>10022</v>
      </c>
      <c r="C34" s="218" t="s">
        <v>713</v>
      </c>
      <c r="D34" s="330"/>
      <c r="E34" s="293" t="e">
        <f>11732.63/D34</f>
        <v>#DIV/0!</v>
      </c>
      <c r="F34" s="294" t="e">
        <f>D34*E34</f>
        <v>#DIV/0!</v>
      </c>
      <c r="G34" s="310"/>
      <c r="H34" s="312"/>
      <c r="I34" s="312"/>
      <c r="J34" s="297"/>
      <c r="K34" s="298"/>
      <c r="L34" s="291"/>
      <c r="M34" s="291"/>
      <c r="N34" s="291"/>
      <c r="P34" s="529">
        <f>+SUM(M35:M37)/SUM($M35:$M37,$N35:$N37)</f>
        <v>0.48625411865945001</v>
      </c>
      <c r="Q34" s="529">
        <f>+SUM(N35:N37)/SUM($M35:$M37,$N35:$N37)</f>
        <v>0.51374588134054999</v>
      </c>
    </row>
    <row r="35" spans="1:17" ht="15" x14ac:dyDescent="0.25">
      <c r="A35" s="218"/>
      <c r="B35" s="215"/>
      <c r="C35" s="326" t="s">
        <v>712</v>
      </c>
      <c r="D35" s="330">
        <v>16443.7</v>
      </c>
      <c r="E35" s="293" t="e">
        <f>E34</f>
        <v>#DIV/0!</v>
      </c>
      <c r="F35" s="294" t="e">
        <f>D35*E35</f>
        <v>#DIV/0!</v>
      </c>
      <c r="G35" s="310">
        <f t="shared" ref="G35:G37" si="21">D35/$D$51</f>
        <v>0.11541228499297085</v>
      </c>
      <c r="H35" s="312">
        <f t="shared" ref="H35:H37" si="22">G35*$H$30</f>
        <v>1229877.6272025346</v>
      </c>
      <c r="I35" s="294"/>
      <c r="J35" s="297">
        <v>0.5</v>
      </c>
      <c r="K35" s="297">
        <v>0.5</v>
      </c>
      <c r="L35" s="291"/>
      <c r="M35" s="312">
        <f t="shared" ref="M35:M37" si="23">$H35*J35</f>
        <v>614938.81360126729</v>
      </c>
      <c r="N35" s="312">
        <f t="shared" ref="N35:N37" si="24">$H35*K35</f>
        <v>614938.81360126729</v>
      </c>
      <c r="P35" s="529">
        <f>+M35/($M35+$N35)</f>
        <v>0.5</v>
      </c>
      <c r="Q35" s="529">
        <f>+N35/($M35+$N35)</f>
        <v>0.5</v>
      </c>
    </row>
    <row r="36" spans="1:17" ht="38.25" x14ac:dyDescent="0.25">
      <c r="A36" s="218"/>
      <c r="B36" s="215"/>
      <c r="C36" s="326" t="s">
        <v>666</v>
      </c>
      <c r="D36" s="330">
        <v>2215.9</v>
      </c>
      <c r="E36" s="293" t="e">
        <f>E34</f>
        <v>#DIV/0!</v>
      </c>
      <c r="F36" s="294" t="e">
        <f>D36*E36</f>
        <v>#DIV/0!</v>
      </c>
      <c r="G36" s="310">
        <f t="shared" si="21"/>
        <v>1.5552587453913906E-2</v>
      </c>
      <c r="H36" s="312">
        <f t="shared" si="22"/>
        <v>165734.34410248889</v>
      </c>
      <c r="I36" s="294"/>
      <c r="J36" s="297">
        <f>+('[32]2031 IS (C)'!$AN$21+1)/2</f>
        <v>0.74149512961571273</v>
      </c>
      <c r="K36" s="297">
        <f>('[32]2031 IS (C)'!$AN$20/2)</f>
        <v>0.25850487038428721</v>
      </c>
      <c r="L36" s="338" t="s">
        <v>735</v>
      </c>
      <c r="M36" s="312">
        <f t="shared" si="23"/>
        <v>122891.20896205014</v>
      </c>
      <c r="N36" s="312">
        <f t="shared" si="24"/>
        <v>42843.135140438746</v>
      </c>
      <c r="P36" s="529">
        <f>+M36/($M36+$N36)</f>
        <v>0.74149512961571273</v>
      </c>
      <c r="Q36" s="529">
        <f>+N36/($M36+$N36)</f>
        <v>0.25850487038428721</v>
      </c>
    </row>
    <row r="37" spans="1:17" ht="15" x14ac:dyDescent="0.25">
      <c r="A37" s="218"/>
      <c r="B37" s="215"/>
      <c r="C37" s="326" t="s">
        <v>720</v>
      </c>
      <c r="D37" s="330">
        <v>1628</v>
      </c>
      <c r="E37" s="293"/>
      <c r="F37" s="294"/>
      <c r="G37" s="310">
        <f t="shared" si="21"/>
        <v>1.1426333487509292E-2</v>
      </c>
      <c r="H37" s="312">
        <f t="shared" si="22"/>
        <v>121763.39735495822</v>
      </c>
      <c r="I37" s="294"/>
      <c r="J37" s="297">
        <v>0</v>
      </c>
      <c r="K37" s="297">
        <v>1</v>
      </c>
      <c r="L37" s="291"/>
      <c r="M37" s="312">
        <f t="shared" si="23"/>
        <v>0</v>
      </c>
      <c r="N37" s="312">
        <f t="shared" si="24"/>
        <v>121763.39735495822</v>
      </c>
      <c r="P37" s="529"/>
      <c r="Q37" s="529"/>
    </row>
    <row r="38" spans="1:17" ht="15" x14ac:dyDescent="0.25">
      <c r="A38" s="218"/>
      <c r="B38" s="215"/>
      <c r="C38" s="326"/>
      <c r="D38" s="327"/>
      <c r="E38" s="293"/>
      <c r="F38" s="294"/>
      <c r="G38" s="328"/>
      <c r="H38" s="294"/>
      <c r="I38" s="294"/>
      <c r="J38" s="297"/>
      <c r="K38" s="298"/>
      <c r="L38" s="291"/>
      <c r="M38" s="292"/>
      <c r="N38" s="291"/>
    </row>
    <row r="39" spans="1:17" ht="15" x14ac:dyDescent="0.25">
      <c r="A39" s="218" t="s">
        <v>667</v>
      </c>
      <c r="B39" s="215">
        <v>10016</v>
      </c>
      <c r="C39" s="218" t="s">
        <v>668</v>
      </c>
      <c r="D39" s="330"/>
      <c r="E39" s="293" t="e">
        <f>9144.85/D39</f>
        <v>#DIV/0!</v>
      </c>
      <c r="F39" s="294" t="e">
        <f>D39*E39</f>
        <v>#DIV/0!</v>
      </c>
      <c r="G39" s="310"/>
      <c r="H39" s="312"/>
      <c r="I39" s="312"/>
      <c r="J39" s="297"/>
      <c r="K39" s="298"/>
      <c r="L39" s="291"/>
      <c r="M39" s="291"/>
      <c r="N39" s="291"/>
    </row>
    <row r="40" spans="1:17" ht="15" x14ac:dyDescent="0.25">
      <c r="A40" s="218"/>
      <c r="B40" s="215"/>
      <c r="C40" s="329" t="s">
        <v>730</v>
      </c>
      <c r="D40" s="330">
        <v>1517</v>
      </c>
      <c r="E40" s="299"/>
      <c r="F40" s="294"/>
      <c r="G40" s="310">
        <f t="shared" ref="G40:G41" si="25">D40/$D$51</f>
        <v>1.0647265295179112E-2</v>
      </c>
      <c r="H40" s="312">
        <f t="shared" ref="H40:H41" si="26">G40*$H$30</f>
        <v>113461.34753530196</v>
      </c>
      <c r="I40" s="294"/>
      <c r="J40" s="297">
        <f>+'[33]Allocators (C)'!$C$79+'[33]Allocators (C)'!$D$79</f>
        <v>0</v>
      </c>
      <c r="K40" s="297">
        <f>+'[33]Allocators (C)'!$E$79</f>
        <v>1</v>
      </c>
      <c r="L40" s="291" t="s">
        <v>731</v>
      </c>
      <c r="M40" s="312">
        <f t="shared" ref="M40:M41" si="27">$H40*J40</f>
        <v>0</v>
      </c>
      <c r="N40" s="312">
        <f t="shared" ref="N40:N41" si="28">$H40*K40</f>
        <v>113461.34753530196</v>
      </c>
      <c r="P40" s="529">
        <f>+M40/($M$40+$N$40)</f>
        <v>0</v>
      </c>
      <c r="Q40" s="529">
        <f>+N40/($M$40+$N$40)</f>
        <v>1</v>
      </c>
    </row>
    <row r="41" spans="1:17" ht="15" x14ac:dyDescent="0.25">
      <c r="A41" s="218"/>
      <c r="B41" s="215"/>
      <c r="C41" s="329" t="s">
        <v>669</v>
      </c>
      <c r="D41" s="330">
        <v>15274</v>
      </c>
      <c r="E41" s="299"/>
      <c r="F41" s="294"/>
      <c r="G41" s="310">
        <f t="shared" si="25"/>
        <v>0.10720259071757796</v>
      </c>
      <c r="H41" s="312">
        <f t="shared" si="26"/>
        <v>1142391.9724813462</v>
      </c>
      <c r="I41" s="294"/>
      <c r="J41" s="297">
        <f>+'[33]Allocators (C)'!$C$79+'[33]Allocators (C)'!$D$79</f>
        <v>0</v>
      </c>
      <c r="K41" s="297">
        <f>+'[33]Allocators (C)'!$E$79</f>
        <v>1</v>
      </c>
      <c r="L41" s="291" t="s">
        <v>731</v>
      </c>
      <c r="M41" s="312">
        <f t="shared" si="27"/>
        <v>0</v>
      </c>
      <c r="N41" s="312">
        <f t="shared" si="28"/>
        <v>1142391.9724813462</v>
      </c>
      <c r="P41" s="529">
        <f>+M41/($M$41+$N$41)</f>
        <v>0</v>
      </c>
      <c r="Q41" s="529">
        <f>+N41/($M$41+$N$41)</f>
        <v>1</v>
      </c>
    </row>
    <row r="42" spans="1:17" ht="15" x14ac:dyDescent="0.25">
      <c r="A42" s="218"/>
      <c r="B42" s="215"/>
      <c r="C42" s="329"/>
      <c r="D42" s="327"/>
      <c r="E42" s="299"/>
      <c r="F42" s="294"/>
      <c r="G42" s="294"/>
      <c r="H42" s="294"/>
      <c r="I42" s="294"/>
      <c r="J42" s="297"/>
      <c r="K42" s="298"/>
      <c r="L42" s="291"/>
      <c r="M42" s="291"/>
      <c r="N42" s="291"/>
    </row>
    <row r="43" spans="1:17" ht="15" x14ac:dyDescent="0.25">
      <c r="A43" s="218" t="s">
        <v>670</v>
      </c>
      <c r="B43" s="215">
        <v>10021</v>
      </c>
      <c r="C43" s="218" t="s">
        <v>671</v>
      </c>
      <c r="D43" s="330"/>
      <c r="E43" s="293" t="e">
        <f>8338.26/D43</f>
        <v>#DIV/0!</v>
      </c>
      <c r="F43" s="294" t="e">
        <f>D43*E43</f>
        <v>#DIV/0!</v>
      </c>
      <c r="G43" s="310"/>
      <c r="H43" s="312"/>
      <c r="I43" s="312"/>
      <c r="J43" s="297"/>
      <c r="K43" s="298"/>
      <c r="L43" s="291"/>
      <c r="M43" s="291"/>
      <c r="N43" s="291"/>
    </row>
    <row r="44" spans="1:17" ht="15" x14ac:dyDescent="0.25">
      <c r="A44" s="218"/>
      <c r="B44" s="215"/>
      <c r="C44" s="305" t="s">
        <v>721</v>
      </c>
      <c r="D44" s="330">
        <v>23893</v>
      </c>
      <c r="E44" s="293"/>
      <c r="F44" s="294"/>
      <c r="G44" s="310">
        <f>D44/$D$51</f>
        <v>0.16769618305716186</v>
      </c>
      <c r="H44" s="312">
        <f>G44*$H$30</f>
        <v>1787034.9219914107</v>
      </c>
      <c r="I44" s="310"/>
      <c r="J44" s="297">
        <v>0</v>
      </c>
      <c r="K44" s="297">
        <v>1</v>
      </c>
      <c r="L44" s="291"/>
      <c r="M44" s="312">
        <f t="shared" ref="M44" si="29">$H44*J44</f>
        <v>0</v>
      </c>
      <c r="N44" s="312">
        <f t="shared" ref="N44" si="30">$H44*K44</f>
        <v>1787034.9219914107</v>
      </c>
    </row>
    <row r="45" spans="1:17" ht="15" x14ac:dyDescent="0.25">
      <c r="A45" s="218"/>
      <c r="B45" s="215"/>
      <c r="C45" s="305"/>
      <c r="D45" s="304"/>
      <c r="E45" s="293"/>
      <c r="F45" s="294"/>
      <c r="G45" s="295"/>
      <c r="H45" s="295"/>
      <c r="I45" s="295"/>
      <c r="J45" s="297"/>
      <c r="K45" s="298"/>
      <c r="L45" s="291"/>
      <c r="M45" s="291"/>
      <c r="N45" s="291"/>
    </row>
    <row r="46" spans="1:17" ht="15" x14ac:dyDescent="0.25">
      <c r="A46" s="218" t="s">
        <v>664</v>
      </c>
      <c r="B46" s="215">
        <v>10023</v>
      </c>
      <c r="C46" s="218" t="s">
        <v>672</v>
      </c>
      <c r="D46" s="304"/>
      <c r="E46" s="293" t="e">
        <f>648.55/D46</f>
        <v>#DIV/0!</v>
      </c>
      <c r="F46" s="294" t="e">
        <f>D46*E46</f>
        <v>#DIV/0!</v>
      </c>
      <c r="G46" s="295"/>
      <c r="H46" s="296"/>
      <c r="I46" s="296"/>
      <c r="J46" s="297"/>
      <c r="K46" s="298"/>
      <c r="L46" s="291"/>
      <c r="M46" s="291"/>
      <c r="N46" s="291"/>
    </row>
    <row r="47" spans="1:17" ht="15" x14ac:dyDescent="0.25">
      <c r="A47" s="218"/>
      <c r="B47" s="215"/>
      <c r="C47" s="305" t="s">
        <v>722</v>
      </c>
      <c r="D47" s="304">
        <v>17229</v>
      </c>
      <c r="E47" s="293"/>
      <c r="F47" s="294"/>
      <c r="G47" s="310">
        <f>D47/$D$51</f>
        <v>0.12092401698789777</v>
      </c>
      <c r="H47" s="312">
        <f>G47*$H$30</f>
        <v>1288612.759845562</v>
      </c>
      <c r="I47" s="296"/>
      <c r="J47" s="297">
        <v>0</v>
      </c>
      <c r="K47" s="297">
        <v>1</v>
      </c>
      <c r="L47" s="291"/>
      <c r="M47" s="312">
        <f t="shared" ref="M47" si="31">$H47*J47</f>
        <v>0</v>
      </c>
      <c r="N47" s="312">
        <f t="shared" ref="N47" si="32">$H47*K47</f>
        <v>1288612.759845562</v>
      </c>
    </row>
    <row r="48" spans="1:17" ht="15" x14ac:dyDescent="0.25">
      <c r="A48" s="218" t="s">
        <v>673</v>
      </c>
      <c r="B48" s="215">
        <v>10019</v>
      </c>
      <c r="C48" s="218" t="s">
        <v>674</v>
      </c>
      <c r="D48" s="304"/>
      <c r="E48" s="293" t="e">
        <f>8202.42/D48</f>
        <v>#DIV/0!</v>
      </c>
      <c r="F48" s="294" t="e">
        <f>D48*E48</f>
        <v>#DIV/0!</v>
      </c>
      <c r="G48" s="295"/>
      <c r="H48" s="296"/>
      <c r="I48" s="296"/>
      <c r="J48" s="297"/>
      <c r="K48" s="298"/>
      <c r="L48" s="291"/>
      <c r="M48" s="291"/>
      <c r="N48" s="291"/>
    </row>
    <row r="49" spans="1:28" ht="15" x14ac:dyDescent="0.25">
      <c r="A49" s="218"/>
      <c r="B49" s="215"/>
      <c r="C49" s="305" t="s">
        <v>723</v>
      </c>
      <c r="D49" s="304">
        <v>21593</v>
      </c>
      <c r="E49" s="293"/>
      <c r="F49" s="294"/>
      <c r="G49" s="310">
        <f t="shared" ref="G49:G50" si="33">D49/$D$51</f>
        <v>0.15155332862149148</v>
      </c>
      <c r="H49" s="312">
        <f t="shared" ref="H49:H50" si="34">G49*$H$30</f>
        <v>1615010.4662688039</v>
      </c>
      <c r="I49" s="296"/>
      <c r="J49" s="297">
        <v>0</v>
      </c>
      <c r="K49" s="297">
        <v>1</v>
      </c>
      <c r="L49" s="291"/>
      <c r="M49" s="312">
        <f t="shared" ref="M49:M50" si="35">$H49*J49</f>
        <v>0</v>
      </c>
      <c r="N49" s="312">
        <f t="shared" ref="N49:N50" si="36">$H49*K49</f>
        <v>1615010.4662688039</v>
      </c>
    </row>
    <row r="50" spans="1:28" ht="15" x14ac:dyDescent="0.25">
      <c r="A50" s="215"/>
      <c r="B50" s="215"/>
      <c r="C50" s="307" t="s">
        <v>675</v>
      </c>
      <c r="D50" s="306">
        <v>3492.9</v>
      </c>
      <c r="E50" s="299"/>
      <c r="F50" s="300"/>
      <c r="G50" s="309">
        <f t="shared" si="33"/>
        <v>2.4515380981892633E-2</v>
      </c>
      <c r="H50" s="306">
        <f t="shared" si="34"/>
        <v>261245.31364934496</v>
      </c>
      <c r="I50" s="294"/>
      <c r="J50" s="297">
        <f>+'[33]Allocators (C)'!$C$79+'[33]Allocators (C)'!$D$79</f>
        <v>0</v>
      </c>
      <c r="K50" s="297">
        <f>+'[33]Allocators (C)'!$E$79</f>
        <v>1</v>
      </c>
      <c r="L50" s="291" t="s">
        <v>731</v>
      </c>
      <c r="M50" s="311">
        <f t="shared" si="35"/>
        <v>0</v>
      </c>
      <c r="N50" s="311">
        <f t="shared" si="36"/>
        <v>261245.31364934496</v>
      </c>
    </row>
    <row r="51" spans="1:28" ht="15" x14ac:dyDescent="0.2">
      <c r="D51" s="337">
        <f>SUM(D31:D50)</f>
        <v>142477.9</v>
      </c>
      <c r="E51" s="333"/>
      <c r="F51" s="334"/>
      <c r="G51" s="335">
        <f>SUM(G31:G50)</f>
        <v>1</v>
      </c>
      <c r="H51" s="337">
        <f>SUM(H31:H50)</f>
        <v>10656384</v>
      </c>
      <c r="I51" s="303"/>
      <c r="J51" s="298"/>
      <c r="K51" s="298"/>
      <c r="L51" s="291"/>
      <c r="M51" s="337">
        <f t="shared" ref="M51:N51" si="37">SUM(M31:M50)</f>
        <v>737830.02256331744</v>
      </c>
      <c r="N51" s="337">
        <f t="shared" si="37"/>
        <v>9918553.9774366841</v>
      </c>
      <c r="O51" s="268">
        <f>H51-M51-N51</f>
        <v>0</v>
      </c>
    </row>
    <row r="52" spans="1:28" ht="15" x14ac:dyDescent="0.2">
      <c r="D52" s="303"/>
      <c r="E52" s="298"/>
      <c r="F52" s="301"/>
      <c r="G52" s="302"/>
      <c r="H52" s="303"/>
      <c r="I52" s="303"/>
      <c r="J52" s="298"/>
      <c r="K52" s="298"/>
      <c r="L52" s="291"/>
      <c r="M52" s="527">
        <f>+(M51/($M$51+$N$51))</f>
        <v>6.9238310346485005E-2</v>
      </c>
      <c r="N52" s="527">
        <f>+(N51/($M$51+$N$51))</f>
        <v>0.93076168965351491</v>
      </c>
    </row>
    <row r="53" spans="1:28" ht="15" x14ac:dyDescent="0.2">
      <c r="D53" s="303"/>
      <c r="E53" s="298"/>
      <c r="F53" s="301"/>
      <c r="G53" s="302"/>
      <c r="H53" s="303"/>
      <c r="I53" s="303"/>
      <c r="J53" s="298"/>
      <c r="K53" s="298"/>
      <c r="L53" s="291"/>
      <c r="M53" s="291"/>
      <c r="N53" s="291"/>
    </row>
    <row r="54" spans="1:28" ht="15" x14ac:dyDescent="0.2">
      <c r="D54" s="303"/>
      <c r="E54" s="298"/>
      <c r="F54" s="301"/>
      <c r="G54" s="302"/>
      <c r="H54" s="303"/>
      <c r="I54" s="303"/>
      <c r="J54" s="298"/>
      <c r="K54" s="298"/>
      <c r="L54" s="291"/>
      <c r="M54" s="527">
        <f>+(M25+M51)/SUM($M$25:$N$25,$M$51:$N$51)</f>
        <v>0.22668273153152382</v>
      </c>
      <c r="N54" s="527">
        <f>+(N25+N51)/SUM($M$25:$N$25,$M$51:$N$51)</f>
        <v>0.77331726846847615</v>
      </c>
    </row>
    <row r="55" spans="1:28" ht="15" x14ac:dyDescent="0.2">
      <c r="D55" s="303"/>
      <c r="E55" s="298"/>
      <c r="F55" s="301"/>
      <c r="G55" s="302"/>
      <c r="H55" s="303"/>
      <c r="I55" s="303"/>
      <c r="J55" s="298"/>
      <c r="K55" s="298"/>
      <c r="L55" s="291"/>
      <c r="M55" s="291"/>
      <c r="N55" s="291"/>
    </row>
    <row r="56" spans="1:28" x14ac:dyDescent="0.2">
      <c r="E56" s="291"/>
      <c r="F56" s="291"/>
      <c r="G56" s="291"/>
      <c r="H56" s="292">
        <f>H25-H2</f>
        <v>0</v>
      </c>
      <c r="I56" s="292"/>
      <c r="J56" s="291"/>
      <c r="K56" s="291"/>
      <c r="L56" s="291"/>
      <c r="M56" s="291"/>
      <c r="N56" s="291"/>
    </row>
    <row r="57" spans="1:28" ht="60.75" thickBot="1" x14ac:dyDescent="0.3">
      <c r="A57" s="222" t="s">
        <v>709</v>
      </c>
      <c r="B57" s="222" t="s">
        <v>710</v>
      </c>
      <c r="C57" s="222" t="s">
        <v>711</v>
      </c>
      <c r="D57" s="222" t="s">
        <v>678</v>
      </c>
      <c r="E57" s="222" t="s">
        <v>679</v>
      </c>
      <c r="F57" s="222" t="s">
        <v>680</v>
      </c>
      <c r="G57" s="222" t="s">
        <v>681</v>
      </c>
      <c r="H57" s="222" t="s">
        <v>682</v>
      </c>
      <c r="I57" s="222"/>
      <c r="J57" s="222" t="s">
        <v>683</v>
      </c>
      <c r="K57" s="222" t="s">
        <v>285</v>
      </c>
      <c r="L57" s="222" t="s">
        <v>684</v>
      </c>
      <c r="M57" s="222" t="s">
        <v>685</v>
      </c>
      <c r="N57" s="222" t="s">
        <v>686</v>
      </c>
      <c r="O57" s="223" t="s">
        <v>687</v>
      </c>
      <c r="P57" s="222" t="s">
        <v>688</v>
      </c>
      <c r="Q57" s="222" t="s">
        <v>689</v>
      </c>
      <c r="R57" s="222" t="s">
        <v>690</v>
      </c>
      <c r="S57" s="222" t="s">
        <v>691</v>
      </c>
      <c r="T57" s="222" t="s">
        <v>692</v>
      </c>
      <c r="U57" s="222" t="s">
        <v>693</v>
      </c>
      <c r="V57" s="222" t="s">
        <v>694</v>
      </c>
      <c r="W57" s="222" t="s">
        <v>695</v>
      </c>
      <c r="X57" s="222" t="s">
        <v>696</v>
      </c>
      <c r="Y57" s="222" t="s">
        <v>697</v>
      </c>
      <c r="Z57" s="222" t="s">
        <v>698</v>
      </c>
      <c r="AA57" s="222" t="s">
        <v>699</v>
      </c>
      <c r="AB57" s="222" t="s">
        <v>700</v>
      </c>
    </row>
    <row r="58" spans="1:28" ht="15" x14ac:dyDescent="0.25">
      <c r="A58" s="224">
        <v>2032</v>
      </c>
      <c r="B58" s="225">
        <v>234496</v>
      </c>
      <c r="C58" s="224" t="s">
        <v>701</v>
      </c>
      <c r="D58" s="226" t="s">
        <v>702</v>
      </c>
      <c r="E58" s="224"/>
      <c r="F58" s="227">
        <v>43997</v>
      </c>
      <c r="G58" s="227">
        <v>43997</v>
      </c>
      <c r="H58" s="226"/>
      <c r="I58" s="226"/>
      <c r="J58" s="224">
        <v>14000</v>
      </c>
      <c r="K58" s="228">
        <v>3043616</v>
      </c>
      <c r="L58" s="224">
        <v>0</v>
      </c>
      <c r="M58" s="228">
        <v>0</v>
      </c>
      <c r="N58" s="228">
        <f t="shared" ref="N58:N59" si="38">K58-M58</f>
        <v>3043616</v>
      </c>
      <c r="O58" s="229">
        <v>0</v>
      </c>
      <c r="P58" s="224">
        <v>0</v>
      </c>
      <c r="Q58" s="228">
        <v>0</v>
      </c>
      <c r="R58" s="226" t="s">
        <v>703</v>
      </c>
      <c r="S58" s="226" t="s">
        <v>704</v>
      </c>
      <c r="T58" s="226"/>
      <c r="U58" s="226"/>
      <c r="V58" s="226" t="s">
        <v>705</v>
      </c>
      <c r="W58" s="226" t="s">
        <v>703</v>
      </c>
      <c r="X58" s="224" t="s">
        <v>706</v>
      </c>
      <c r="Y58" s="226"/>
      <c r="Z58" s="224" t="s">
        <v>707</v>
      </c>
      <c r="AA58" s="226">
        <v>0</v>
      </c>
      <c r="AB58" s="226">
        <v>0</v>
      </c>
    </row>
    <row r="59" spans="1:28" ht="15" x14ac:dyDescent="0.25">
      <c r="A59" s="224">
        <v>2032</v>
      </c>
      <c r="B59" s="225">
        <v>234495</v>
      </c>
      <c r="C59" s="224" t="s">
        <v>701</v>
      </c>
      <c r="D59" s="226" t="s">
        <v>708</v>
      </c>
      <c r="E59" s="224"/>
      <c r="F59" s="227">
        <v>43997</v>
      </c>
      <c r="G59" s="227">
        <v>43997</v>
      </c>
      <c r="H59" s="226"/>
      <c r="I59" s="226"/>
      <c r="J59" s="224">
        <v>14080</v>
      </c>
      <c r="K59" s="228">
        <v>10656384</v>
      </c>
      <c r="L59" s="224">
        <v>14086</v>
      </c>
      <c r="M59" s="228">
        <v>666024</v>
      </c>
      <c r="N59" s="228">
        <f t="shared" si="38"/>
        <v>9990360</v>
      </c>
      <c r="O59" s="229">
        <v>355212.79999999999</v>
      </c>
      <c r="P59" s="224">
        <v>57260</v>
      </c>
      <c r="Q59" s="228">
        <v>44401.599999999999</v>
      </c>
      <c r="R59" s="226" t="s">
        <v>703</v>
      </c>
      <c r="S59" s="226" t="s">
        <v>704</v>
      </c>
      <c r="T59" s="226"/>
      <c r="U59" s="226"/>
      <c r="V59" s="226" t="s">
        <v>705</v>
      </c>
      <c r="W59" s="226" t="s">
        <v>703</v>
      </c>
      <c r="X59" s="224" t="s">
        <v>351</v>
      </c>
      <c r="Y59" s="226"/>
      <c r="Z59" s="224" t="s">
        <v>707</v>
      </c>
      <c r="AA59" s="226">
        <v>0</v>
      </c>
      <c r="AB59" s="226">
        <v>0</v>
      </c>
    </row>
  </sheetData>
  <pageMargins left="0.7" right="0.7" top="0.75" bottom="0.75" header="0.3" footer="0.3"/>
  <pageSetup scale="49" pageOrder="overThenDown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0A84D92D422D4E9EA4682D386F94DF" ma:contentTypeVersion="16" ma:contentTypeDescription="" ma:contentTypeScope="" ma:versionID="ffa3d93a63c7c9e4edc77369fccbed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2023-01-13T08:00:00+00:00</OpenedDate>
    <SignificantOrder xmlns="dc463f71-b30c-4ab2-9473-d307f9d35888">false</SignificantOrder>
    <Date1 xmlns="dc463f71-b30c-4ab2-9473-d307f9d35888">2023-01-13T08:00:00+00:00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CONTROL, INC.</CaseCompanyNames>
    <Nickname xmlns="http://schemas.microsoft.com/sharepoint/v3" xsi:nil="true"/>
    <DocketNumber xmlns="dc463f71-b30c-4ab2-9473-d307f9d35888">230032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F93AC9-1C67-4B6F-AB2C-544F8F24274A}"/>
</file>

<file path=customXml/itemProps2.xml><?xml version="1.0" encoding="utf-8"?>
<ds:datastoreItem xmlns:ds="http://schemas.openxmlformats.org/officeDocument/2006/customXml" ds:itemID="{A99D7DE5-9BF0-4FAF-8A1D-C24588436A0D}"/>
</file>

<file path=customXml/itemProps3.xml><?xml version="1.0" encoding="utf-8"?>
<ds:datastoreItem xmlns:ds="http://schemas.openxmlformats.org/officeDocument/2006/customXml" ds:itemID="{C3145411-0722-4941-A779-3276BF30AB4C}"/>
</file>

<file path=customXml/itemProps4.xml><?xml version="1.0" encoding="utf-8"?>
<ds:datastoreItem xmlns:ds="http://schemas.openxmlformats.org/officeDocument/2006/customXml" ds:itemID="{1E672242-21E3-4820-B806-403E01CC2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Depr Summary</vt:lpstr>
      <vt:lpstr>Post-Acquistion Dep Summary</vt:lpstr>
      <vt:lpstr>Bud Capital Input</vt:lpstr>
      <vt:lpstr>FAR 10.2022 Assets 2032</vt:lpstr>
      <vt:lpstr>Trks</vt:lpstr>
      <vt:lpstr>Cont, DB</vt:lpstr>
      <vt:lpstr>Shop,Serv</vt:lpstr>
      <vt:lpstr>Other</vt:lpstr>
      <vt:lpstr>Land Alloc</vt:lpstr>
      <vt:lpstr>Pre Acquisition</vt:lpstr>
      <vt:lpstr>'Bud Capital Input'!DetailBudYear</vt:lpstr>
      <vt:lpstr>'Bud Capital Input'!DetailDistrict</vt:lpstr>
      <vt:lpstr>PAGE_1</vt:lpstr>
      <vt:lpstr>'Bud Capital Input'!Print_Area</vt:lpstr>
      <vt:lpstr>'Cont, DB'!Print_Area</vt:lpstr>
      <vt:lpstr>'Depr Summary'!Print_Area</vt:lpstr>
      <vt:lpstr>Other!Print_Area</vt:lpstr>
      <vt:lpstr>'Pre Acquisition'!Print_Area</vt:lpstr>
      <vt:lpstr>'Shop,Serv'!Print_Area</vt:lpstr>
      <vt:lpstr>Trks!Print_Area</vt:lpstr>
      <vt:lpstr>Trks!Print_Area_MI</vt:lpstr>
      <vt:lpstr>'Bud Capital Input'!Print_Titles</vt:lpstr>
      <vt:lpstr>'Cont, DB'!Print_Titles</vt:lpstr>
      <vt:lpstr>'FAR 10.2022 Assets 2032'!Print_Titles</vt:lpstr>
      <vt:lpstr>Other!Print_Titles</vt:lpstr>
      <vt:lpstr>'Shop,Serv'!Print_Titles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WAC0252-Waste Control, Inc.</dc:title>
  <dc:creator>rpoole</dc:creator>
  <cp:lastModifiedBy>Lindsay Waldram</cp:lastModifiedBy>
  <dcterms:created xsi:type="dcterms:W3CDTF">2021-02-22T19:21:05Z</dcterms:created>
  <dcterms:modified xsi:type="dcterms:W3CDTF">2023-01-13T06:15:40Z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0x0101006E56B4D1795A2E4DB2F0B01679ED314A00580A84D92D422D4E9EA4682D386F94DF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