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F08400B-253E-4C7B-92ED-503AD0AC859D}" xr6:coauthVersionLast="47" xr6:coauthVersionMax="47" xr10:uidLastSave="{00000000-0000-0000-0000-000000000000}"/>
  <bookViews>
    <workbookView xWindow="20370" yWindow="-11055" windowWidth="16440" windowHeight="28440" tabRatio="883" xr2:uid="{00000000-000D-0000-FFFF-FFFF00000000}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externalReferences>
    <externalReference r:id="rId8"/>
  </externalReference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'!$A$1:$Y$36</definedName>
    <definedName name="_xlnm.Print_Area" localSheetId="6">'Pg 7 Reacquired Debt'!$A$1:$I$23</definedName>
    <definedName name="_xlnm.Print_Titles" localSheetId="6">'Pg 7 Reacquired Debt'!$1:$7</definedName>
    <definedName name="tblAmount">OFFSET([1]Amount_Data!$E$2,0,0,COUNTA([1]Amount_Data!$A:$A)-1-COUNTIF([1]Amount_Data!$A:$A,TODAY()),COUNTA([1]Amount_Data!$2:$2)-4)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1" l="1"/>
  <c r="A20" i="2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17" i="21"/>
  <c r="A18" i="21"/>
  <c r="A19" i="21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X6" i="7" l="1"/>
  <c r="O34" i="1" l="1"/>
  <c r="N34" i="1"/>
  <c r="M34" i="1"/>
  <c r="L34" i="1"/>
  <c r="K34" i="1"/>
  <c r="J34" i="1"/>
  <c r="I34" i="1"/>
  <c r="H34" i="1"/>
  <c r="G34" i="1"/>
  <c r="F34" i="1"/>
  <c r="E34" i="1"/>
  <c r="C34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21" i="7" l="1"/>
  <c r="H21" i="7"/>
  <c r="F22" i="7"/>
  <c r="H22" i="7"/>
  <c r="F6" i="7"/>
  <c r="I10" i="29"/>
  <c r="I9" i="29"/>
  <c r="A11" i="29"/>
  <c r="A14" i="29"/>
  <c r="A17" i="29"/>
  <c r="A20" i="29"/>
  <c r="I22" i="7" l="1"/>
  <c r="I21" i="7"/>
  <c r="X22" i="7"/>
  <c r="X21" i="7"/>
  <c r="Q20" i="1" l="1"/>
  <c r="Q12" i="1" l="1"/>
  <c r="Q7" i="1"/>
  <c r="E11" i="21" l="1"/>
  <c r="H6" i="7" l="1"/>
  <c r="G27" i="71" l="1"/>
  <c r="G31" i="71" l="1"/>
  <c r="F27" i="71"/>
  <c r="F31" i="71" l="1"/>
  <c r="J43" i="1"/>
  <c r="E16" i="2" l="1"/>
  <c r="C16" i="2"/>
  <c r="E13" i="2"/>
  <c r="D13" i="2" s="1"/>
  <c r="C13" i="2"/>
  <c r="Q9" i="1" l="1"/>
  <c r="O43" i="1"/>
  <c r="M43" i="1"/>
  <c r="E27" i="71"/>
  <c r="E31" i="71" s="1"/>
  <c r="C27" i="71"/>
  <c r="C31" i="71" s="1"/>
  <c r="C14" i="2"/>
  <c r="Q36" i="1"/>
  <c r="Q34" i="1"/>
  <c r="E38" i="1"/>
  <c r="D38" i="1"/>
  <c r="C38" i="1"/>
  <c r="B3" i="29"/>
  <c r="A2" i="7"/>
  <c r="B3" i="71"/>
  <c r="B3" i="21"/>
  <c r="B4" i="2"/>
  <c r="E26" i="21"/>
  <c r="G26" i="21"/>
  <c r="H26" i="21" s="1"/>
  <c r="J26" i="21" s="1"/>
  <c r="F13" i="21" s="1"/>
  <c r="E13" i="21"/>
  <c r="A14" i="21"/>
  <c r="A15" i="21" s="1"/>
  <c r="A16" i="21" s="1"/>
  <c r="V27" i="7"/>
  <c r="U27" i="7"/>
  <c r="T27" i="7"/>
  <c r="G27" i="21"/>
  <c r="H27" i="21" s="1"/>
  <c r="Q41" i="1"/>
  <c r="Q14" i="1"/>
  <c r="M38" i="1"/>
  <c r="N38" i="1"/>
  <c r="O38" i="1"/>
  <c r="O16" i="1"/>
  <c r="N16" i="1"/>
  <c r="M16" i="1"/>
  <c r="M10" i="1"/>
  <c r="N10" i="1"/>
  <c r="O10" i="1"/>
  <c r="Q8" i="1"/>
  <c r="D16" i="2"/>
  <c r="E15" i="21"/>
  <c r="E14" i="21"/>
  <c r="E12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T5" i="7"/>
  <c r="U5" i="7"/>
  <c r="V5" i="7"/>
  <c r="C16" i="1"/>
  <c r="D16" i="1"/>
  <c r="E16" i="1"/>
  <c r="F16" i="1"/>
  <c r="H16" i="1"/>
  <c r="I16" i="1"/>
  <c r="J16" i="1"/>
  <c r="L43" i="1"/>
  <c r="K43" i="1"/>
  <c r="L16" i="1"/>
  <c r="K16" i="1"/>
  <c r="Q42" i="1"/>
  <c r="I43" i="1"/>
  <c r="I38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L38" i="1"/>
  <c r="L10" i="1"/>
  <c r="E15" i="2"/>
  <c r="D15" i="2" s="1"/>
  <c r="H11" i="7"/>
  <c r="X11" i="7" s="1"/>
  <c r="H10" i="7"/>
  <c r="C15" i="2"/>
  <c r="H20" i="7"/>
  <c r="H19" i="7"/>
  <c r="X19" i="7" s="1"/>
  <c r="H18" i="7"/>
  <c r="X18" i="7" s="1"/>
  <c r="H17" i="7"/>
  <c r="X17" i="7" s="1"/>
  <c r="H16" i="7"/>
  <c r="X16" i="7" s="1"/>
  <c r="H7" i="7"/>
  <c r="X7" i="7" s="1"/>
  <c r="H8" i="7"/>
  <c r="H9" i="7"/>
  <c r="X9" i="7" s="1"/>
  <c r="H12" i="7"/>
  <c r="H13" i="7"/>
  <c r="H14" i="7"/>
  <c r="H15" i="7"/>
  <c r="X15" i="7" s="1"/>
  <c r="S27" i="7"/>
  <c r="X28" i="7"/>
  <c r="A6" i="21"/>
  <c r="A7" i="21"/>
  <c r="A8" i="21" s="1"/>
  <c r="A9" i="21" s="1"/>
  <c r="A10" i="21" s="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E14" i="2"/>
  <c r="D14" i="2" s="1"/>
  <c r="D16" i="21"/>
  <c r="C16" i="21"/>
  <c r="D43" i="1"/>
  <c r="C43" i="1"/>
  <c r="Q10" i="1" l="1"/>
  <c r="C14" i="83" s="1"/>
  <c r="I14" i="7"/>
  <c r="I10" i="7"/>
  <c r="I8" i="7"/>
  <c r="I19" i="7"/>
  <c r="I18" i="7"/>
  <c r="X8" i="7"/>
  <c r="F27" i="7"/>
  <c r="F29" i="7" s="1"/>
  <c r="I6" i="7"/>
  <c r="C17" i="2"/>
  <c r="F31" i="7" s="1"/>
  <c r="I13" i="29"/>
  <c r="C22" i="1"/>
  <c r="C28" i="1" s="1"/>
  <c r="C44" i="1"/>
  <c r="C46" i="1" s="1"/>
  <c r="J22" i="1"/>
  <c r="J27" i="1" s="1"/>
  <c r="J44" i="1"/>
  <c r="J46" i="1" s="1"/>
  <c r="D27" i="71"/>
  <c r="H27" i="71" s="1"/>
  <c r="F44" i="1"/>
  <c r="F46" i="1" s="1"/>
  <c r="I11" i="7"/>
  <c r="I9" i="7"/>
  <c r="X14" i="7"/>
  <c r="I17" i="7"/>
  <c r="I15" i="7"/>
  <c r="I7" i="7"/>
  <c r="E17" i="2"/>
  <c r="L22" i="1"/>
  <c r="L28" i="1" s="1"/>
  <c r="X10" i="7"/>
  <c r="X20" i="7"/>
  <c r="I20" i="7"/>
  <c r="X12" i="7"/>
  <c r="I12" i="7"/>
  <c r="X13" i="7"/>
  <c r="I13" i="7"/>
  <c r="I16" i="7"/>
  <c r="K44" i="1"/>
  <c r="K46" i="1" s="1"/>
  <c r="H44" i="1"/>
  <c r="H46" i="1" s="1"/>
  <c r="D44" i="1"/>
  <c r="D46" i="1" s="1"/>
  <c r="I44" i="1"/>
  <c r="I46" i="1" s="1"/>
  <c r="K22" i="1"/>
  <c r="K25" i="1" s="1"/>
  <c r="Q16" i="1"/>
  <c r="E44" i="1"/>
  <c r="E46" i="1" s="1"/>
  <c r="J28" i="21"/>
  <c r="M22" i="1"/>
  <c r="M28" i="1" s="1"/>
  <c r="N22" i="1"/>
  <c r="N25" i="1" s="1"/>
  <c r="E16" i="21"/>
  <c r="C23" i="2"/>
  <c r="O44" i="1"/>
  <c r="O46" i="1" s="1"/>
  <c r="O22" i="1"/>
  <c r="O28" i="1" s="1"/>
  <c r="M44" i="1"/>
  <c r="M46" i="1" s="1"/>
  <c r="Q38" i="1"/>
  <c r="G44" i="1"/>
  <c r="G46" i="1" s="1"/>
  <c r="D22" i="1"/>
  <c r="D25" i="1" s="1"/>
  <c r="H22" i="1"/>
  <c r="H27" i="1" s="1"/>
  <c r="G22" i="1"/>
  <c r="G24" i="1" s="1"/>
  <c r="L44" i="1"/>
  <c r="L46" i="1" s="1"/>
  <c r="F22" i="1"/>
  <c r="E22" i="1"/>
  <c r="E24" i="1" s="1"/>
  <c r="C28" i="83"/>
  <c r="I22" i="1"/>
  <c r="I28" i="1" s="1"/>
  <c r="J33" i="21" l="1"/>
  <c r="F15" i="21" s="1"/>
  <c r="F33" i="7"/>
  <c r="X25" i="7"/>
  <c r="C24" i="1"/>
  <c r="G29" i="7"/>
  <c r="H29" i="7" s="1"/>
  <c r="G31" i="7"/>
  <c r="H31" i="7" s="1"/>
  <c r="E14" i="83" s="1"/>
  <c r="F17" i="2"/>
  <c r="I26" i="7"/>
  <c r="X26" i="7" s="1"/>
  <c r="J28" i="1"/>
  <c r="J25" i="1"/>
  <c r="J24" i="1"/>
  <c r="D31" i="71"/>
  <c r="E21" i="2"/>
  <c r="F21" i="2" s="1"/>
  <c r="L27" i="1"/>
  <c r="K27" i="1"/>
  <c r="L24" i="1"/>
  <c r="C16" i="83"/>
  <c r="D17" i="2"/>
  <c r="L25" i="1"/>
  <c r="K28" i="1"/>
  <c r="K24" i="1"/>
  <c r="K26" i="1" s="1"/>
  <c r="F14" i="21"/>
  <c r="M24" i="1"/>
  <c r="M27" i="1"/>
  <c r="M25" i="1"/>
  <c r="H25" i="1"/>
  <c r="N27" i="1"/>
  <c r="N28" i="1"/>
  <c r="N24" i="1"/>
  <c r="N26" i="1" s="1"/>
  <c r="G25" i="1"/>
  <c r="G26" i="1" s="1"/>
  <c r="D24" i="1"/>
  <c r="D26" i="1" s="1"/>
  <c r="O25" i="1"/>
  <c r="D28" i="1"/>
  <c r="D27" i="1"/>
  <c r="O27" i="1"/>
  <c r="O24" i="1"/>
  <c r="H24" i="1"/>
  <c r="H28" i="1"/>
  <c r="Q22" i="1"/>
  <c r="I27" i="1"/>
  <c r="C27" i="1"/>
  <c r="G28" i="1"/>
  <c r="G27" i="1"/>
  <c r="C25" i="1"/>
  <c r="E25" i="1"/>
  <c r="E26" i="1" s="1"/>
  <c r="I25" i="1"/>
  <c r="E27" i="1"/>
  <c r="F25" i="1"/>
  <c r="F27" i="1"/>
  <c r="E28" i="1"/>
  <c r="I24" i="1"/>
  <c r="F28" i="1"/>
  <c r="F24" i="1"/>
  <c r="F16" i="21" l="1"/>
  <c r="E19" i="2" s="1"/>
  <c r="F19" i="2" s="1"/>
  <c r="X27" i="7"/>
  <c r="Y27" i="7" s="1"/>
  <c r="J26" i="1"/>
  <c r="J30" i="1" s="1"/>
  <c r="I27" i="7"/>
  <c r="H27" i="7" s="1"/>
  <c r="C26" i="83"/>
  <c r="Q25" i="1"/>
  <c r="Q24" i="1"/>
  <c r="L26" i="1"/>
  <c r="L30" i="1" s="1"/>
  <c r="K30" i="1"/>
  <c r="M26" i="1"/>
  <c r="M30" i="1" s="1"/>
  <c r="H26" i="1"/>
  <c r="H30" i="1" s="1"/>
  <c r="O26" i="1"/>
  <c r="O30" i="1" s="1"/>
  <c r="N30" i="1"/>
  <c r="D30" i="1"/>
  <c r="G33" i="7"/>
  <c r="E16" i="83"/>
  <c r="Q28" i="1"/>
  <c r="Q27" i="1"/>
  <c r="I26" i="1"/>
  <c r="I30" i="1" s="1"/>
  <c r="G30" i="1"/>
  <c r="E30" i="1"/>
  <c r="F26" i="1"/>
  <c r="F30" i="1" s="1"/>
  <c r="C26" i="1"/>
  <c r="C30" i="1" s="1"/>
  <c r="Q26" i="1" l="1"/>
  <c r="E23" i="2"/>
  <c r="F23" i="2" s="1"/>
  <c r="H33" i="7"/>
  <c r="E18" i="83" s="1"/>
  <c r="C30" i="83"/>
  <c r="Q30" i="1"/>
  <c r="D28" i="83" l="1"/>
  <c r="D14" i="83"/>
  <c r="F14" i="83" s="1"/>
  <c r="D18" i="83"/>
  <c r="D26" i="83" s="1"/>
  <c r="I15" i="29"/>
  <c r="I17" i="29" s="1"/>
  <c r="F24" i="83" s="1"/>
  <c r="H33" i="71"/>
  <c r="D16" i="83"/>
  <c r="F16" i="83" s="1"/>
  <c r="F18" i="21"/>
  <c r="F18" i="83" l="1"/>
  <c r="F20" i="21"/>
  <c r="F20" i="83" s="1"/>
  <c r="H35" i="71"/>
  <c r="F22" i="83" s="1"/>
  <c r="F28" i="83"/>
  <c r="D30" i="83"/>
  <c r="Q40" i="1"/>
  <c r="N43" i="1"/>
  <c r="N44" i="1" s="1"/>
  <c r="F26" i="83" l="1"/>
  <c r="E26" i="83" s="1"/>
  <c r="N46" i="1"/>
  <c r="Q44" i="1"/>
  <c r="Q43" i="1"/>
  <c r="F30" i="8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B34" authorId="0" shapeId="0" xr:uid="{00000000-0006-0000-0100-000003000000}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00000000-0006-0000-0100-000007000000}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F9" authorId="0" shapeId="0" xr:uid="{00000000-0006-0000-0300-000002000000}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I13" authorId="0" shapeId="0" xr:uid="{00000000-0006-0000-0600-000001000000}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<sst xmlns="http://schemas.openxmlformats.org/spreadsheetml/2006/main" count="282" uniqueCount="172">
  <si>
    <t>($ thousands)</t>
  </si>
  <si>
    <t xml:space="preserve"> 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</si>
  <si>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</si>
  <si>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</si>
  <si>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</si>
  <si>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</si>
  <si>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</si>
  <si>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</si>
  <si>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</si>
  <si>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</si>
  <si>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</si>
  <si>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</si>
  <si>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</si>
  <si>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</si>
  <si>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</si>
  <si>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</si>
  <si>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</si>
  <si>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</si>
  <si>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Schedule of Annual Charges on Reacquired Debt</t>
  </si>
  <si>
    <t>(B)</t>
  </si>
  <si>
    <t xml:space="preserve">Total Amortization on Reacquired Debt </t>
  </si>
  <si>
    <t>Short-term debt</t>
  </si>
  <si>
    <t>Long-term debt</t>
  </si>
  <si>
    <t>Subsidiary R.E.</t>
  </si>
  <si>
    <t xml:space="preserve">       Total Subsidiary R.E.</t>
  </si>
  <si>
    <t>Commercial Paper</t>
  </si>
  <si>
    <t>Cost of Short-Term Debt</t>
  </si>
  <si>
    <t>Interest</t>
  </si>
  <si>
    <t>Total Short-Term Debt/Cost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</si>
  <si>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</si>
  <si>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</si>
  <si>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</si>
  <si>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</si>
  <si>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</si>
  <si>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</si>
  <si>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</si>
  <si>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</si>
  <si>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</si>
  <si>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</si>
  <si>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</si>
  <si>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</si>
  <si>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</si>
  <si>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</si>
  <si>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</si>
  <si>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</si>
  <si>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</si>
  <si>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</si>
  <si>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</si>
  <si>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</si>
  <si>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</si>
  <si>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</si>
  <si>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</si>
  <si>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</si>
  <si>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</si>
  <si>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</si>
  <si>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</si>
  <si>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</si>
  <si>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</si>
  <si>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</si>
  <si>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</si>
  <si>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</si>
  <si>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</si>
  <si>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</si>
  <si>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</si>
  <si>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</si>
  <si>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</si>
  <si>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</si>
  <si>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</si>
  <si>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</si>
  <si>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</si>
  <si>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</si>
  <si>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</si>
  <si>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</si>
  <si>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</si>
  <si>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</si>
  <si>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</si>
  <si>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</si>
  <si>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Bank Facility Fees</t>
  </si>
  <si>
    <t>(iii)</t>
  </si>
  <si>
    <t>Rate (365)</t>
  </si>
  <si>
    <t>Interest Rate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</si>
  <si>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</si>
  <si>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</si>
  <si>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</si>
  <si>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</si>
  <si>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</si>
  <si>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</si>
  <si>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</si>
  <si>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</si>
  <si>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</si>
  <si>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</si>
  <si>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</si>
  <si>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</si>
  <si>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</si>
  <si>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</si>
  <si>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</si>
  <si>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</si>
  <si>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</si>
  <si>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</si>
  <si>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</si>
  <si>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</si>
  <si>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</si>
  <si>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</si>
  <si>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</si>
  <si>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</si>
  <si>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</si>
  <si>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(i) Applicable monthly amortization during the 12 month reporting period;</t>
  </si>
  <si>
    <t>Amortization (i)</t>
  </si>
  <si>
    <t>Redemption</t>
  </si>
  <si>
    <t>for Amort.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</si>
  <si>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</si>
  <si>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Outstandings</t>
  </si>
  <si>
    <t>Fees</t>
  </si>
  <si>
    <t>(Drawn)</t>
  </si>
  <si>
    <t>Utilized</t>
  </si>
  <si>
    <t>Unutilized</t>
  </si>
  <si>
    <t>Interest Charges &amp; Avg Borrowing Rate</t>
  </si>
  <si>
    <t>Letters of Credit</t>
  </si>
  <si>
    <t>W. Avg Amount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</si>
  <si>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</si>
  <si>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</si>
  <si>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</si>
  <si>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</si>
  <si>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</si>
  <si>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</si>
  <si>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</si>
  <si>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</si>
  <si>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</si>
  <si>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</si>
  <si>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</si>
  <si>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r>
      <t>(i)</t>
    </r>
    <r>
      <rPr>
        <sz val="9"/>
        <rFont val="Arial"/>
        <family val="2"/>
      </rPr>
      <t xml:space="preserve"> - Average of Month-End Balances</t>
    </r>
  </si>
  <si>
    <t>FERC end of Period Cost</t>
  </si>
  <si>
    <t>Wgt Cost Rate</t>
  </si>
  <si>
    <t>$650mm Liquidity  Facility</t>
  </si>
  <si>
    <t xml:space="preserve">Wgtd Avg 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</si>
  <si>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</si>
  <si>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</si>
  <si>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</si>
  <si>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</si>
  <si>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</si>
  <si>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</si>
  <si>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</si>
  <si>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</si>
  <si>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</si>
  <si>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</si>
  <si>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</si>
  <si>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Variance</t>
  </si>
  <si>
    <t>December 31, 2021 Through December 31, 2022</t>
  </si>
  <si>
    <t>As of: 12/31/21</t>
  </si>
  <si>
    <t>For The 12 Months Ending December 31, 2022</t>
  </si>
  <si>
    <t>Total Amortization for 12 months ended 12/31/22</t>
  </si>
  <si>
    <t>Cascade Natural Gas</t>
  </si>
  <si>
    <t>Cascade Natural Gas - Cost of Long Term Debt ($in 000's)</t>
  </si>
  <si>
    <t xml:space="preserve">Insured Quarterly Notes Due </t>
  </si>
  <si>
    <t>MTN</t>
  </si>
  <si>
    <t>$100 million</t>
  </si>
  <si>
    <t>Line of Credit</t>
  </si>
  <si>
    <t>$100mm Line of Credit</t>
  </si>
  <si>
    <t>Bank Line of Credit</t>
  </si>
  <si>
    <t>OneStream B/S</t>
  </si>
  <si>
    <t>JDE 47.2242.01</t>
  </si>
  <si>
    <t>LOC Fee Worksheet</t>
  </si>
  <si>
    <t>LOC Accd Int Worksheet</t>
  </si>
  <si>
    <t>Debt Amortization Worksheet</t>
  </si>
  <si>
    <t>Debt Interest Worksheet</t>
  </si>
  <si>
    <t>Net Proceeds from Annual Debt filings with UTC's</t>
  </si>
  <si>
    <t>Debt Amortization Worksheets</t>
  </si>
  <si>
    <t>Utility Capital Structure Calculation (000's)</t>
  </si>
  <si>
    <t>Senior Notes</t>
  </si>
  <si>
    <r>
      <t xml:space="preserve">  </t>
    </r>
    <r>
      <rPr>
        <sz val="9"/>
        <rFont val="Arial"/>
        <family val="2"/>
      </rPr>
      <t xml:space="preserve">  Amortization is over life of replacement issue.</t>
    </r>
  </si>
  <si>
    <t xml:space="preserve">  Bremerton MGP - EPA</t>
  </si>
  <si>
    <t>Access Database-Bremerton MGP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</si>
</sst>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_(* #,##0.000_);_(* \(#,##0.000\);_(* &quot;-&quot;??_);_(@_)"/>
    <numFmt numFmtId="189" formatCode="[$-409]mmm\-yy;@"/>
  </numFmts>
  <fonts count="78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9"/>
      <color rgb="FF00B050"/>
      <name val="Arial"/>
      <family val="2"/>
    </font>
    <font>
      <b/>
      <sz val="10"/>
      <color rgb="FF00B050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00B05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4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1">
    <xf numFmtId="37" fontId="0" fillId="0" borderId="0" xfId="0"/>
    <xf numFmtId="0" fontId="5" fillId="0" borderId="0" xfId="88" applyFont="1"/>
    <xf numFmtId="37" fontId="5" fillId="0" borderId="0" xfId="89" applyFont="1" applyAlignment="1">
      <alignment horizontal="center"/>
    </xf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>
      <alignment horizontal="left"/>
    </xf>
    <xf numFmtId="10" fontId="5" fillId="0" borderId="0" xfId="89" applyNumberFormat="1" applyFont="1"/>
    <xf numFmtId="15" fontId="5" fillId="0" borderId="0" xfId="89" applyNumberFormat="1" applyFont="1"/>
    <xf numFmtId="7" fontId="5" fillId="0" borderId="0" xfId="89" applyNumberFormat="1" applyFont="1"/>
    <xf numFmtId="168" fontId="5" fillId="0" borderId="0" xfId="89" applyNumberFormat="1" applyFont="1"/>
    <xf numFmtId="1" fontId="5" fillId="0" borderId="0" xfId="92" applyNumberFormat="1" applyFont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>
      <alignment horizontal="center"/>
    </xf>
    <xf numFmtId="37" fontId="5" fillId="0" borderId="0" xfId="0" applyFont="1"/>
    <xf numFmtId="5" fontId="5" fillId="0" borderId="0" xfId="92" applyNumberFormat="1" applyFont="1"/>
    <xf numFmtId="165" fontId="5" fillId="0" borderId="0" xfId="92" applyNumberFormat="1" applyFont="1"/>
    <xf numFmtId="37" fontId="5" fillId="0" borderId="0" xfId="90" applyFont="1"/>
    <xf numFmtId="37" fontId="5" fillId="0" borderId="0" xfId="90" applyFont="1" applyAlignment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/>
    <xf numFmtId="15" fontId="5" fillId="0" borderId="0" xfId="90" applyNumberFormat="1" applyFont="1"/>
    <xf numFmtId="0" fontId="5" fillId="0" borderId="0" xfId="93" applyFont="1" applyAlignment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/>
    <xf numFmtId="37" fontId="3" fillId="0" borderId="0" xfId="89" applyFont="1" applyAlignment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20" fillId="0" borderId="0" xfId="0" applyFont="1" applyAlignment="1">
      <alignment horizontal="right"/>
    </xf>
    <xf numFmtId="37" fontId="20" fillId="0" borderId="0" xfId="0" applyFont="1" applyAlignment="1">
      <alignment horizontal="center"/>
    </xf>
    <xf numFmtId="14" fontId="16" fillId="0" borderId="0" xfId="0" applyNumberFormat="1" applyFont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Alignment="1">
      <alignment horizontal="center"/>
    </xf>
    <xf numFmtId="5" fontId="8" fillId="0" borderId="0" xfId="90" applyNumberFormat="1" applyFont="1"/>
    <xf numFmtId="37" fontId="8" fillId="0" borderId="0" xfId="90" applyFont="1" applyAlignment="1">
      <alignment horizontal="center"/>
    </xf>
    <xf numFmtId="37" fontId="8" fillId="0" borderId="0" xfId="0" applyFont="1"/>
    <xf numFmtId="10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169" fontId="8" fillId="0" borderId="0" xfId="0" applyNumberFormat="1" applyFont="1"/>
    <xf numFmtId="2" fontId="8" fillId="0" borderId="0" xfId="0" applyNumberFormat="1" applyFont="1"/>
    <xf numFmtId="10" fontId="8" fillId="0" borderId="0" xfId="0" applyNumberFormat="1" applyFont="1"/>
    <xf numFmtId="10" fontId="8" fillId="0" borderId="0" xfId="90" applyNumberFormat="1" applyFont="1"/>
    <xf numFmtId="168" fontId="8" fillId="0" borderId="0" xfId="90" applyNumberFormat="1" applyFont="1" applyAlignment="1">
      <alignment horizontal="fill"/>
    </xf>
    <xf numFmtId="166" fontId="5" fillId="0" borderId="0" xfId="90" applyNumberFormat="1" applyFont="1"/>
    <xf numFmtId="0" fontId="16" fillId="0" borderId="0" xfId="93" applyFont="1"/>
    <xf numFmtId="0" fontId="17" fillId="0" borderId="0" xfId="93" quotePrefix="1" applyFont="1" applyAlignment="1">
      <alignment horizontal="center"/>
    </xf>
    <xf numFmtId="0" fontId="18" fillId="0" borderId="0" xfId="93" applyFont="1" applyAlignment="1">
      <alignment horizontal="center"/>
    </xf>
    <xf numFmtId="0" fontId="23" fillId="0" borderId="10" xfId="93" applyFont="1" applyBorder="1" applyAlignment="1">
      <alignment horizontal="center" wrapText="1"/>
    </xf>
    <xf numFmtId="7" fontId="16" fillId="0" borderId="0" xfId="93" applyNumberFormat="1" applyFont="1"/>
    <xf numFmtId="0" fontId="18" fillId="0" borderId="0" xfId="93" quotePrefix="1" applyFont="1" applyAlignment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>
      <alignment horizontal="center"/>
    </xf>
    <xf numFmtId="37" fontId="26" fillId="0" borderId="0" xfId="89" applyFont="1" applyAlignment="1">
      <alignment horizontal="center"/>
    </xf>
    <xf numFmtId="37" fontId="13" fillId="0" borderId="0" xfId="89" applyFont="1" applyAlignment="1">
      <alignment horizontal="left"/>
    </xf>
    <xf numFmtId="37" fontId="13" fillId="0" borderId="0" xfId="89" applyFont="1" applyAlignment="1">
      <alignment horizontal="fill"/>
    </xf>
    <xf numFmtId="37" fontId="13" fillId="0" borderId="0" xfId="89" applyFont="1" applyAlignment="1">
      <alignment horizontal="center"/>
    </xf>
    <xf numFmtId="10" fontId="13" fillId="0" borderId="0" xfId="89" applyNumberFormat="1" applyFont="1"/>
    <xf numFmtId="5" fontId="13" fillId="0" borderId="0" xfId="89" applyNumberFormat="1" applyFont="1"/>
    <xf numFmtId="5" fontId="28" fillId="0" borderId="0" xfId="89" applyNumberFormat="1" applyFont="1"/>
    <xf numFmtId="37" fontId="15" fillId="0" borderId="11" xfId="89" applyFont="1" applyBorder="1" applyAlignment="1">
      <alignment horizontal="left"/>
    </xf>
    <xf numFmtId="5" fontId="15" fillId="0" borderId="12" xfId="89" applyNumberFormat="1" applyFont="1" applyBorder="1"/>
    <xf numFmtId="5" fontId="29" fillId="0" borderId="0" xfId="89" applyNumberFormat="1" applyFont="1"/>
    <xf numFmtId="170" fontId="29" fillId="0" borderId="0" xfId="55" applyNumberFormat="1" applyFont="1"/>
    <xf numFmtId="5" fontId="30" fillId="0" borderId="0" xfId="89" applyNumberFormat="1" applyFont="1"/>
    <xf numFmtId="0" fontId="9" fillId="0" borderId="0" xfId="88" applyFont="1"/>
    <xf numFmtId="164" fontId="9" fillId="0" borderId="0" xfId="88" applyNumberFormat="1" applyFont="1"/>
    <xf numFmtId="175" fontId="9" fillId="0" borderId="0" xfId="88" applyNumberFormat="1" applyFont="1"/>
    <xf numFmtId="164" fontId="33" fillId="0" borderId="0" xfId="88" applyNumberFormat="1" applyFont="1"/>
    <xf numFmtId="175" fontId="33" fillId="0" borderId="0" xfId="88" applyNumberFormat="1" applyFont="1"/>
    <xf numFmtId="17" fontId="19" fillId="0" borderId="0" xfId="88" applyNumberFormat="1" applyFont="1" applyAlignment="1">
      <alignment horizontal="center"/>
    </xf>
    <xf numFmtId="0" fontId="19" fillId="0" borderId="0" xfId="88" applyFont="1" applyAlignment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26" fillId="0" borderId="0" xfId="92" applyFont="1" applyAlignment="1">
      <alignment horizontal="center"/>
    </xf>
    <xf numFmtId="10" fontId="13" fillId="0" borderId="0" xfId="92" applyFont="1" applyAlignment="1">
      <alignment horizontal="left"/>
    </xf>
    <xf numFmtId="10" fontId="15" fillId="0" borderId="0" xfId="92" applyFont="1" applyAlignment="1">
      <alignment horizontal="left"/>
    </xf>
    <xf numFmtId="10" fontId="15" fillId="0" borderId="0" xfId="92" applyFont="1"/>
    <xf numFmtId="0" fontId="23" fillId="0" borderId="10" xfId="93" applyFont="1" applyBorder="1" applyAlignment="1">
      <alignment horizontal="left"/>
    </xf>
    <xf numFmtId="168" fontId="16" fillId="0" borderId="0" xfId="93" applyNumberFormat="1" applyFont="1" applyAlignment="1">
      <alignment horizontal="left"/>
    </xf>
    <xf numFmtId="15" fontId="16" fillId="0" borderId="0" xfId="93" applyNumberFormat="1" applyFont="1" applyAlignment="1">
      <alignment horizontal="center"/>
    </xf>
    <xf numFmtId="15" fontId="32" fillId="0" borderId="0" xfId="93" applyNumberFormat="1" applyFont="1" applyAlignment="1">
      <alignment horizontal="left"/>
    </xf>
    <xf numFmtId="37" fontId="32" fillId="0" borderId="0" xfId="0" applyFont="1"/>
    <xf numFmtId="37" fontId="22" fillId="0" borderId="0" xfId="0" applyFont="1"/>
    <xf numFmtId="0" fontId="34" fillId="0" borderId="0" xfId="88" applyFont="1" applyAlignment="1">
      <alignment horizontal="center" wrapText="1"/>
    </xf>
    <xf numFmtId="172" fontId="18" fillId="0" borderId="0" xfId="93" applyNumberFormat="1" applyFont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8" fillId="0" borderId="0" xfId="0" applyFont="1" applyAlignment="1">
      <alignment horizontal="left"/>
    </xf>
    <xf numFmtId="37" fontId="23" fillId="0" borderId="0" xfId="89" applyFont="1" applyAlignment="1">
      <alignment horizontal="center"/>
    </xf>
    <xf numFmtId="37" fontId="24" fillId="0" borderId="0" xfId="91" applyFont="1" applyAlignment="1">
      <alignment horizontal="left"/>
    </xf>
    <xf numFmtId="1" fontId="16" fillId="0" borderId="0" xfId="92" applyNumberFormat="1" applyFont="1" applyAlignment="1">
      <alignment horizontal="center"/>
    </xf>
    <xf numFmtId="37" fontId="18" fillId="0" borderId="0" xfId="89" applyFont="1" applyAlignment="1">
      <alignment horizontal="left"/>
    </xf>
    <xf numFmtId="37" fontId="25" fillId="0" borderId="0" xfId="89" applyFont="1" applyAlignment="1">
      <alignment horizontal="left"/>
    </xf>
    <xf numFmtId="37" fontId="24" fillId="0" borderId="0" xfId="90" applyFont="1" applyAlignment="1">
      <alignment horizontal="center"/>
    </xf>
    <xf numFmtId="37" fontId="36" fillId="0" borderId="0" xfId="90" applyFont="1"/>
    <xf numFmtId="37" fontId="23" fillId="0" borderId="0" xfId="90" applyFont="1"/>
    <xf numFmtId="37" fontId="24" fillId="0" borderId="0" xfId="90" applyFont="1"/>
    <xf numFmtId="37" fontId="24" fillId="0" borderId="0" xfId="0" applyFont="1"/>
    <xf numFmtId="171" fontId="24" fillId="0" borderId="0" xfId="0" applyNumberFormat="1" applyFont="1"/>
    <xf numFmtId="37" fontId="23" fillId="0" borderId="0" xfId="90" applyFont="1" applyAlignment="1">
      <alignment horizontal="left"/>
    </xf>
    <xf numFmtId="38" fontId="13" fillId="0" borderId="0" xfId="92" applyNumberFormat="1" applyFont="1"/>
    <xf numFmtId="0" fontId="24" fillId="0" borderId="0" xfId="88" applyFont="1" applyAlignment="1">
      <alignment horizontal="left"/>
    </xf>
    <xf numFmtId="0" fontId="24" fillId="0" borderId="0" xfId="88" applyFont="1"/>
    <xf numFmtId="0" fontId="23" fillId="0" borderId="0" xfId="88" applyFont="1" applyAlignment="1">
      <alignment horizontal="left"/>
    </xf>
    <xf numFmtId="0" fontId="23" fillId="0" borderId="0" xfId="88" applyFont="1" applyAlignment="1">
      <alignment horizontal="centerContinuous"/>
    </xf>
    <xf numFmtId="0" fontId="36" fillId="0" borderId="0" xfId="88" applyFont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0" applyFont="1" applyAlignment="1">
      <alignment horizontal="centerContinuous"/>
    </xf>
    <xf numFmtId="37" fontId="24" fillId="0" borderId="0" xfId="0" applyFont="1" applyAlignment="1">
      <alignment horizontal="centerContinuous"/>
    </xf>
    <xf numFmtId="166" fontId="24" fillId="0" borderId="0" xfId="90" applyNumberFormat="1" applyFont="1" applyAlignment="1">
      <alignment horizontal="centerContinuous"/>
    </xf>
    <xf numFmtId="166" fontId="24" fillId="0" borderId="0" xfId="0" applyNumberFormat="1" applyFont="1" applyAlignment="1">
      <alignment horizontal="centerContinuous"/>
    </xf>
    <xf numFmtId="14" fontId="24" fillId="0" borderId="0" xfId="0" applyNumberFormat="1" applyFont="1"/>
    <xf numFmtId="37" fontId="23" fillId="0" borderId="0" xfId="0" applyFont="1"/>
    <xf numFmtId="175" fontId="33" fillId="0" borderId="19" xfId="88" applyNumberFormat="1" applyFont="1" applyBorder="1"/>
    <xf numFmtId="164" fontId="33" fillId="0" borderId="19" xfId="88" applyNumberFormat="1" applyFont="1" applyBorder="1"/>
    <xf numFmtId="175" fontId="33" fillId="0" borderId="20" xfId="88" applyNumberFormat="1" applyFont="1" applyBorder="1"/>
    <xf numFmtId="5" fontId="13" fillId="0" borderId="0" xfId="92" applyNumberFormat="1" applyFont="1"/>
    <xf numFmtId="165" fontId="13" fillId="0" borderId="0" xfId="92" applyNumberFormat="1" applyFont="1"/>
    <xf numFmtId="5" fontId="35" fillId="0" borderId="0" xfId="92" applyNumberFormat="1" applyFont="1"/>
    <xf numFmtId="10" fontId="35" fillId="0" borderId="0" xfId="92" applyFont="1"/>
    <xf numFmtId="5" fontId="33" fillId="0" borderId="0" xfId="88" applyNumberFormat="1" applyFont="1"/>
    <xf numFmtId="37" fontId="24" fillId="0" borderId="0" xfId="90" applyFont="1" applyAlignment="1">
      <alignment horizontal="right"/>
    </xf>
    <xf numFmtId="37" fontId="38" fillId="0" borderId="0" xfId="89" applyFont="1" applyAlignment="1">
      <alignment horizontal="center"/>
    </xf>
    <xf numFmtId="10" fontId="24" fillId="0" borderId="0" xfId="0" applyNumberFormat="1" applyFont="1"/>
    <xf numFmtId="37" fontId="16" fillId="0" borderId="15" xfId="0" applyFont="1" applyBorder="1" applyAlignment="1">
      <alignment horizontal="centerContinuous"/>
    </xf>
    <xf numFmtId="37" fontId="18" fillId="0" borderId="16" xfId="0" applyFont="1" applyBorder="1" applyAlignment="1">
      <alignment horizontal="left"/>
    </xf>
    <xf numFmtId="170" fontId="16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8" fillId="0" borderId="18" xfId="0" applyFont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/>
    <xf numFmtId="37" fontId="24" fillId="0" borderId="0" xfId="89" applyFont="1" applyAlignment="1">
      <alignment horizontal="center"/>
    </xf>
    <xf numFmtId="1" fontId="24" fillId="0" borderId="0" xfId="92" applyNumberFormat="1" applyFont="1" applyAlignment="1">
      <alignment horizontal="center"/>
    </xf>
    <xf numFmtId="164" fontId="33" fillId="0" borderId="22" xfId="88" applyNumberFormat="1" applyFont="1" applyBorder="1"/>
    <xf numFmtId="17" fontId="43" fillId="0" borderId="0" xfId="88" applyNumberFormat="1" applyFont="1" applyAlignment="1">
      <alignment horizontal="center"/>
    </xf>
    <xf numFmtId="175" fontId="42" fillId="0" borderId="0" xfId="88" applyNumberFormat="1" applyFont="1"/>
    <xf numFmtId="164" fontId="24" fillId="0" borderId="0" xfId="88" applyNumberFormat="1" applyFont="1"/>
    <xf numFmtId="0" fontId="18" fillId="0" borderId="0" xfId="93" quotePrefix="1" applyFont="1" applyAlignment="1">
      <alignment horizontal="centerContinuous" vertical="center" wrapText="1"/>
    </xf>
    <xf numFmtId="172" fontId="43" fillId="0" borderId="0" xfId="93" quotePrefix="1" applyNumberFormat="1" applyFont="1" applyAlignment="1">
      <alignment horizontal="centerContinuous" vertical="center" wrapText="1"/>
    </xf>
    <xf numFmtId="178" fontId="16" fillId="0" borderId="0" xfId="98" applyNumberFormat="1" applyFont="1"/>
    <xf numFmtId="37" fontId="16" fillId="0" borderId="16" xfId="0" applyFont="1" applyBorder="1"/>
    <xf numFmtId="44" fontId="21" fillId="0" borderId="0" xfId="59" applyFont="1" applyFill="1" applyBorder="1"/>
    <xf numFmtId="167" fontId="21" fillId="0" borderId="0" xfId="0" applyNumberFormat="1" applyFont="1"/>
    <xf numFmtId="37" fontId="16" fillId="0" borderId="18" xfId="0" applyFont="1" applyBorder="1"/>
    <xf numFmtId="170" fontId="16" fillId="0" borderId="0" xfId="55" applyNumberFormat="1" applyFont="1" applyFill="1" applyBorder="1"/>
    <xf numFmtId="168" fontId="29" fillId="0" borderId="0" xfId="89" applyNumberFormat="1" applyFont="1"/>
    <xf numFmtId="37" fontId="16" fillId="0" borderId="0" xfId="0" applyFont="1" applyAlignment="1">
      <alignment horizontal="center"/>
    </xf>
    <xf numFmtId="10" fontId="23" fillId="18" borderId="23" xfId="90" applyNumberFormat="1" applyFont="1" applyFill="1" applyBorder="1"/>
    <xf numFmtId="10" fontId="15" fillId="18" borderId="23" xfId="89" applyNumberFormat="1" applyFont="1" applyFill="1" applyBorder="1" applyAlignment="1">
      <alignment horizontal="center"/>
    </xf>
    <xf numFmtId="175" fontId="34" fillId="18" borderId="23" xfId="88" applyNumberFormat="1" applyFont="1" applyFill="1" applyBorder="1"/>
    <xf numFmtId="164" fontId="34" fillId="18" borderId="23" xfId="88" applyNumberFormat="1" applyFont="1" applyFill="1" applyBorder="1"/>
    <xf numFmtId="37" fontId="37" fillId="0" borderId="0" xfId="0" applyFont="1" applyAlignment="1">
      <alignment horizontal="right"/>
    </xf>
    <xf numFmtId="0" fontId="23" fillId="0" borderId="0" xfId="93" applyFont="1" applyAlignment="1">
      <alignment horizontal="center" wrapText="1"/>
    </xf>
    <xf numFmtId="0" fontId="47" fillId="0" borderId="0" xfId="93" applyFont="1"/>
    <xf numFmtId="37" fontId="9" fillId="0" borderId="0" xfId="88" applyNumberFormat="1" applyFont="1"/>
    <xf numFmtId="0" fontId="24" fillId="0" borderId="12" xfId="88" applyFont="1" applyBorder="1" applyAlignment="1">
      <alignment horizontal="left"/>
    </xf>
    <xf numFmtId="175" fontId="24" fillId="0" borderId="12" xfId="88" applyNumberFormat="1" applyFont="1" applyBorder="1"/>
    <xf numFmtId="0" fontId="24" fillId="0" borderId="0" xfId="88" applyFont="1" applyAlignment="1">
      <alignment horizontal="left" indent="1"/>
    </xf>
    <xf numFmtId="0" fontId="24" fillId="0" borderId="12" xfId="88" applyFont="1" applyBorder="1" applyAlignment="1">
      <alignment horizontal="left" indent="2"/>
    </xf>
    <xf numFmtId="37" fontId="18" fillId="0" borderId="0" xfId="90" applyFont="1" applyAlignment="1">
      <alignment horizontal="centerContinuous"/>
    </xf>
    <xf numFmtId="0" fontId="18" fillId="0" borderId="0" xfId="93" applyFont="1" applyAlignment="1">
      <alignment horizontal="left"/>
    </xf>
    <xf numFmtId="1" fontId="16" fillId="0" borderId="0" xfId="93" applyNumberFormat="1" applyFont="1" applyAlignment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Border="1"/>
    <xf numFmtId="10" fontId="23" fillId="0" borderId="0" xfId="90" applyNumberFormat="1" applyFont="1"/>
    <xf numFmtId="175" fontId="34" fillId="0" borderId="19" xfId="88" applyNumberFormat="1" applyFont="1" applyBorder="1"/>
    <xf numFmtId="164" fontId="34" fillId="0" borderId="24" xfId="88" applyNumberFormat="1" applyFont="1" applyBorder="1"/>
    <xf numFmtId="0" fontId="23" fillId="0" borderId="0" xfId="93" applyFont="1" applyAlignment="1">
      <alignment horizontal="center"/>
    </xf>
    <xf numFmtId="10" fontId="44" fillId="0" borderId="0" xfId="92" applyFont="1"/>
    <xf numFmtId="182" fontId="27" fillId="0" borderId="0" xfId="92" applyNumberFormat="1" applyFont="1" applyAlignment="1">
      <alignment horizontal="center"/>
    </xf>
    <xf numFmtId="37" fontId="13" fillId="0" borderId="0" xfId="92" applyNumberFormat="1" applyFont="1" applyAlignment="1">
      <alignment horizontal="center"/>
    </xf>
    <xf numFmtId="10" fontId="27" fillId="0" borderId="0" xfId="92" applyFont="1"/>
    <xf numFmtId="181" fontId="40" fillId="0" borderId="0" xfId="92" applyNumberFormat="1" applyFont="1" applyAlignment="1">
      <alignment horizontal="centerContinuous" vertical="center" wrapText="1"/>
    </xf>
    <xf numFmtId="166" fontId="18" fillId="0" borderId="0" xfId="0" applyNumberFormat="1" applyFont="1" applyAlignment="1">
      <alignment horizontal="centerContinuous" vertical="center" wrapText="1"/>
    </xf>
    <xf numFmtId="37" fontId="16" fillId="0" borderId="0" xfId="0" applyFont="1" applyAlignment="1">
      <alignment horizontal="centerContinuous" vertical="center" wrapText="1"/>
    </xf>
    <xf numFmtId="37" fontId="16" fillId="0" borderId="0" xfId="0" applyFont="1" applyAlignment="1">
      <alignment horizontal="left" vertical="center" wrapText="1"/>
    </xf>
    <xf numFmtId="5" fontId="16" fillId="0" borderId="0" xfId="59" applyNumberFormat="1" applyFont="1" applyFill="1" applyBorder="1"/>
    <xf numFmtId="179" fontId="33" fillId="0" borderId="0" xfId="88" applyNumberFormat="1" applyFont="1"/>
    <xf numFmtId="37" fontId="23" fillId="0" borderId="0" xfId="89" quotePrefix="1" applyFont="1" applyAlignment="1">
      <alignment horizontal="center"/>
    </xf>
    <xf numFmtId="14" fontId="18" fillId="0" borderId="16" xfId="0" applyNumberFormat="1" applyFont="1" applyBorder="1"/>
    <xf numFmtId="14" fontId="16" fillId="0" borderId="16" xfId="0" applyNumberFormat="1" applyFont="1" applyBorder="1" applyAlignment="1">
      <alignment horizontal="left" indent="1"/>
    </xf>
    <xf numFmtId="181" fontId="15" fillId="0" borderId="0" xfId="92" applyNumberFormat="1" applyFont="1" applyAlignment="1">
      <alignment horizontal="centerContinuous" vertical="center" wrapText="1"/>
    </xf>
    <xf numFmtId="181" fontId="18" fillId="0" borderId="0" xfId="90" applyNumberFormat="1" applyFont="1" applyAlignment="1">
      <alignment horizontal="centerContinuous"/>
    </xf>
    <xf numFmtId="168" fontId="16" fillId="0" borderId="0" xfId="0" applyNumberFormat="1" applyFont="1" applyAlignment="1">
      <alignment horizontal="center"/>
    </xf>
    <xf numFmtId="5" fontId="36" fillId="0" borderId="0" xfId="90" applyNumberFormat="1" applyFont="1"/>
    <xf numFmtId="175" fontId="24" fillId="0" borderId="0" xfId="88" applyNumberFormat="1" applyFont="1"/>
    <xf numFmtId="175" fontId="23" fillId="0" borderId="0" xfId="88" applyNumberFormat="1" applyFont="1"/>
    <xf numFmtId="37" fontId="45" fillId="0" borderId="0" xfId="0" applyFont="1"/>
    <xf numFmtId="37" fontId="25" fillId="0" borderId="0" xfId="0" applyFont="1" applyAlignment="1">
      <alignment horizontal="center"/>
    </xf>
    <xf numFmtId="37" fontId="46" fillId="0" borderId="0" xfId="0" applyFont="1"/>
    <xf numFmtId="170" fontId="25" fillId="0" borderId="0" xfId="59" applyNumberFormat="1" applyFont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Alignment="1">
      <alignment horizontal="center"/>
    </xf>
    <xf numFmtId="171" fontId="24" fillId="0" borderId="0" xfId="0" applyNumberFormat="1" applyFont="1" applyAlignment="1">
      <alignment horizontal="center"/>
    </xf>
    <xf numFmtId="175" fontId="23" fillId="0" borderId="12" xfId="88" applyNumberFormat="1" applyFont="1" applyBorder="1"/>
    <xf numFmtId="2" fontId="24" fillId="0" borderId="0" xfId="0" applyNumberFormat="1" applyFont="1" applyAlignment="1">
      <alignment horizontal="center"/>
    </xf>
    <xf numFmtId="175" fontId="23" fillId="0" borderId="25" xfId="88" applyNumberFormat="1" applyFont="1" applyBorder="1"/>
    <xf numFmtId="37" fontId="46" fillId="0" borderId="0" xfId="90" applyFont="1"/>
    <xf numFmtId="37" fontId="46" fillId="0" borderId="0" xfId="90" applyFont="1" applyAlignment="1">
      <alignment horizontal="right"/>
    </xf>
    <xf numFmtId="175" fontId="46" fillId="0" borderId="0" xfId="88" applyNumberFormat="1" applyFont="1"/>
    <xf numFmtId="15" fontId="16" fillId="0" borderId="0" xfId="93" applyNumberFormat="1" applyFont="1" applyAlignment="1">
      <alignment horizontal="right"/>
    </xf>
    <xf numFmtId="5" fontId="20" fillId="0" borderId="0" xfId="93" applyNumberFormat="1" applyFont="1"/>
    <xf numFmtId="5" fontId="18" fillId="0" borderId="25" xfId="93" applyNumberFormat="1" applyFont="1" applyBorder="1" applyAlignment="1">
      <alignment horizontal="right"/>
    </xf>
    <xf numFmtId="43" fontId="42" fillId="0" borderId="0" xfId="88" applyNumberFormat="1" applyFont="1"/>
    <xf numFmtId="164" fontId="33" fillId="0" borderId="26" xfId="88" applyNumberFormat="1" applyFont="1" applyBorder="1"/>
    <xf numFmtId="164" fontId="33" fillId="0" borderId="25" xfId="88" applyNumberFormat="1" applyFont="1" applyBorder="1"/>
    <xf numFmtId="165" fontId="33" fillId="0" borderId="0" xfId="88" applyNumberFormat="1" applyFont="1"/>
    <xf numFmtId="165" fontId="33" fillId="0" borderId="19" xfId="88" applyNumberFormat="1" applyFont="1" applyBorder="1"/>
    <xf numFmtId="165" fontId="33" fillId="0" borderId="10" xfId="88" applyNumberFormat="1" applyFont="1" applyBorder="1"/>
    <xf numFmtId="165" fontId="33" fillId="0" borderId="20" xfId="88" applyNumberFormat="1" applyFont="1" applyBorder="1"/>
    <xf numFmtId="0" fontId="33" fillId="0" borderId="0" xfId="88" applyFont="1"/>
    <xf numFmtId="0" fontId="33" fillId="0" borderId="19" xfId="88" applyFont="1" applyBorder="1"/>
    <xf numFmtId="165" fontId="33" fillId="0" borderId="27" xfId="88" applyNumberFormat="1" applyFont="1" applyBorder="1"/>
    <xf numFmtId="165" fontId="33" fillId="0" borderId="28" xfId="88" applyNumberFormat="1" applyFont="1" applyBorder="1"/>
    <xf numFmtId="164" fontId="42" fillId="0" borderId="0" xfId="88" applyNumberFormat="1" applyFont="1"/>
    <xf numFmtId="164" fontId="24" fillId="0" borderId="12" xfId="88" applyNumberFormat="1" applyFont="1" applyBorder="1"/>
    <xf numFmtId="37" fontId="12" fillId="0" borderId="0" xfId="90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/>
    <xf numFmtId="169" fontId="45" fillId="0" borderId="0" xfId="0" applyNumberFormat="1" applyFont="1"/>
    <xf numFmtId="10" fontId="4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/>
    <xf numFmtId="5" fontId="29" fillId="0" borderId="26" xfId="89" applyNumberFormat="1" applyFont="1" applyBorder="1"/>
    <xf numFmtId="168" fontId="29" fillId="0" borderId="26" xfId="89" applyNumberFormat="1" applyFont="1" applyBorder="1"/>
    <xf numFmtId="14" fontId="18" fillId="0" borderId="16" xfId="0" applyNumberFormat="1" applyFont="1" applyBorder="1" applyAlignment="1">
      <alignment horizontal="left" indent="2"/>
    </xf>
    <xf numFmtId="37" fontId="18" fillId="0" borderId="16" xfId="0" applyFont="1" applyBorder="1" applyAlignment="1">
      <alignment horizontal="left" indent="1"/>
    </xf>
    <xf numFmtId="0" fontId="15" fillId="0" borderId="0" xfId="93" quotePrefix="1" applyFont="1" applyAlignment="1">
      <alignment horizontal="centerContinuous" vertical="center" wrapText="1"/>
    </xf>
    <xf numFmtId="181" fontId="15" fillId="0" borderId="0" xfId="93" quotePrefix="1" applyNumberFormat="1" applyFont="1" applyAlignment="1">
      <alignment horizontal="centerContinuous" vertical="center" wrapText="1"/>
    </xf>
    <xf numFmtId="37" fontId="48" fillId="0" borderId="0" xfId="0" applyFont="1" applyAlignment="1">
      <alignment horizontal="center"/>
    </xf>
    <xf numFmtId="10" fontId="28" fillId="0" borderId="0" xfId="92" applyFont="1"/>
    <xf numFmtId="10" fontId="33" fillId="0" borderId="0" xfId="98" applyNumberFormat="1" applyFont="1" applyFill="1" applyBorder="1" applyProtection="1"/>
    <xf numFmtId="10" fontId="33" fillId="0" borderId="10" xfId="88" applyNumberFormat="1" applyFont="1" applyBorder="1"/>
    <xf numFmtId="184" fontId="33" fillId="0" borderId="0" xfId="88" applyNumberFormat="1" applyFont="1"/>
    <xf numFmtId="0" fontId="31" fillId="0" borderId="0" xfId="88" applyFont="1" applyAlignment="1">
      <alignment horizontal="centerContinuous" vertical="center" wrapText="1"/>
    </xf>
    <xf numFmtId="10" fontId="31" fillId="0" borderId="0" xfId="92" applyFont="1" applyAlignment="1">
      <alignment horizontal="centerContinuous" vertical="center" wrapText="1"/>
    </xf>
    <xf numFmtId="172" fontId="31" fillId="0" borderId="0" xfId="92" applyNumberFormat="1" applyFont="1" applyAlignment="1">
      <alignment horizontal="centerContinuous" vertical="center" wrapText="1"/>
    </xf>
    <xf numFmtId="180" fontId="48" fillId="0" borderId="0" xfId="0" applyNumberFormat="1" applyFont="1" applyAlignment="1">
      <alignment horizontal="left" indent="1"/>
    </xf>
    <xf numFmtId="1" fontId="16" fillId="0" borderId="0" xfId="0" applyNumberFormat="1" applyFont="1" applyAlignment="1">
      <alignment horizontal="center"/>
    </xf>
    <xf numFmtId="37" fontId="23" fillId="0" borderId="13" xfId="0" applyFont="1" applyBorder="1"/>
    <xf numFmtId="37" fontId="39" fillId="0" borderId="29" xfId="0" applyFont="1" applyBorder="1"/>
    <xf numFmtId="37" fontId="16" fillId="0" borderId="15" xfId="0" applyFont="1" applyBorder="1"/>
    <xf numFmtId="37" fontId="0" fillId="0" borderId="14" xfId="0" applyBorder="1"/>
    <xf numFmtId="37" fontId="16" fillId="0" borderId="17" xfId="0" applyFont="1" applyBorder="1"/>
    <xf numFmtId="37" fontId="16" fillId="0" borderId="21" xfId="0" applyFont="1" applyBorder="1"/>
    <xf numFmtId="37" fontId="23" fillId="0" borderId="0" xfId="90" applyFont="1" applyAlignment="1">
      <alignment horizontal="center" wrapText="1"/>
    </xf>
    <xf numFmtId="17" fontId="18" fillId="0" borderId="0" xfId="88" applyNumberFormat="1" applyFont="1" applyAlignment="1">
      <alignment horizontal="right"/>
    </xf>
    <xf numFmtId="164" fontId="24" fillId="0" borderId="26" xfId="88" applyNumberFormat="1" applyFont="1" applyBorder="1"/>
    <xf numFmtId="39" fontId="42" fillId="0" borderId="0" xfId="0" applyNumberFormat="1" applyFont="1"/>
    <xf numFmtId="168" fontId="45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5" fillId="0" borderId="0" xfId="0" applyNumberFormat="1" applyFont="1" applyAlignment="1">
      <alignment horizontal="center"/>
    </xf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>
      <alignment horizontal="left"/>
    </xf>
    <xf numFmtId="176" fontId="42" fillId="0" borderId="0" xfId="88" applyNumberFormat="1" applyFont="1"/>
    <xf numFmtId="0" fontId="42" fillId="0" borderId="0" xfId="88" applyFont="1"/>
    <xf numFmtId="5" fontId="45" fillId="0" borderId="0" xfId="55" applyNumberFormat="1" applyFont="1" applyFill="1" applyBorder="1"/>
    <xf numFmtId="168" fontId="45" fillId="0" borderId="0" xfId="0" applyNumberFormat="1" applyFont="1" applyAlignment="1">
      <alignment horizontal="center"/>
    </xf>
    <xf numFmtId="37" fontId="25" fillId="0" borderId="0" xfId="0" applyFont="1"/>
    <xf numFmtId="37" fontId="18" fillId="0" borderId="0" xfId="89" applyFont="1" applyAlignment="1">
      <alignment horizontal="center"/>
    </xf>
    <xf numFmtId="37" fontId="18" fillId="0" borderId="10" xfId="0" applyFont="1" applyBorder="1"/>
    <xf numFmtId="37" fontId="18" fillId="0" borderId="0" xfId="0" applyFont="1" applyAlignment="1">
      <alignment horizontal="center"/>
    </xf>
    <xf numFmtId="174" fontId="18" fillId="0" borderId="10" xfId="93" applyNumberFormat="1" applyFont="1" applyBorder="1" applyAlignment="1">
      <alignment horizontal="center"/>
    </xf>
    <xf numFmtId="37" fontId="25" fillId="0" borderId="0" xfId="0" applyFont="1" applyAlignment="1">
      <alignment horizontal="left" indent="1"/>
    </xf>
    <xf numFmtId="37" fontId="16" fillId="0" borderId="0" xfId="0" applyFont="1" applyAlignment="1">
      <alignment horizontal="left" indent="1"/>
    </xf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5" fillId="0" borderId="0" xfId="0" applyNumberFormat="1" applyFont="1" applyAlignment="1">
      <alignment horizontal="left" indent="1"/>
    </xf>
    <xf numFmtId="37" fontId="23" fillId="0" borderId="0" xfId="89" applyFont="1" applyAlignment="1">
      <alignment horizontal="left"/>
    </xf>
    <xf numFmtId="37" fontId="23" fillId="0" borderId="10" xfId="90" applyFont="1" applyBorder="1" applyAlignment="1">
      <alignment horizontal="center" wrapText="1"/>
    </xf>
    <xf numFmtId="175" fontId="34" fillId="0" borderId="12" xfId="88" applyNumberFormat="1" applyFont="1" applyBorder="1"/>
    <xf numFmtId="10" fontId="23" fillId="19" borderId="23" xfId="90" applyNumberFormat="1" applyFont="1" applyFill="1" applyBorder="1"/>
    <xf numFmtId="186" fontId="42" fillId="0" borderId="0" xfId="88" applyNumberFormat="1" applyFont="1"/>
    <xf numFmtId="5" fontId="16" fillId="0" borderId="0" xfId="55" applyNumberFormat="1" applyFont="1" applyFill="1" applyBorder="1"/>
    <xf numFmtId="176" fontId="19" fillId="0" borderId="0" xfId="88" applyNumberFormat="1" applyFont="1" applyAlignment="1">
      <alignment horizontal="center" wrapText="1"/>
    </xf>
    <xf numFmtId="0" fontId="65" fillId="0" borderId="0" xfId="88" applyFont="1"/>
    <xf numFmtId="10" fontId="66" fillId="0" borderId="0" xfId="92" applyFont="1"/>
    <xf numFmtId="10" fontId="9" fillId="0" borderId="0" xfId="98" applyNumberFormat="1" applyFont="1"/>
    <xf numFmtId="5" fontId="45" fillId="0" borderId="0" xfId="59" applyNumberFormat="1" applyFont="1" applyFill="1"/>
    <xf numFmtId="188" fontId="13" fillId="0" borderId="0" xfId="55" applyNumberFormat="1" applyFont="1" applyBorder="1" applyAlignment="1"/>
    <xf numFmtId="37" fontId="67" fillId="0" borderId="0" xfId="0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4" fillId="0" borderId="0" xfId="92" applyNumberFormat="1" applyFont="1"/>
    <xf numFmtId="37" fontId="18" fillId="0" borderId="16" xfId="0" applyFont="1" applyBorder="1"/>
    <xf numFmtId="10" fontId="24" fillId="0" borderId="0" xfId="99" applyNumberFormat="1" applyFont="1" applyFill="1"/>
    <xf numFmtId="37" fontId="23" fillId="0" borderId="0" xfId="87" applyFont="1"/>
    <xf numFmtId="37" fontId="16" fillId="0" borderId="0" xfId="0" applyFont="1" applyAlignment="1">
      <alignment horizontal="right"/>
    </xf>
    <xf numFmtId="37" fontId="46" fillId="0" borderId="0" xfId="0" applyFont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4" fillId="0" borderId="0" xfId="88" applyNumberFormat="1" applyFont="1"/>
    <xf numFmtId="10" fontId="0" fillId="0" borderId="0" xfId="98" applyNumberFormat="1" applyFont="1"/>
    <xf numFmtId="168" fontId="5" fillId="0" borderId="0" xfId="98" applyNumberFormat="1" applyFont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Font="1"/>
    <xf numFmtId="168" fontId="13" fillId="0" borderId="0" xfId="92" applyNumberFormat="1" applyFont="1"/>
    <xf numFmtId="164" fontId="34" fillId="0" borderId="23" xfId="88" applyNumberFormat="1" applyFont="1" applyBorder="1"/>
    <xf numFmtId="0" fontId="23" fillId="0" borderId="0" xfId="88" applyFont="1" applyAlignment="1">
      <alignment horizontal="right"/>
    </xf>
    <xf numFmtId="189" fontId="42" fillId="0" borderId="0" xfId="88" applyNumberFormat="1" applyFont="1"/>
    <xf numFmtId="7" fontId="6" fillId="0" borderId="0" xfId="93" applyNumberFormat="1" applyFont="1"/>
    <xf numFmtId="1" fontId="42" fillId="0" borderId="0" xfId="88" applyNumberFormat="1" applyFont="1"/>
    <xf numFmtId="0" fontId="7" fillId="0" borderId="0" xfId="88" applyFont="1"/>
    <xf numFmtId="37" fontId="68" fillId="0" borderId="0" xfId="90" applyFont="1" applyAlignment="1">
      <alignment horizontal="right"/>
    </xf>
    <xf numFmtId="166" fontId="70" fillId="0" borderId="0" xfId="90" applyNumberFormat="1" applyFont="1" applyAlignment="1">
      <alignment horizontal="centerContinuous"/>
    </xf>
    <xf numFmtId="166" fontId="70" fillId="0" borderId="0" xfId="0" applyNumberFormat="1" applyFont="1" applyAlignment="1">
      <alignment horizontal="centerContinuous"/>
    </xf>
    <xf numFmtId="17" fontId="69" fillId="0" borderId="0" xfId="88" applyNumberFormat="1" applyFont="1" applyAlignment="1">
      <alignment horizontal="center"/>
    </xf>
    <xf numFmtId="166" fontId="71" fillId="0" borderId="0" xfId="90" applyNumberFormat="1" applyFont="1"/>
    <xf numFmtId="9" fontId="42" fillId="0" borderId="0" xfId="98" applyFont="1" applyFill="1" applyBorder="1" applyProtection="1"/>
    <xf numFmtId="168" fontId="0" fillId="0" borderId="0" xfId="98" applyNumberFormat="1" applyFont="1"/>
    <xf numFmtId="37" fontId="18" fillId="0" borderId="12" xfId="0" applyFont="1" applyBorder="1"/>
    <xf numFmtId="181" fontId="18" fillId="0" borderId="0" xfId="0" applyNumberFormat="1" applyFont="1" applyAlignment="1">
      <alignment horizontal="left"/>
    </xf>
    <xf numFmtId="10" fontId="71" fillId="0" borderId="0" xfId="92" applyFont="1"/>
    <xf numFmtId="10" fontId="2" fillId="0" borderId="0" xfId="0" applyNumberFormat="1" applyFont="1"/>
    <xf numFmtId="37" fontId="2" fillId="0" borderId="0" xfId="89" applyFont="1"/>
    <xf numFmtId="37" fontId="72" fillId="0" borderId="0" xfId="0" applyFont="1"/>
    <xf numFmtId="0" fontId="73" fillId="0" borderId="0" xfId="88" applyFont="1"/>
    <xf numFmtId="0" fontId="74" fillId="0" borderId="0" xfId="88" applyFont="1"/>
    <xf numFmtId="175" fontId="75" fillId="0" borderId="0" xfId="88" applyNumberFormat="1" applyFont="1"/>
    <xf numFmtId="183" fontId="75" fillId="0" borderId="0" xfId="88" applyNumberFormat="1" applyFont="1"/>
    <xf numFmtId="37" fontId="75" fillId="0" borderId="0" xfId="88" applyNumberFormat="1" applyFont="1"/>
    <xf numFmtId="168" fontId="72" fillId="0" borderId="0" xfId="98" applyNumberFormat="1" applyFont="1"/>
    <xf numFmtId="37" fontId="75" fillId="0" borderId="0" xfId="0" applyFont="1"/>
    <xf numFmtId="175" fontId="76" fillId="0" borderId="0" xfId="88" applyNumberFormat="1" applyFont="1"/>
    <xf numFmtId="168" fontId="76" fillId="0" borderId="0" xfId="0" applyNumberFormat="1" applyFont="1"/>
    <xf numFmtId="17" fontId="76" fillId="0" borderId="0" xfId="0" applyNumberFormat="1" applyFont="1" applyAlignment="1">
      <alignment horizontal="center"/>
    </xf>
    <xf numFmtId="39" fontId="76" fillId="0" borderId="0" xfId="0" applyNumberFormat="1" applyFont="1" applyAlignment="1">
      <alignment horizontal="center"/>
    </xf>
    <xf numFmtId="37" fontId="73" fillId="0" borderId="0" xfId="90" applyFont="1"/>
    <xf numFmtId="15" fontId="77" fillId="0" borderId="0" xfId="93" applyNumberFormat="1" applyFont="1" applyAlignment="1">
      <alignment horizontal="center"/>
    </xf>
    <xf numFmtId="15" fontId="77" fillId="0" borderId="0" xfId="93" applyNumberFormat="1" applyFont="1" applyAlignment="1">
      <alignment horizontal="right"/>
    </xf>
    <xf numFmtId="5" fontId="77" fillId="0" borderId="0" xfId="93" applyNumberFormat="1" applyFont="1"/>
    <xf numFmtId="5" fontId="16" fillId="20" borderId="0" xfId="93" applyNumberFormat="1" applyFont="1" applyFill="1"/>
    <xf numFmtId="175" fontId="23" fillId="20" borderId="12" xfId="88" applyNumberFormat="1" applyFont="1" applyFill="1" applyBorder="1"/>
    <xf numFmtId="175" fontId="23" fillId="20" borderId="0" xfId="88" applyNumberFormat="1" applyFont="1" applyFill="1"/>
    <xf numFmtId="37" fontId="16" fillId="20" borderId="0" xfId="0" applyFont="1" applyFill="1"/>
    <xf numFmtId="37" fontId="0" fillId="20" borderId="0" xfId="0" applyFill="1"/>
    <xf numFmtId="5" fontId="19" fillId="20" borderId="0" xfId="59" applyNumberFormat="1" applyFont="1" applyFill="1" applyBorder="1"/>
    <xf numFmtId="5" fontId="45" fillId="20" borderId="0" xfId="59" applyNumberFormat="1" applyFont="1" applyFill="1" applyBorder="1"/>
    <xf numFmtId="5" fontId="13" fillId="20" borderId="0" xfId="89" applyNumberFormat="1" applyFont="1" applyFill="1"/>
    <xf numFmtId="5" fontId="29" fillId="20" borderId="0" xfId="89" applyNumberFormat="1" applyFont="1" applyFill="1"/>
    <xf numFmtId="164" fontId="42" fillId="20" borderId="0" xfId="88" applyNumberFormat="1" applyFont="1" applyFill="1"/>
    <xf numFmtId="5" fontId="13" fillId="20" borderId="0" xfId="55" applyNumberFormat="1" applyFont="1" applyFill="1" applyAlignment="1" applyProtection="1"/>
    <xf numFmtId="5" fontId="13" fillId="20" borderId="0" xfId="92" applyNumberFormat="1" applyFont="1" applyFill="1"/>
    <xf numFmtId="10" fontId="13" fillId="20" borderId="0" xfId="92" applyFont="1" applyFill="1"/>
    <xf numFmtId="5" fontId="28" fillId="20" borderId="0" xfId="92" applyNumberFormat="1" applyFont="1" applyFill="1"/>
    <xf numFmtId="0" fontId="23" fillId="0" borderId="0" xfId="88" applyFont="1" applyAlignment="1">
      <alignment horizontal="center"/>
    </xf>
    <xf numFmtId="0" fontId="41" fillId="0" borderId="0" xfId="88" applyFont="1" applyAlignment="1">
      <alignment horizontal="center" vertical="center" wrapText="1"/>
    </xf>
    <xf numFmtId="37" fontId="18" fillId="0" borderId="16" xfId="0" applyFont="1" applyBorder="1" applyAlignment="1">
      <alignment horizontal="left"/>
    </xf>
    <xf numFmtId="37" fontId="18" fillId="0" borderId="0" xfId="0" applyFont="1" applyAlignment="1">
      <alignment horizontal="left"/>
    </xf>
    <xf numFmtId="37" fontId="39" fillId="0" borderId="29" xfId="0" applyFont="1" applyBorder="1" applyAlignment="1">
      <alignment horizontal="left"/>
    </xf>
    <xf numFmtId="37" fontId="39" fillId="0" borderId="15" xfId="0" applyFont="1" applyBorder="1" applyAlignment="1">
      <alignment horizontal="left"/>
    </xf>
    <xf numFmtId="181" fontId="18" fillId="0" borderId="0" xfId="93" applyNumberFormat="1" applyFont="1" applyAlignment="1">
      <alignment horizontal="left"/>
    </xf>
  </cellXfs>
  <cellStyles count="111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" xfId="55" builtinId="3"/>
    <cellStyle name="Comma 2" xfId="56" xr:uid="{00000000-0005-0000-0000-000037000000}"/>
    <cellStyle name="Comma 3" xfId="57" xr:uid="{00000000-0005-0000-0000-000038000000}"/>
    <cellStyle name="Comma 4" xfId="108" xr:uid="{00000000-0005-0000-0000-000039000000}"/>
    <cellStyle name="Comma0" xfId="58" xr:uid="{00000000-0005-0000-0000-00003A000000}"/>
    <cellStyle name="Currency" xfId="59" builtinId="4"/>
    <cellStyle name="Currency 2" xfId="60" xr:uid="{00000000-0005-0000-0000-00003C000000}"/>
    <cellStyle name="Currency 3" xfId="61" xr:uid="{00000000-0005-0000-0000-00003D000000}"/>
    <cellStyle name="Currency 4" xfId="109" xr:uid="{00000000-0005-0000-0000-00003E000000}"/>
    <cellStyle name="Currency0" xfId="62" xr:uid="{00000000-0005-0000-0000-00003F000000}"/>
    <cellStyle name="Date" xfId="63" xr:uid="{00000000-0005-0000-0000-000040000000}"/>
    <cellStyle name="Explanatory Text" xfId="64" builtinId="53" customBuiltin="1"/>
    <cellStyle name="Explanatory Text 2" xfId="65" xr:uid="{00000000-0005-0000-0000-000042000000}"/>
    <cellStyle name="Good" xfId="66" builtinId="26" customBuiltin="1"/>
    <cellStyle name="Good 2" xfId="67" xr:uid="{00000000-0005-0000-0000-000044000000}"/>
    <cellStyle name="Heading 1" xfId="68" builtinId="16" customBuiltin="1"/>
    <cellStyle name="Heading 1 2" xfId="69" xr:uid="{00000000-0005-0000-0000-000046000000}"/>
    <cellStyle name="Heading 2" xfId="70" builtinId="17" customBuiltin="1"/>
    <cellStyle name="Heading 2 2" xfId="71" xr:uid="{00000000-0005-0000-0000-000048000000}"/>
    <cellStyle name="Heading 3" xfId="72" builtinId="18" customBuiltin="1"/>
    <cellStyle name="Heading 3 2" xfId="73" xr:uid="{00000000-0005-0000-0000-00004A000000}"/>
    <cellStyle name="Heading 4" xfId="74" builtinId="19" customBuiltin="1"/>
    <cellStyle name="Heading 4 2" xfId="75" xr:uid="{00000000-0005-0000-0000-00004C000000}"/>
    <cellStyle name="Input" xfId="76" builtinId="20" customBuiltin="1"/>
    <cellStyle name="Input 2" xfId="77" xr:uid="{00000000-0005-0000-0000-00004E000000}"/>
    <cellStyle name="Linked Cell" xfId="78" builtinId="24" customBuiltin="1"/>
    <cellStyle name="Linked Cell 2" xfId="79" xr:uid="{00000000-0005-0000-0000-000050000000}"/>
    <cellStyle name="Lisa" xfId="80" xr:uid="{00000000-0005-0000-0000-000051000000}"/>
    <cellStyle name="Neutral" xfId="81" builtinId="28" customBuiltin="1"/>
    <cellStyle name="Neutral 2" xfId="82" xr:uid="{00000000-0005-0000-0000-000053000000}"/>
    <cellStyle name="Normal" xfId="0" builtinId="0"/>
    <cellStyle name="Normal 2" xfId="83" xr:uid="{00000000-0005-0000-0000-000055000000}"/>
    <cellStyle name="Normal 2 2" xfId="84" xr:uid="{00000000-0005-0000-0000-000056000000}"/>
    <cellStyle name="Normal 2 2 2" xfId="85" xr:uid="{00000000-0005-0000-0000-000057000000}"/>
    <cellStyle name="Normal 2 3" xfId="86" xr:uid="{00000000-0005-0000-0000-000058000000}"/>
    <cellStyle name="Normal 3" xfId="87" xr:uid="{00000000-0005-0000-0000-000059000000}"/>
    <cellStyle name="Normal 4" xfId="107" xr:uid="{00000000-0005-0000-0000-00005A000000}"/>
    <cellStyle name="Normal_AMACAPST" xfId="88" xr:uid="{00000000-0005-0000-0000-00005B000000}"/>
    <cellStyle name="Normal_COSTOF" xfId="89" xr:uid="{00000000-0005-0000-0000-00005C000000}"/>
    <cellStyle name="Normal_COSTOFD" xfId="90" xr:uid="{00000000-0005-0000-0000-00005D000000}"/>
    <cellStyle name="Normal_COSTOFPR" xfId="91" xr:uid="{00000000-0005-0000-0000-00005E000000}"/>
    <cellStyle name="Normal_RATEOFRE" xfId="92" xr:uid="{00000000-0005-0000-0000-00005F000000}"/>
    <cellStyle name="Normal_SCHEDULE" xfId="93" xr:uid="{00000000-0005-0000-0000-000060000000}"/>
    <cellStyle name="Note" xfId="94" builtinId="10" customBuiltin="1"/>
    <cellStyle name="Note 2" xfId="95" xr:uid="{00000000-0005-0000-0000-000062000000}"/>
    <cellStyle name="Output" xfId="96" builtinId="21" customBuiltin="1"/>
    <cellStyle name="Output 2" xfId="97" xr:uid="{00000000-0005-0000-0000-000064000000}"/>
    <cellStyle name="Percent" xfId="98" builtinId="5"/>
    <cellStyle name="Percent 2" xfId="99" xr:uid="{00000000-0005-0000-0000-000066000000}"/>
    <cellStyle name="Percent 3" xfId="100" xr:uid="{00000000-0005-0000-0000-000067000000}"/>
    <cellStyle name="Percent 4" xfId="110" xr:uid="{00000000-0005-0000-0000-000068000000}"/>
    <cellStyle name="Title" xfId="101" builtinId="15" customBuiltin="1"/>
    <cellStyle name="Title 2" xfId="102" xr:uid="{00000000-0005-0000-0000-00006A000000}"/>
    <cellStyle name="Total" xfId="103" builtinId="25" customBuiltin="1"/>
    <cellStyle name="Total 2" xfId="104" xr:uid="{00000000-0005-0000-0000-00006C000000}"/>
    <cellStyle name="Warning Text" xfId="105" builtinId="11" customBuiltin="1"/>
    <cellStyle name="Warning Text 2" xfId="106" xr:uid="{00000000-0005-0000-0000-00006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28</xdr:row>
      <xdr:rowOff>0</xdr:rowOff>
    </xdr:from>
    <xdr:to>
      <xdr:col>21</xdr:col>
      <xdr:colOff>199733</xdr:colOff>
      <xdr:row>44</xdr:row>
      <xdr:rowOff>142556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D9E71-968F-77FA-5164-E4997C9D3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1075" y="4029075"/>
          <a:ext cx="2333333" cy="25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MENT%20PROCESSING\Wong%20Matthew\Reports\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M35" sqref="M35"/>
    </sheetView>
  </sheetViews>
  <sheetFormatPr defaultColWidth="11.5" defaultRowHeight="12.75"/>
  <cols>
    <col min="1" max="1" width="3.83203125" style="12" customWidth="1"/>
    <col min="2" max="2" width="37.33203125" style="12" customWidth="1"/>
    <col min="3" max="3" width="18.1640625" style="12" customWidth="1"/>
    <col min="4" max="4" width="13.5" style="12" customWidth="1"/>
    <col min="5" max="5" width="13.1640625" style="12" customWidth="1"/>
    <col min="6" max="6" width="13.5" style="12" customWidth="1"/>
    <col min="7" max="7" width="11.5" style="12" customWidth="1"/>
    <col min="8" max="8" width="13.83203125" style="12" customWidth="1"/>
    <col min="9" max="9" width="17.6640625" style="12" customWidth="1"/>
    <col min="10" max="10" width="8.5" style="12" customWidth="1"/>
    <col min="11" max="11" width="9" style="12" customWidth="1"/>
    <col min="12" max="12" width="8.6640625" style="12" customWidth="1"/>
    <col min="13" max="16384" width="11.5" style="12"/>
  </cols>
  <sheetData>
    <row r="1" spans="1:12" ht="15.75">
      <c r="B1" s="256" t="s">
        <v>151</v>
      </c>
      <c r="C1" s="256"/>
      <c r="D1" s="256"/>
      <c r="E1" s="256"/>
      <c r="F1" s="256"/>
    </row>
    <row r="2" spans="1:12">
      <c r="A2" s="78"/>
      <c r="B2" s="13"/>
      <c r="C2" s="13"/>
      <c r="D2" s="13"/>
      <c r="E2" s="13"/>
      <c r="F2" s="13"/>
    </row>
    <row r="3" spans="1:12" ht="15.75">
      <c r="B3" s="257" t="s">
        <v>3</v>
      </c>
      <c r="C3" s="257"/>
      <c r="D3" s="257"/>
      <c r="E3" s="257"/>
      <c r="F3" s="257"/>
    </row>
    <row r="4" spans="1:12" ht="15.75">
      <c r="B4" s="258" t="s">
        <v>39</v>
      </c>
      <c r="C4" s="258"/>
      <c r="D4" s="258"/>
      <c r="E4" s="258"/>
      <c r="F4" s="258"/>
      <c r="H4" s="179"/>
      <c r="L4" s="181"/>
    </row>
    <row r="5" spans="1:12">
      <c r="A5" s="79"/>
      <c r="B5" s="192" t="s">
        <v>149</v>
      </c>
      <c r="C5" s="192"/>
      <c r="D5" s="192"/>
      <c r="E5" s="192"/>
      <c r="F5" s="192"/>
      <c r="H5" s="179"/>
      <c r="L5" s="181"/>
    </row>
    <row r="6" spans="1:12">
      <c r="A6" s="14"/>
      <c r="C6" s="15"/>
      <c r="F6" s="341"/>
      <c r="H6" s="179"/>
      <c r="L6" s="181"/>
    </row>
    <row r="7" spans="1:12">
      <c r="A7" s="14"/>
      <c r="B7" s="79"/>
      <c r="C7" s="79"/>
      <c r="D7" s="79"/>
      <c r="E7" s="79"/>
      <c r="F7" s="79"/>
      <c r="H7" s="179"/>
      <c r="L7" s="181"/>
    </row>
    <row r="8" spans="1:12">
      <c r="A8" s="148">
        <v>1</v>
      </c>
      <c r="B8" s="97" t="s">
        <v>2</v>
      </c>
      <c r="C8" s="97" t="s">
        <v>19</v>
      </c>
      <c r="D8" s="97" t="s">
        <v>34</v>
      </c>
      <c r="E8" s="97" t="s">
        <v>45</v>
      </c>
      <c r="F8" s="97" t="s">
        <v>46</v>
      </c>
      <c r="H8" s="179"/>
      <c r="L8" s="181"/>
    </row>
    <row r="9" spans="1:12">
      <c r="A9" s="148">
        <f>+A8+1</f>
        <v>2</v>
      </c>
      <c r="B9" s="79"/>
      <c r="C9" s="79"/>
      <c r="D9" s="79"/>
      <c r="E9" s="79"/>
      <c r="F9" s="79"/>
      <c r="H9" s="179"/>
      <c r="L9" s="181"/>
    </row>
    <row r="10" spans="1:12">
      <c r="A10" s="148">
        <f t="shared" ref="A10:A17" si="0">+A9+1</f>
        <v>3</v>
      </c>
      <c r="B10" s="80" t="s">
        <v>1</v>
      </c>
      <c r="C10" s="81"/>
      <c r="D10" s="81"/>
      <c r="E10" s="81"/>
      <c r="F10" s="81" t="s">
        <v>4</v>
      </c>
      <c r="H10" s="179"/>
      <c r="L10" s="181"/>
    </row>
    <row r="11" spans="1:12">
      <c r="A11" s="148">
        <f t="shared" si="0"/>
        <v>4</v>
      </c>
      <c r="B11" s="81"/>
      <c r="C11" s="81"/>
      <c r="D11" s="81"/>
      <c r="E11" s="81"/>
      <c r="F11" s="81" t="s">
        <v>5</v>
      </c>
      <c r="H11" s="179"/>
      <c r="L11" s="181"/>
    </row>
    <row r="12" spans="1:12">
      <c r="A12" s="148">
        <f t="shared" si="0"/>
        <v>5</v>
      </c>
      <c r="B12" s="82" t="s">
        <v>6</v>
      </c>
      <c r="C12" s="82" t="s">
        <v>60</v>
      </c>
      <c r="D12" s="82" t="s">
        <v>7</v>
      </c>
      <c r="E12" s="82" t="s">
        <v>8</v>
      </c>
      <c r="F12" s="82" t="s">
        <v>9</v>
      </c>
      <c r="H12" s="179"/>
      <c r="L12" s="181"/>
    </row>
    <row r="13" spans="1:12">
      <c r="A13" s="148">
        <f t="shared" si="0"/>
        <v>6</v>
      </c>
      <c r="B13" s="83"/>
      <c r="C13" s="83"/>
      <c r="D13" s="83"/>
      <c r="E13" s="83"/>
      <c r="F13" s="83"/>
      <c r="H13" s="179"/>
      <c r="L13" s="181"/>
    </row>
    <row r="14" spans="1:12">
      <c r="A14" s="148">
        <f t="shared" si="0"/>
        <v>7</v>
      </c>
      <c r="B14" s="83" t="s">
        <v>10</v>
      </c>
      <c r="C14" s="370">
        <f>'Pg 2 CapStructure'!Q10</f>
        <v>52406250</v>
      </c>
      <c r="D14" s="325">
        <f>ROUND(C14/$C$30,4)</f>
        <v>6.4799999999999996E-2</v>
      </c>
      <c r="E14" s="372">
        <f>'Pg 6 LTD Cost '!H31</f>
        <v>3.3000000000000002E-2</v>
      </c>
      <c r="F14" s="79">
        <f>ROUND(D14*E14,4)</f>
        <v>2.0999999999999999E-3</v>
      </c>
      <c r="L14" s="179"/>
    </row>
    <row r="15" spans="1:12">
      <c r="A15" s="148">
        <f t="shared" si="0"/>
        <v>8</v>
      </c>
      <c r="B15" s="83"/>
      <c r="C15" s="131"/>
      <c r="D15" s="79"/>
      <c r="E15" s="79"/>
      <c r="F15" s="79"/>
      <c r="L15" s="179"/>
    </row>
    <row r="16" spans="1:12">
      <c r="A16" s="148">
        <f t="shared" si="0"/>
        <v>9</v>
      </c>
      <c r="B16" s="83" t="s">
        <v>11</v>
      </c>
      <c r="C16" s="371">
        <f>'Pg 2 CapStructure'!Q16</f>
        <v>375000000</v>
      </c>
      <c r="D16" s="302">
        <f>ROUND(C16/$C$30,4)</f>
        <v>0.4637</v>
      </c>
      <c r="E16" s="372">
        <f>'Pg 6 LTD Cost '!H29</f>
        <v>4.5600000000000002E-2</v>
      </c>
      <c r="F16" s="79">
        <f>ROUND(D16*E16,4)</f>
        <v>2.1100000000000001E-2</v>
      </c>
      <c r="L16" s="179"/>
    </row>
    <row r="17" spans="1:12">
      <c r="A17" s="148">
        <f t="shared" si="0"/>
        <v>10</v>
      </c>
      <c r="B17" s="85"/>
      <c r="C17" s="131"/>
      <c r="D17" s="79"/>
      <c r="E17" s="79"/>
      <c r="F17" s="79"/>
      <c r="H17" s="188"/>
      <c r="L17" s="179"/>
    </row>
    <row r="18" spans="1:12">
      <c r="A18" s="148">
        <v>11</v>
      </c>
      <c r="B18" s="79" t="s">
        <v>137</v>
      </c>
      <c r="C18" s="131"/>
      <c r="D18" s="79">
        <f>ROUND((C14+C16)/C30,4)</f>
        <v>0.52849999999999997</v>
      </c>
      <c r="E18" s="372">
        <f>'Pg 6 LTD Cost '!H33</f>
        <v>4.3999999999999997E-2</v>
      </c>
      <c r="F18" s="79">
        <f>F16+F14</f>
        <v>2.3200000000000002E-2</v>
      </c>
      <c r="H18" s="310"/>
      <c r="L18" s="179"/>
    </row>
    <row r="19" spans="1:12">
      <c r="A19" s="148">
        <v>12</v>
      </c>
      <c r="B19" s="85"/>
      <c r="C19" s="131"/>
      <c r="D19" s="79"/>
      <c r="E19" s="79"/>
      <c r="F19" s="79"/>
      <c r="H19" s="188"/>
      <c r="L19" s="179"/>
    </row>
    <row r="20" spans="1:12">
      <c r="A20" s="148">
        <v>13</v>
      </c>
      <c r="B20" s="79" t="s">
        <v>36</v>
      </c>
      <c r="C20" s="131"/>
      <c r="D20" s="79"/>
      <c r="E20" s="79"/>
      <c r="F20" s="372">
        <f>'Pg 4 STD OS &amp; Comm Fees'!F20</f>
        <v>2.0000000000000001E-4</v>
      </c>
      <c r="H20" s="188"/>
      <c r="L20" s="179"/>
    </row>
    <row r="21" spans="1:12">
      <c r="A21" s="148">
        <v>14</v>
      </c>
      <c r="B21" s="85"/>
      <c r="C21" s="131"/>
      <c r="D21" s="79"/>
      <c r="E21" s="79"/>
      <c r="F21" s="79"/>
      <c r="H21" s="188"/>
      <c r="L21" s="179"/>
    </row>
    <row r="22" spans="1:12">
      <c r="A22" s="148">
        <v>15</v>
      </c>
      <c r="B22" s="79" t="s">
        <v>138</v>
      </c>
      <c r="C22" s="131"/>
      <c r="D22" s="79"/>
      <c r="E22" s="79"/>
      <c r="F22" s="372">
        <f>'Pg 5 STD Amort'!H35</f>
        <v>1E-4</v>
      </c>
      <c r="H22" s="188"/>
      <c r="L22" s="179"/>
    </row>
    <row r="23" spans="1:12">
      <c r="A23" s="148">
        <v>16</v>
      </c>
      <c r="B23" s="85"/>
      <c r="C23" s="131"/>
      <c r="D23" s="79"/>
      <c r="E23" s="79"/>
      <c r="F23" s="79"/>
      <c r="H23" s="188"/>
      <c r="L23" s="179"/>
    </row>
    <row r="24" spans="1:12">
      <c r="A24" s="148">
        <v>17</v>
      </c>
      <c r="B24" s="79" t="s">
        <v>139</v>
      </c>
      <c r="C24" s="131"/>
      <c r="D24" s="79"/>
      <c r="E24" s="79"/>
      <c r="F24" s="372">
        <f>'Pg 7 Reacquired Debt'!I17</f>
        <v>1E-4</v>
      </c>
      <c r="H24" s="188"/>
      <c r="L24" s="179"/>
    </row>
    <row r="25" spans="1:12">
      <c r="A25" s="148">
        <v>18</v>
      </c>
      <c r="B25" s="85"/>
      <c r="C25" s="131"/>
      <c r="D25" s="79"/>
      <c r="E25" s="79"/>
      <c r="F25" s="79"/>
      <c r="H25" s="188"/>
      <c r="L25" s="179"/>
    </row>
    <row r="26" spans="1:12">
      <c r="A26" s="148">
        <v>19</v>
      </c>
      <c r="B26" s="85" t="s">
        <v>140</v>
      </c>
      <c r="C26" s="131">
        <f>C16+C14</f>
        <v>427406250</v>
      </c>
      <c r="D26" s="79">
        <f>D18</f>
        <v>0.52849999999999997</v>
      </c>
      <c r="E26" s="342">
        <f>F26/D26</f>
        <v>4.4654683065279095E-2</v>
      </c>
      <c r="F26" s="79">
        <f>SUM(F18:F25)</f>
        <v>2.3599999999999999E-2</v>
      </c>
      <c r="G26" s="321"/>
      <c r="H26" s="188"/>
      <c r="L26" s="179"/>
    </row>
    <row r="27" spans="1:12">
      <c r="A27" s="148">
        <v>20</v>
      </c>
      <c r="B27" s="85"/>
      <c r="C27" s="131"/>
      <c r="D27" s="79"/>
      <c r="E27" s="79"/>
      <c r="F27" s="79"/>
      <c r="H27" s="188"/>
      <c r="L27" s="179"/>
    </row>
    <row r="28" spans="1:12">
      <c r="A28" s="148">
        <v>21</v>
      </c>
      <c r="B28" s="84" t="s">
        <v>12</v>
      </c>
      <c r="C28" s="373">
        <f>'Pg 2 CapStructure'!Q20</f>
        <v>381279069</v>
      </c>
      <c r="D28" s="252">
        <f>ROUND(C28/$C$30,4)</f>
        <v>0.47149999999999997</v>
      </c>
      <c r="E28" s="324">
        <v>9.4E-2</v>
      </c>
      <c r="F28" s="252">
        <f>ROUND(D28*E28,4)</f>
        <v>4.4299999999999999E-2</v>
      </c>
      <c r="H28" s="189"/>
      <c r="I28" s="324"/>
      <c r="J28" s="190"/>
      <c r="K28" s="191"/>
      <c r="L28" s="79"/>
    </row>
    <row r="29" spans="1:12">
      <c r="A29" s="148">
        <v>22</v>
      </c>
      <c r="B29" s="85"/>
      <c r="C29" s="79"/>
      <c r="D29" s="132"/>
      <c r="E29" s="191"/>
      <c r="F29" s="79"/>
      <c r="H29" s="189"/>
      <c r="I29" s="324"/>
      <c r="J29" s="190"/>
      <c r="K29" s="191"/>
      <c r="L29" s="79"/>
    </row>
    <row r="30" spans="1:12">
      <c r="A30" s="148">
        <v>23</v>
      </c>
      <c r="B30" s="84" t="s">
        <v>13</v>
      </c>
      <c r="C30" s="133">
        <f>C28+C26</f>
        <v>808685319</v>
      </c>
      <c r="D30" s="134">
        <f>D28+D18</f>
        <v>1</v>
      </c>
      <c r="E30" s="305"/>
      <c r="F30" s="134">
        <f>F28+F26</f>
        <v>6.7900000000000002E-2</v>
      </c>
      <c r="H30" s="79"/>
      <c r="I30" s="79"/>
      <c r="J30" s="190"/>
      <c r="K30" s="79"/>
      <c r="L30" s="79"/>
    </row>
    <row r="31" spans="1:12">
      <c r="A31" s="148">
        <v>24</v>
      </c>
      <c r="B31" s="79"/>
      <c r="C31" s="79"/>
      <c r="D31" s="79"/>
      <c r="E31" s="134"/>
      <c r="F31" s="79"/>
      <c r="H31" s="79"/>
      <c r="I31" s="79"/>
      <c r="J31" s="79"/>
    </row>
    <row r="32" spans="1:12">
      <c r="A32" s="148">
        <v>25</v>
      </c>
      <c r="B32" s="79"/>
      <c r="C32" s="79"/>
      <c r="D32" s="79"/>
      <c r="E32" s="79"/>
      <c r="F32" s="79"/>
    </row>
    <row r="33" spans="1:7">
      <c r="A33" s="148">
        <v>26</v>
      </c>
      <c r="B33" s="277" t="s">
        <v>130</v>
      </c>
      <c r="C33" s="79"/>
      <c r="D33" s="79"/>
      <c r="E33" s="109"/>
      <c r="F33" s="79"/>
      <c r="G33" s="182"/>
    </row>
    <row r="34" spans="1:7">
      <c r="A34" s="11"/>
      <c r="B34" s="79"/>
      <c r="C34" s="79"/>
      <c r="D34" s="79"/>
      <c r="E34" s="79"/>
      <c r="F34" s="79"/>
    </row>
    <row r="35" spans="1:7">
      <c r="A35" s="11"/>
      <c r="B35" s="79"/>
      <c r="C35" s="131"/>
      <c r="D35" s="79"/>
      <c r="E35" s="79"/>
      <c r="F35" s="79"/>
    </row>
    <row r="36" spans="1:7">
      <c r="A36" s="11"/>
      <c r="B36" s="79"/>
      <c r="C36" s="131"/>
      <c r="D36" s="79"/>
      <c r="E36" s="79"/>
      <c r="F36" s="79"/>
    </row>
    <row r="37" spans="1:7">
      <c r="A37" s="11"/>
      <c r="B37" s="79"/>
      <c r="C37" s="131"/>
      <c r="D37" s="79"/>
      <c r="E37" s="79"/>
      <c r="F37" s="79"/>
    </row>
    <row r="38" spans="1:7">
      <c r="A38" s="11"/>
      <c r="B38" s="79"/>
      <c r="D38" s="79"/>
      <c r="E38" s="79"/>
      <c r="F38" s="79"/>
    </row>
    <row r="39" spans="1:7">
      <c r="A39" s="11"/>
      <c r="B39" s="79"/>
      <c r="C39" s="131"/>
      <c r="D39" s="79"/>
      <c r="E39" s="79"/>
      <c r="F39" s="79"/>
    </row>
    <row r="40" spans="1:7">
      <c r="A40" s="11"/>
      <c r="B40" s="79"/>
      <c r="C40" s="79"/>
      <c r="D40" s="79"/>
      <c r="E40" s="79"/>
      <c r="F40" s="79"/>
    </row>
    <row r="41" spans="1:7">
      <c r="A41" s="11"/>
      <c r="B41" s="79"/>
      <c r="C41" s="79"/>
      <c r="D41" s="79"/>
      <c r="E41" s="79"/>
      <c r="F41" s="79"/>
    </row>
    <row r="42" spans="1:7">
      <c r="B42" s="79"/>
      <c r="C42" s="79"/>
      <c r="D42" s="79"/>
      <c r="E42" s="79"/>
      <c r="F42" s="79"/>
    </row>
    <row r="43" spans="1:7">
      <c r="B43" s="79"/>
      <c r="C43" s="79"/>
      <c r="D43" s="79"/>
      <c r="E43" s="79"/>
      <c r="F43" s="79"/>
    </row>
    <row r="44" spans="1:7">
      <c r="E44" s="79"/>
    </row>
    <row r="46" spans="1:7">
      <c r="C46" s="16"/>
      <c r="D46" s="17"/>
    </row>
    <row r="47" spans="1:7">
      <c r="D47" s="17"/>
    </row>
    <row r="48" spans="1:7">
      <c r="C48" s="16"/>
      <c r="D48" s="17"/>
    </row>
    <row r="49" spans="3:4">
      <c r="C49" s="16"/>
      <c r="D49" s="17"/>
    </row>
    <row r="50" spans="3:4">
      <c r="C50" s="16"/>
      <c r="D50" s="17"/>
    </row>
    <row r="51" spans="3:4">
      <c r="C51" s="16"/>
      <c r="D51" s="17"/>
    </row>
    <row r="52" spans="3:4">
      <c r="D52" s="17"/>
    </row>
    <row r="53" spans="3:4">
      <c r="C53" s="16"/>
      <c r="D53" s="17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A677"/>
  <sheetViews>
    <sheetView zoomScaleNormal="100" workbookViewId="0">
      <pane xSplit="2" ySplit="6" topLeftCell="C7" activePane="bottomRight" state="frozen"/>
      <selection activeCell="C28" sqref="C28"/>
      <selection pane="topRight" activeCell="C28" sqref="C28"/>
      <selection pane="bottomLeft" activeCell="C28" sqref="C28"/>
      <selection pane="bottomRight" activeCell="C12" sqref="C12:O12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4.1640625" style="1" customWidth="1"/>
    <col min="4" max="4" width="11" style="1" customWidth="1"/>
    <col min="5" max="5" width="11.1640625" style="1" customWidth="1"/>
    <col min="6" max="7" width="10.83203125" style="1" customWidth="1"/>
    <col min="8" max="9" width="10.5" style="1" customWidth="1"/>
    <col min="10" max="11" width="10.83203125" style="1" customWidth="1"/>
    <col min="12" max="14" width="10.6640625" style="1" customWidth="1"/>
    <col min="15" max="15" width="11.5" style="1" customWidth="1"/>
    <col min="16" max="16" width="2.6640625" style="1" customWidth="1"/>
    <col min="17" max="17" width="12.5" style="1" customWidth="1"/>
    <col min="18" max="18" width="10.33203125" style="1" customWidth="1"/>
    <col min="19" max="19" width="17.83203125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 ht="15.75">
      <c r="B1" s="256" t="s">
        <v>151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53">
      <c r="B2" s="113" t="s">
        <v>167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53" ht="12.75" customHeight="1">
      <c r="B3" s="375" t="s">
        <v>147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</row>
    <row r="4" spans="1:53">
      <c r="B4" s="374" t="s">
        <v>40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</row>
    <row r="5" spans="1:53">
      <c r="A5" s="99">
        <v>1</v>
      </c>
      <c r="B5" s="97" t="s">
        <v>2</v>
      </c>
      <c r="C5" s="97" t="s">
        <v>19</v>
      </c>
      <c r="D5" s="97" t="s">
        <v>34</v>
      </c>
      <c r="E5" s="97" t="s">
        <v>45</v>
      </c>
      <c r="F5" s="97" t="s">
        <v>46</v>
      </c>
      <c r="G5" s="97" t="s">
        <v>47</v>
      </c>
      <c r="H5" s="97" t="s">
        <v>48</v>
      </c>
      <c r="I5" s="97" t="s">
        <v>49</v>
      </c>
      <c r="J5" s="97" t="s">
        <v>50</v>
      </c>
      <c r="K5" s="97" t="s">
        <v>52</v>
      </c>
      <c r="L5" s="97" t="s">
        <v>53</v>
      </c>
      <c r="M5" s="97" t="s">
        <v>54</v>
      </c>
      <c r="N5" s="97" t="s">
        <v>55</v>
      </c>
      <c r="O5" s="97" t="s">
        <v>56</v>
      </c>
      <c r="P5" s="97"/>
      <c r="Q5" s="97" t="s">
        <v>57</v>
      </c>
    </row>
    <row r="6" spans="1:53" ht="35.1" customHeight="1">
      <c r="A6" s="99">
        <f>+A5+1</f>
        <v>2</v>
      </c>
      <c r="B6" s="77" t="s">
        <v>0</v>
      </c>
      <c r="C6" s="150">
        <v>44561</v>
      </c>
      <c r="D6" s="150">
        <v>44592</v>
      </c>
      <c r="E6" s="150">
        <v>44620</v>
      </c>
      <c r="F6" s="150">
        <v>44651</v>
      </c>
      <c r="G6" s="150">
        <v>44681</v>
      </c>
      <c r="H6" s="150">
        <v>44712</v>
      </c>
      <c r="I6" s="150">
        <v>44742</v>
      </c>
      <c r="J6" s="150">
        <v>44773</v>
      </c>
      <c r="K6" s="150">
        <v>44804</v>
      </c>
      <c r="L6" s="150">
        <v>44834</v>
      </c>
      <c r="M6" s="150">
        <v>44865</v>
      </c>
      <c r="N6" s="150">
        <v>44895</v>
      </c>
      <c r="O6" s="150">
        <v>44926</v>
      </c>
      <c r="P6" s="150"/>
      <c r="Q6" s="92" t="s">
        <v>91</v>
      </c>
      <c r="R6" s="76"/>
      <c r="S6" s="70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</row>
    <row r="7" spans="1:53">
      <c r="A7" s="99">
        <f>+A6+1</f>
        <v>3</v>
      </c>
      <c r="B7" s="111" t="s">
        <v>25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128">
        <f>ROUND(((C7+O7)+(SUM(D7:N7)*2))/24,0)</f>
        <v>0</v>
      </c>
      <c r="R7" s="300"/>
      <c r="S7" s="301"/>
      <c r="T7" s="301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</row>
    <row r="8" spans="1:53">
      <c r="A8" s="99">
        <f>+A7+1</f>
        <v>4</v>
      </c>
      <c r="B8" s="111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128">
        <f>ROUND(((C8+L8)+(SUM(D8:N8)*2))/24,0)</f>
        <v>0</v>
      </c>
      <c r="R8" s="300"/>
      <c r="S8" s="301"/>
      <c r="T8" s="301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</row>
    <row r="9" spans="1:53" ht="13.5" thickBot="1">
      <c r="A9" s="99">
        <f>+A8+1</f>
        <v>5</v>
      </c>
      <c r="B9" s="111" t="s">
        <v>158</v>
      </c>
      <c r="C9" s="278">
        <v>70950000</v>
      </c>
      <c r="D9" s="278">
        <v>72600000</v>
      </c>
      <c r="E9" s="278">
        <v>60800000</v>
      </c>
      <c r="F9" s="278">
        <v>49900000</v>
      </c>
      <c r="G9" s="278">
        <v>47300000</v>
      </c>
      <c r="H9" s="278">
        <v>47300000</v>
      </c>
      <c r="I9" s="278">
        <v>8660000</v>
      </c>
      <c r="J9" s="278">
        <v>26980000</v>
      </c>
      <c r="K9" s="278">
        <v>39580000</v>
      </c>
      <c r="L9" s="278">
        <v>60580000</v>
      </c>
      <c r="M9" s="278">
        <v>81800000</v>
      </c>
      <c r="N9" s="278">
        <v>75700000</v>
      </c>
      <c r="O9" s="278">
        <v>44400000</v>
      </c>
      <c r="P9" s="278"/>
      <c r="Q9" s="128">
        <f>ROUND(((C9+O9)+(SUM(D9:N9)*2))/24,0)</f>
        <v>52406250</v>
      </c>
      <c r="R9" s="76"/>
      <c r="S9" s="345" t="s">
        <v>160</v>
      </c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</row>
    <row r="10" spans="1:53" ht="13.5" thickBot="1">
      <c r="A10" s="99">
        <f>+A9+1</f>
        <v>6</v>
      </c>
      <c r="B10" s="112" t="s">
        <v>21</v>
      </c>
      <c r="C10" s="269">
        <f t="shared" ref="C10:H10" si="0">SUM(C7:C9)</f>
        <v>70950000</v>
      </c>
      <c r="D10" s="269">
        <f t="shared" si="0"/>
        <v>72600000</v>
      </c>
      <c r="E10" s="269">
        <f t="shared" si="0"/>
        <v>60800000</v>
      </c>
      <c r="F10" s="269">
        <f t="shared" si="0"/>
        <v>49900000</v>
      </c>
      <c r="G10" s="269">
        <f t="shared" si="0"/>
        <v>47300000</v>
      </c>
      <c r="H10" s="269">
        <f t="shared" si="0"/>
        <v>47300000</v>
      </c>
      <c r="I10" s="269">
        <f t="shared" ref="I10:O10" si="1">SUM(I7:I9)</f>
        <v>8660000</v>
      </c>
      <c r="J10" s="269">
        <f t="shared" si="1"/>
        <v>26980000</v>
      </c>
      <c r="K10" s="269">
        <f t="shared" si="1"/>
        <v>39580000</v>
      </c>
      <c r="L10" s="269">
        <f t="shared" si="1"/>
        <v>60580000</v>
      </c>
      <c r="M10" s="269">
        <f t="shared" si="1"/>
        <v>81800000</v>
      </c>
      <c r="N10" s="269">
        <f t="shared" si="1"/>
        <v>75700000</v>
      </c>
      <c r="O10" s="269">
        <f t="shared" si="1"/>
        <v>44400000</v>
      </c>
      <c r="P10" s="152"/>
      <c r="Q10" s="166">
        <f>SUM(Q7:Q9)</f>
        <v>52406250</v>
      </c>
      <c r="R10" s="74"/>
      <c r="S10" s="345"/>
      <c r="T10" s="74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1"/>
      <c r="AG10" s="71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</row>
    <row r="11" spans="1:53" ht="6.95" customHeight="1" thickBot="1">
      <c r="A11" s="99"/>
      <c r="B11" s="110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28"/>
      <c r="R11" s="74"/>
      <c r="S11" s="345"/>
      <c r="T11" s="74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1"/>
      <c r="AG11" s="71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</row>
    <row r="12" spans="1:53" ht="13.5" thickBot="1">
      <c r="A12" s="99">
        <f>+A10+1</f>
        <v>7</v>
      </c>
      <c r="B12" s="112" t="s">
        <v>101</v>
      </c>
      <c r="C12" s="369">
        <f>'Pg 6 LTD Cost '!J27</f>
        <v>375000000</v>
      </c>
      <c r="D12" s="369">
        <f>'Pg 6 LTD Cost '!K27</f>
        <v>375000000</v>
      </c>
      <c r="E12" s="369">
        <f>'Pg 6 LTD Cost '!L27</f>
        <v>375000000</v>
      </c>
      <c r="F12" s="369">
        <f>'Pg 6 LTD Cost '!M27</f>
        <v>375000000</v>
      </c>
      <c r="G12" s="369">
        <f>'Pg 6 LTD Cost '!N27</f>
        <v>375000000</v>
      </c>
      <c r="H12" s="369">
        <f>'Pg 6 LTD Cost '!O27</f>
        <v>375000000</v>
      </c>
      <c r="I12" s="369">
        <f>'Pg 6 LTD Cost '!P27</f>
        <v>375000000</v>
      </c>
      <c r="J12" s="369">
        <f>'Pg 6 LTD Cost '!Q27</f>
        <v>375000000</v>
      </c>
      <c r="K12" s="369">
        <f>'Pg 6 LTD Cost '!R27</f>
        <v>375000000</v>
      </c>
      <c r="L12" s="369">
        <f>'Pg 6 LTD Cost '!S27</f>
        <v>375000000</v>
      </c>
      <c r="M12" s="369">
        <f>'Pg 6 LTD Cost '!T27</f>
        <v>375000000</v>
      </c>
      <c r="N12" s="369">
        <f>'Pg 6 LTD Cost '!U27</f>
        <v>375000000</v>
      </c>
      <c r="O12" s="369">
        <f>'Pg 6 LTD Cost '!V27</f>
        <v>375000000</v>
      </c>
      <c r="P12" s="235"/>
      <c r="Q12" s="166">
        <f>ROUND(((C12+O12)+(SUM(D12:N12)*2))/24,0)</f>
        <v>375000000</v>
      </c>
      <c r="R12" s="74"/>
      <c r="S12" s="346"/>
      <c r="T12" s="301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1"/>
      <c r="AG12" s="71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</row>
    <row r="13" spans="1:53" ht="6" customHeight="1">
      <c r="A13" s="99"/>
      <c r="B13" s="11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29"/>
      <c r="R13" s="74"/>
      <c r="S13" s="345"/>
      <c r="T13" s="74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</row>
    <row r="14" spans="1:53" ht="13.5" customHeight="1">
      <c r="A14" s="99">
        <f>+A12+1</f>
        <v>8</v>
      </c>
      <c r="B14" s="112" t="s">
        <v>99</v>
      </c>
      <c r="C14" s="151"/>
      <c r="D14" s="151">
        <v>0</v>
      </c>
      <c r="E14" s="151">
        <v>0</v>
      </c>
      <c r="F14" s="151">
        <v>0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85">
        <f>ROUND(((C14+O14)+(SUM(D14:N14)*2))/24,0)</f>
        <v>0</v>
      </c>
      <c r="R14" s="74"/>
      <c r="S14" s="346"/>
      <c r="T14" s="301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</row>
    <row r="15" spans="1:53" ht="5.25" customHeight="1" thickBot="1">
      <c r="A15" s="99"/>
      <c r="B15" s="112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129"/>
      <c r="R15" s="74"/>
      <c r="S15" s="347"/>
      <c r="T15" s="74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</row>
    <row r="16" spans="1:53" ht="13.5" customHeight="1" thickBot="1">
      <c r="A16" s="99">
        <f>+A14+1</f>
        <v>9</v>
      </c>
      <c r="B16" s="112" t="s">
        <v>11</v>
      </c>
      <c r="C16" s="225">
        <f>SUM(C12:C14)</f>
        <v>375000000</v>
      </c>
      <c r="D16" s="225">
        <f>SUM(D12:D14)</f>
        <v>375000000</v>
      </c>
      <c r="E16" s="225">
        <f>SUM(E12:E14)</f>
        <v>375000000</v>
      </c>
      <c r="F16" s="225">
        <f>SUM(F12:F14)</f>
        <v>375000000</v>
      </c>
      <c r="G16" s="225">
        <f t="shared" ref="G16:O16" si="2">SUM(G12:G14)</f>
        <v>375000000</v>
      </c>
      <c r="H16" s="225">
        <f t="shared" si="2"/>
        <v>375000000</v>
      </c>
      <c r="I16" s="225">
        <f t="shared" si="2"/>
        <v>375000000</v>
      </c>
      <c r="J16" s="225">
        <f t="shared" si="2"/>
        <v>375000000</v>
      </c>
      <c r="K16" s="225">
        <f t="shared" si="2"/>
        <v>375000000</v>
      </c>
      <c r="L16" s="225">
        <f t="shared" si="2"/>
        <v>375000000</v>
      </c>
      <c r="M16" s="225">
        <f t="shared" si="2"/>
        <v>375000000</v>
      </c>
      <c r="N16" s="225">
        <f t="shared" si="2"/>
        <v>375000000</v>
      </c>
      <c r="O16" s="225">
        <f t="shared" si="2"/>
        <v>375000000</v>
      </c>
      <c r="P16" s="73"/>
      <c r="Q16" s="166">
        <f>SUM(Q12:Q14)</f>
        <v>375000000</v>
      </c>
      <c r="R16" s="74"/>
      <c r="S16" s="348"/>
      <c r="T16" s="74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</row>
    <row r="17" spans="1:53" ht="6.75" customHeight="1" thickBot="1">
      <c r="A17" s="99"/>
      <c r="B17" s="112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129"/>
      <c r="R17" s="74"/>
      <c r="S17" s="347"/>
      <c r="T17" s="74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</row>
    <row r="18" spans="1:53" ht="13.5" thickBot="1">
      <c r="A18" s="99">
        <f>+A16+1</f>
        <v>10</v>
      </c>
      <c r="B18" s="112" t="s">
        <v>63</v>
      </c>
      <c r="C18" s="224">
        <v>0</v>
      </c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24"/>
      <c r="Q18" s="165"/>
      <c r="R18" s="74"/>
      <c r="S18" s="349"/>
      <c r="T18" s="74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</row>
    <row r="19" spans="1:53" ht="6.95" customHeight="1" thickBot="1">
      <c r="A19" s="99"/>
      <c r="B19" s="112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128"/>
      <c r="R19" s="74"/>
      <c r="S19" s="347"/>
      <c r="T19" s="74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</row>
    <row r="20" spans="1:53" ht="13.5" thickBot="1">
      <c r="A20" s="99">
        <f>+A18+1</f>
        <v>11</v>
      </c>
      <c r="B20" s="112" t="s">
        <v>81</v>
      </c>
      <c r="C20" s="235">
        <v>374154175.17000002</v>
      </c>
      <c r="D20" s="235">
        <v>380449487.17000002</v>
      </c>
      <c r="E20" s="235">
        <v>381951230.27999997</v>
      </c>
      <c r="F20" s="235">
        <v>385023796.17000002</v>
      </c>
      <c r="G20" s="235">
        <v>385118506.67000002</v>
      </c>
      <c r="H20" s="235">
        <v>384955935.29000002</v>
      </c>
      <c r="I20" s="235">
        <v>382085256.31</v>
      </c>
      <c r="J20" s="235">
        <v>379461151.26999998</v>
      </c>
      <c r="K20" s="235">
        <v>372491903.60000002</v>
      </c>
      <c r="L20" s="235">
        <v>370434139.01999998</v>
      </c>
      <c r="M20" s="235">
        <v>372050660.88</v>
      </c>
      <c r="N20" s="235">
        <v>383507522.69999999</v>
      </c>
      <c r="O20" s="235">
        <v>421484304.38999999</v>
      </c>
      <c r="P20" s="205"/>
      <c r="Q20" s="165">
        <f>ROUND(((C20+O20)+(SUM(D20:N20)*2))/24,0)</f>
        <v>381279069</v>
      </c>
      <c r="R20" s="74"/>
      <c r="S20" s="347" t="s">
        <v>159</v>
      </c>
      <c r="T20" s="74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</row>
    <row r="21" spans="1:53" ht="6.95" customHeight="1">
      <c r="A21" s="99"/>
      <c r="B21" s="112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30"/>
      <c r="R21" s="74"/>
      <c r="S21" s="347"/>
      <c r="T21" s="74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</row>
    <row r="22" spans="1:53" ht="13.5" thickBot="1">
      <c r="A22" s="99">
        <f>+A20+1</f>
        <v>12</v>
      </c>
      <c r="B22" s="112" t="s">
        <v>67</v>
      </c>
      <c r="C22" s="226">
        <f>C10+C16+C18+C20</f>
        <v>820104175.17000008</v>
      </c>
      <c r="D22" s="226">
        <f t="shared" ref="D22:O22" si="3">D10+D16+D18+D20</f>
        <v>828049487.17000008</v>
      </c>
      <c r="E22" s="226">
        <f t="shared" si="3"/>
        <v>817751230.27999997</v>
      </c>
      <c r="F22" s="226">
        <f t="shared" si="3"/>
        <v>809923796.17000008</v>
      </c>
      <c r="G22" s="226">
        <f t="shared" si="3"/>
        <v>807418506.67000008</v>
      </c>
      <c r="H22" s="226">
        <f t="shared" si="3"/>
        <v>807255935.28999996</v>
      </c>
      <c r="I22" s="226">
        <f t="shared" si="3"/>
        <v>765745256.30999994</v>
      </c>
      <c r="J22" s="226">
        <f t="shared" si="3"/>
        <v>781441151.26999998</v>
      </c>
      <c r="K22" s="226">
        <f t="shared" si="3"/>
        <v>787071903.60000002</v>
      </c>
      <c r="L22" s="226">
        <f t="shared" si="3"/>
        <v>806014139.01999998</v>
      </c>
      <c r="M22" s="226">
        <f t="shared" si="3"/>
        <v>828850660.88</v>
      </c>
      <c r="N22" s="226">
        <f t="shared" si="3"/>
        <v>834207522.70000005</v>
      </c>
      <c r="O22" s="226">
        <f t="shared" si="3"/>
        <v>840884304.38999999</v>
      </c>
      <c r="P22" s="226"/>
      <c r="Q22" s="186">
        <f>Q10+Q16+Q18+Q20</f>
        <v>808685319</v>
      </c>
      <c r="R22" s="74"/>
      <c r="S22" s="347"/>
      <c r="T22" s="74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</row>
    <row r="23" spans="1:53" ht="13.5" thickTop="1">
      <c r="A23" s="99"/>
      <c r="B23" s="11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149"/>
      <c r="R23" s="74"/>
      <c r="S23" s="347"/>
      <c r="T23" s="74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</row>
    <row r="24" spans="1:53">
      <c r="A24" s="99">
        <f>+A22+1</f>
        <v>13</v>
      </c>
      <c r="B24" s="98" t="s">
        <v>21</v>
      </c>
      <c r="C24" s="227">
        <f>C10/C$22</f>
        <v>8.6513399331606525E-2</v>
      </c>
      <c r="D24" s="227">
        <f t="shared" ref="D24:H24" si="4">D10/D$22</f>
        <v>8.7675919283668469E-2</v>
      </c>
      <c r="E24" s="227">
        <f t="shared" si="4"/>
        <v>7.435023971676806E-2</v>
      </c>
      <c r="F24" s="227">
        <f t="shared" si="4"/>
        <v>6.1610734535729295E-2</v>
      </c>
      <c r="G24" s="227">
        <f t="shared" si="4"/>
        <v>5.8581763495956105E-2</v>
      </c>
      <c r="H24" s="227">
        <f t="shared" si="4"/>
        <v>5.8593561139947355E-2</v>
      </c>
      <c r="I24" s="227">
        <f t="shared" ref="I24:O24" si="5">I10/I$22</f>
        <v>1.1309244071234749E-2</v>
      </c>
      <c r="J24" s="227">
        <f t="shared" si="5"/>
        <v>3.4525952410046544E-2</v>
      </c>
      <c r="K24" s="227">
        <f t="shared" si="5"/>
        <v>5.0287654557308478E-2</v>
      </c>
      <c r="L24" s="227">
        <f t="shared" si="5"/>
        <v>7.5159971850688345E-2</v>
      </c>
      <c r="M24" s="227">
        <f t="shared" si="5"/>
        <v>9.8690878659796241E-2</v>
      </c>
      <c r="N24" s="227">
        <f t="shared" si="5"/>
        <v>9.0744806226379995E-2</v>
      </c>
      <c r="O24" s="227">
        <f t="shared" si="5"/>
        <v>5.2801556371311925E-2</v>
      </c>
      <c r="P24" s="227"/>
      <c r="Q24" s="228">
        <f>Q10/Q$22</f>
        <v>6.480425546095514E-2</v>
      </c>
      <c r="R24" s="74"/>
      <c r="S24" s="347"/>
      <c r="T24" s="74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</row>
    <row r="25" spans="1:53">
      <c r="A25" s="99">
        <f>+A24+1</f>
        <v>14</v>
      </c>
      <c r="B25" s="98" t="s">
        <v>22</v>
      </c>
      <c r="C25" s="229">
        <f t="shared" ref="C25:H25" si="6">C16/C$22</f>
        <v>0.45725898166811058</v>
      </c>
      <c r="D25" s="229">
        <f t="shared" si="6"/>
        <v>0.45287148390324627</v>
      </c>
      <c r="E25" s="229">
        <f t="shared" si="6"/>
        <v>0.45857466930572405</v>
      </c>
      <c r="F25" s="229">
        <f t="shared" si="6"/>
        <v>0.46300652206209392</v>
      </c>
      <c r="G25" s="229">
        <f t="shared" si="6"/>
        <v>0.46444315668041308</v>
      </c>
      <c r="H25" s="229">
        <f t="shared" si="6"/>
        <v>0.46453668979873697</v>
      </c>
      <c r="I25" s="229">
        <f t="shared" ref="I25:O25" si="7">I16/I$22</f>
        <v>0.48971899846570793</v>
      </c>
      <c r="J25" s="229">
        <f t="shared" si="7"/>
        <v>0.47988258538797085</v>
      </c>
      <c r="K25" s="229">
        <f t="shared" si="7"/>
        <v>0.47644948102553508</v>
      </c>
      <c r="L25" s="229">
        <f t="shared" si="7"/>
        <v>0.46525238435140526</v>
      </c>
      <c r="M25" s="229">
        <f t="shared" si="7"/>
        <v>0.45243373468732995</v>
      </c>
      <c r="N25" s="229">
        <f t="shared" si="7"/>
        <v>0.44952843242922724</v>
      </c>
      <c r="O25" s="229">
        <f t="shared" si="7"/>
        <v>0.44595909097391828</v>
      </c>
      <c r="P25" s="229"/>
      <c r="Q25" s="230">
        <f>Q16/Q$22</f>
        <v>0.46371560258286326</v>
      </c>
      <c r="R25" s="74"/>
      <c r="S25" s="347"/>
      <c r="T25" s="74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</row>
    <row r="26" spans="1:53">
      <c r="A26" s="99">
        <f>+A25+1</f>
        <v>15</v>
      </c>
      <c r="B26" s="98" t="s">
        <v>87</v>
      </c>
      <c r="C26" s="227">
        <f t="shared" ref="C26:H26" si="8">SUM(C24:C25)</f>
        <v>0.54377238099971714</v>
      </c>
      <c r="D26" s="227">
        <f t="shared" si="8"/>
        <v>0.54054740318691474</v>
      </c>
      <c r="E26" s="227">
        <f t="shared" si="8"/>
        <v>0.53292490902249212</v>
      </c>
      <c r="F26" s="227">
        <f t="shared" si="8"/>
        <v>0.52461725659782321</v>
      </c>
      <c r="G26" s="227">
        <f t="shared" si="8"/>
        <v>0.52302492017636915</v>
      </c>
      <c r="H26" s="227">
        <f t="shared" si="8"/>
        <v>0.52313025093868437</v>
      </c>
      <c r="I26" s="227">
        <f t="shared" ref="I26:O26" si="9">SUM(I24:I25)</f>
        <v>0.50102824253694267</v>
      </c>
      <c r="J26" s="227">
        <f t="shared" si="9"/>
        <v>0.51440853779801743</v>
      </c>
      <c r="K26" s="227">
        <f t="shared" si="9"/>
        <v>0.52673713558284352</v>
      </c>
      <c r="L26" s="227">
        <f t="shared" si="9"/>
        <v>0.5404123562020936</v>
      </c>
      <c r="M26" s="227">
        <f t="shared" si="9"/>
        <v>0.55112461334712615</v>
      </c>
      <c r="N26" s="227">
        <f t="shared" si="9"/>
        <v>0.54027323865560728</v>
      </c>
      <c r="O26" s="227">
        <f t="shared" si="9"/>
        <v>0.49876064734523018</v>
      </c>
      <c r="P26" s="227"/>
      <c r="Q26" s="228">
        <f>SUM(Q24:Q25)</f>
        <v>0.5285198580438184</v>
      </c>
      <c r="R26" s="74"/>
      <c r="S26" s="347"/>
      <c r="T26" s="74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</row>
    <row r="27" spans="1:53">
      <c r="A27" s="99">
        <f>+A26+1</f>
        <v>16</v>
      </c>
      <c r="B27" s="98" t="s">
        <v>88</v>
      </c>
      <c r="C27" s="227">
        <f>C18/C$22</f>
        <v>0</v>
      </c>
      <c r="D27" s="227">
        <f>D18/D$22</f>
        <v>0</v>
      </c>
      <c r="E27" s="227">
        <f>E18/E$22</f>
        <v>0</v>
      </c>
      <c r="F27" s="227">
        <f>F18/F$22</f>
        <v>0</v>
      </c>
      <c r="G27" s="227">
        <f t="shared" ref="G27:O27" si="10">G18/G$22</f>
        <v>0</v>
      </c>
      <c r="H27" s="227">
        <f t="shared" si="10"/>
        <v>0</v>
      </c>
      <c r="I27" s="227">
        <f t="shared" si="10"/>
        <v>0</v>
      </c>
      <c r="J27" s="227">
        <f t="shared" si="10"/>
        <v>0</v>
      </c>
      <c r="K27" s="227">
        <f t="shared" si="10"/>
        <v>0</v>
      </c>
      <c r="L27" s="227">
        <f t="shared" si="10"/>
        <v>0</v>
      </c>
      <c r="M27" s="227">
        <f t="shared" si="10"/>
        <v>0</v>
      </c>
      <c r="N27" s="227">
        <f t="shared" si="10"/>
        <v>0</v>
      </c>
      <c r="O27" s="227">
        <f t="shared" si="10"/>
        <v>0</v>
      </c>
      <c r="P27" s="227"/>
      <c r="Q27" s="228">
        <f>Q18/Q$22</f>
        <v>0</v>
      </c>
      <c r="R27" s="74"/>
      <c r="S27" s="347"/>
      <c r="T27" s="74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</row>
    <row r="28" spans="1:53">
      <c r="A28" s="99">
        <f>+A27+1</f>
        <v>17</v>
      </c>
      <c r="B28" s="98" t="s">
        <v>89</v>
      </c>
      <c r="C28" s="254">
        <f>C20/C$22</f>
        <v>0.45622761900028286</v>
      </c>
      <c r="D28" s="254">
        <f>D20/D$22</f>
        <v>0.4594525968130852</v>
      </c>
      <c r="E28" s="254">
        <f>E20/E$22</f>
        <v>0.46707509097750788</v>
      </c>
      <c r="F28" s="254">
        <f>F20/F$22</f>
        <v>0.47538274340217673</v>
      </c>
      <c r="G28" s="254">
        <f t="shared" ref="G28:O28" si="11">G20/G$22</f>
        <v>0.47697507982363074</v>
      </c>
      <c r="H28" s="254">
        <f t="shared" si="11"/>
        <v>0.47686974906131574</v>
      </c>
      <c r="I28" s="254">
        <f t="shared" si="11"/>
        <v>0.49897175746305739</v>
      </c>
      <c r="J28" s="254">
        <f t="shared" si="11"/>
        <v>0.48559146220198263</v>
      </c>
      <c r="K28" s="254">
        <f t="shared" si="11"/>
        <v>0.47326286441715643</v>
      </c>
      <c r="L28" s="254">
        <f t="shared" si="11"/>
        <v>0.4595876437979064</v>
      </c>
      <c r="M28" s="254">
        <f t="shared" si="11"/>
        <v>0.4488753866528738</v>
      </c>
      <c r="N28" s="254">
        <f t="shared" si="11"/>
        <v>0.45972676134439272</v>
      </c>
      <c r="O28" s="254">
        <f t="shared" si="11"/>
        <v>0.50123935265476982</v>
      </c>
      <c r="P28" s="254"/>
      <c r="Q28" s="230">
        <f>Q20/Q$22</f>
        <v>0.4714801419561816</v>
      </c>
      <c r="R28" s="74"/>
      <c r="S28" s="347"/>
      <c r="T28" s="74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</row>
    <row r="29" spans="1:53">
      <c r="A29" s="99"/>
      <c r="B29" s="98"/>
      <c r="C29" s="227"/>
      <c r="D29" s="231"/>
      <c r="E29" s="231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32"/>
      <c r="R29" s="74"/>
      <c r="S29" s="347"/>
      <c r="T29" s="74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</row>
    <row r="30" spans="1:53" ht="13.5" thickBot="1">
      <c r="A30" s="99">
        <f>+A28+1</f>
        <v>18</v>
      </c>
      <c r="B30" s="98" t="s">
        <v>90</v>
      </c>
      <c r="C30" s="233">
        <f>SUM(C26:C28)</f>
        <v>1</v>
      </c>
      <c r="D30" s="233">
        <f>SUM(D26:D28)</f>
        <v>1</v>
      </c>
      <c r="E30" s="233">
        <f>SUM(E26:E28)</f>
        <v>1</v>
      </c>
      <c r="F30" s="233">
        <f>SUM(F26:F28)</f>
        <v>1</v>
      </c>
      <c r="G30" s="233">
        <f t="shared" ref="G30:O30" si="12">SUM(G26:G28)</f>
        <v>0.99999999999999989</v>
      </c>
      <c r="H30" s="233">
        <f t="shared" si="12"/>
        <v>1</v>
      </c>
      <c r="I30" s="233">
        <f t="shared" si="12"/>
        <v>1</v>
      </c>
      <c r="J30" s="233">
        <f t="shared" si="12"/>
        <v>1</v>
      </c>
      <c r="K30" s="233">
        <f t="shared" si="12"/>
        <v>1</v>
      </c>
      <c r="L30" s="233">
        <f t="shared" si="12"/>
        <v>1</v>
      </c>
      <c r="M30" s="233">
        <f t="shared" si="12"/>
        <v>1</v>
      </c>
      <c r="N30" s="233">
        <f t="shared" si="12"/>
        <v>1</v>
      </c>
      <c r="O30" s="233">
        <f t="shared" si="12"/>
        <v>1</v>
      </c>
      <c r="P30" s="233"/>
      <c r="Q30" s="234">
        <f>SUM(Q26:Q28)</f>
        <v>1</v>
      </c>
      <c r="R30" s="74"/>
      <c r="S30" s="347"/>
      <c r="T30" s="74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</row>
    <row r="31" spans="1:53" ht="13.5" thickTop="1">
      <c r="A31" s="99"/>
      <c r="B31" s="11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347"/>
      <c r="T31" s="74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</row>
    <row r="32" spans="1:53">
      <c r="A32" s="99"/>
      <c r="B32" s="112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73"/>
      <c r="R32" s="74"/>
      <c r="S32" s="347"/>
      <c r="T32" s="74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</row>
    <row r="33" spans="1:53" ht="13.5" thickBot="1">
      <c r="A33" s="99"/>
      <c r="B33" s="112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73"/>
      <c r="R33" s="74"/>
      <c r="S33" s="347"/>
      <c r="T33" s="74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</row>
    <row r="34" spans="1:53" ht="13.5" thickBot="1">
      <c r="A34" s="99">
        <f>+A30+1</f>
        <v>19</v>
      </c>
      <c r="B34" s="112" t="s">
        <v>62</v>
      </c>
      <c r="C34" s="235">
        <f>374154175.17-1886032.21</f>
        <v>372268142.96000004</v>
      </c>
      <c r="D34" s="235">
        <v>378563454.94999999</v>
      </c>
      <c r="E34" s="235">
        <f>381951230.28-1886032.22</f>
        <v>380065198.05999994</v>
      </c>
      <c r="F34" s="235">
        <f>385023796.17-1886032.22</f>
        <v>383137763.94999999</v>
      </c>
      <c r="G34" s="235">
        <f>385118506.67-1886032.22</f>
        <v>383232474.44999999</v>
      </c>
      <c r="H34" s="235">
        <f>384955935.29-1455394.05</f>
        <v>383500541.24000001</v>
      </c>
      <c r="I34" s="235">
        <f>382085256.31-1455394.05</f>
        <v>380629862.25999999</v>
      </c>
      <c r="J34" s="235">
        <f>379461151.27-1455394.05</f>
        <v>378005757.21999997</v>
      </c>
      <c r="K34" s="235">
        <f>372491903.6-1455394.05</f>
        <v>371036509.55000001</v>
      </c>
      <c r="L34" s="235">
        <f>370434139.02-1455394.05</f>
        <v>368978744.96999997</v>
      </c>
      <c r="M34" s="235">
        <f>372050660.88-1455394.05</f>
        <v>370595266.82999998</v>
      </c>
      <c r="N34" s="235">
        <f>383507522.7-1455394.05</f>
        <v>382052128.64999998</v>
      </c>
      <c r="O34" s="235">
        <f>421484304.39-644036.68</f>
        <v>420840267.70999998</v>
      </c>
      <c r="P34" s="235"/>
      <c r="Q34" s="166">
        <f>ROUND(((C34+O34)+(SUM(D34:N34)*2))/24,0)</f>
        <v>379695992</v>
      </c>
      <c r="R34" s="70"/>
      <c r="S34" s="347" t="s">
        <v>159</v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</row>
    <row r="35" spans="1:53" ht="13.5" thickBot="1">
      <c r="A35" s="99">
        <f>+A34+1</f>
        <v>20</v>
      </c>
      <c r="B35" s="110" t="s">
        <v>23</v>
      </c>
      <c r="P35" s="279"/>
      <c r="Q35" s="135"/>
      <c r="R35" s="70"/>
      <c r="S35" s="346"/>
      <c r="T35" s="70"/>
      <c r="U35" s="70"/>
      <c r="V35" s="11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</row>
    <row r="36" spans="1:53" ht="13.5" thickBot="1">
      <c r="A36" s="99">
        <f>+A35+1</f>
        <v>21</v>
      </c>
      <c r="B36" s="110"/>
      <c r="C36" s="151"/>
      <c r="D36" s="151"/>
      <c r="E36" s="151"/>
      <c r="F36" s="151"/>
      <c r="G36" s="235"/>
      <c r="H36" s="235"/>
      <c r="I36" s="235"/>
      <c r="J36" s="151"/>
      <c r="K36" s="151"/>
      <c r="L36" s="151"/>
      <c r="M36" s="151"/>
      <c r="N36" s="151"/>
      <c r="O36" s="151"/>
      <c r="P36" s="151"/>
      <c r="Q36" s="166">
        <f>ROUND(((C36+O36)+(SUM(D36:N36)*2))/24,0)</f>
        <v>0</v>
      </c>
      <c r="R36" s="73"/>
      <c r="S36" s="346"/>
      <c r="T36" s="301"/>
      <c r="U36" s="70"/>
      <c r="V36" s="74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</row>
    <row r="37" spans="1:53" ht="13.5" thickBot="1">
      <c r="A37" s="99">
        <f>+A36+1</f>
        <v>22</v>
      </c>
      <c r="B37" s="110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R37" s="73"/>
      <c r="S37" s="346"/>
      <c r="T37" s="72"/>
      <c r="U37" s="72"/>
      <c r="V37" s="74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0"/>
      <c r="AT37" s="70"/>
      <c r="AU37" s="70"/>
      <c r="AV37" s="70"/>
      <c r="AW37" s="70"/>
      <c r="AX37" s="70"/>
      <c r="AY37" s="70"/>
      <c r="AZ37" s="70"/>
      <c r="BA37" s="70"/>
    </row>
    <row r="38" spans="1:53" ht="13.5" thickBot="1">
      <c r="A38" s="99">
        <f t="shared" ref="A38:A44" si="13">+A37+1</f>
        <v>23</v>
      </c>
      <c r="B38" s="171" t="s">
        <v>24</v>
      </c>
      <c r="C38" s="236">
        <f t="shared" ref="C38:H38" si="14">SUM(C36:C37)</f>
        <v>0</v>
      </c>
      <c r="D38" s="236">
        <f t="shared" si="14"/>
        <v>0</v>
      </c>
      <c r="E38" s="236">
        <f t="shared" si="14"/>
        <v>0</v>
      </c>
      <c r="F38" s="236">
        <f t="shared" si="14"/>
        <v>0</v>
      </c>
      <c r="G38" s="236">
        <f t="shared" si="14"/>
        <v>0</v>
      </c>
      <c r="H38" s="236">
        <f t="shared" si="14"/>
        <v>0</v>
      </c>
      <c r="I38" s="236">
        <f t="shared" ref="I38:O38" si="15">SUM(I36:I37)</f>
        <v>0</v>
      </c>
      <c r="J38" s="236">
        <f t="shared" si="15"/>
        <v>0</v>
      </c>
      <c r="K38" s="236">
        <f t="shared" si="15"/>
        <v>0</v>
      </c>
      <c r="L38" s="236">
        <f t="shared" si="15"/>
        <v>0</v>
      </c>
      <c r="M38" s="236">
        <f t="shared" si="15"/>
        <v>0</v>
      </c>
      <c r="N38" s="236">
        <f t="shared" si="15"/>
        <v>0</v>
      </c>
      <c r="O38" s="236">
        <f t="shared" si="15"/>
        <v>0</v>
      </c>
      <c r="P38" s="152"/>
      <c r="Q38" s="166">
        <f>ROUND(((C38+O38)+(SUM(D38:N38)*2))/24,0)</f>
        <v>0</v>
      </c>
      <c r="R38" s="73"/>
      <c r="S38" s="346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</row>
    <row r="39" spans="1:53" ht="13.5" thickBot="1">
      <c r="A39" s="99">
        <f t="shared" si="13"/>
        <v>24</v>
      </c>
      <c r="B39" s="110" t="s">
        <v>126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74"/>
      <c r="R39" s="73"/>
      <c r="S39" s="346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</row>
    <row r="40" spans="1:53" ht="13.5" thickBot="1">
      <c r="A40" s="99">
        <f t="shared" si="13"/>
        <v>25</v>
      </c>
      <c r="B40" s="173" t="s">
        <v>127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152"/>
      <c r="Q40" s="326">
        <f>ROUND(((C40+O40)+(SUM(D40:N40)*2))/24,0)</f>
        <v>0</v>
      </c>
      <c r="R40" s="73"/>
      <c r="S40" s="346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</row>
    <row r="41" spans="1:53" ht="13.5" thickBot="1">
      <c r="A41" s="99">
        <f t="shared" si="13"/>
        <v>26</v>
      </c>
      <c r="B41" s="173" t="s">
        <v>95</v>
      </c>
      <c r="C41" s="151"/>
      <c r="D41" s="235"/>
      <c r="E41" s="235"/>
      <c r="F41" s="235"/>
      <c r="G41" s="235"/>
      <c r="H41" s="151"/>
      <c r="I41" s="151"/>
      <c r="J41" s="151"/>
      <c r="K41" s="151"/>
      <c r="L41" s="151"/>
      <c r="M41" s="151"/>
      <c r="N41" s="151"/>
      <c r="O41" s="151"/>
      <c r="P41" s="151"/>
      <c r="Q41" s="166">
        <f>ROUND(((C41+O41)+(SUM(D41:N41)*2))/24,0)</f>
        <v>0</v>
      </c>
      <c r="R41" s="73"/>
      <c r="S41" s="346"/>
      <c r="T41" s="70"/>
      <c r="U41" s="70"/>
      <c r="V41" s="197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</row>
    <row r="42" spans="1:53" ht="13.5" thickBot="1">
      <c r="A42" s="99">
        <f t="shared" si="13"/>
        <v>27</v>
      </c>
      <c r="B42" s="173" t="s">
        <v>96</v>
      </c>
      <c r="C42" s="151">
        <v>-1886032.21</v>
      </c>
      <c r="D42" s="151">
        <v>-1886032.21</v>
      </c>
      <c r="E42" s="151">
        <v>-1886032.21</v>
      </c>
      <c r="F42" s="151">
        <v>-1886032.21</v>
      </c>
      <c r="G42" s="151">
        <v>-1886032.21</v>
      </c>
      <c r="H42" s="151">
        <v>-1455394.05</v>
      </c>
      <c r="I42" s="151">
        <v>-1455394.05</v>
      </c>
      <c r="J42" s="151">
        <v>-1455394.05</v>
      </c>
      <c r="K42" s="151">
        <v>-1455394.05</v>
      </c>
      <c r="L42" s="151">
        <v>-1455394.05</v>
      </c>
      <c r="M42" s="151">
        <v>-1455394.05</v>
      </c>
      <c r="N42" s="151">
        <v>-1455394.05</v>
      </c>
      <c r="O42" s="151">
        <v>-644036.68000000005</v>
      </c>
      <c r="P42" s="151"/>
      <c r="Q42" s="166">
        <f>ROUND(((C42+O42)+(SUM(D42:N42)*2))/24,0)</f>
        <v>-1583077</v>
      </c>
      <c r="R42" s="73"/>
      <c r="S42" s="347" t="s">
        <v>159</v>
      </c>
      <c r="T42" s="70"/>
      <c r="U42" s="70"/>
      <c r="V42" s="197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</row>
    <row r="43" spans="1:53" ht="13.5" thickBot="1">
      <c r="A43" s="99">
        <f t="shared" si="13"/>
        <v>28</v>
      </c>
      <c r="B43" s="174" t="s">
        <v>97</v>
      </c>
      <c r="C43" s="172">
        <f t="shared" ref="C43:H43" si="16">SUM(C40:C42)</f>
        <v>-1886032.21</v>
      </c>
      <c r="D43" s="172">
        <f t="shared" si="16"/>
        <v>-1886032.21</v>
      </c>
      <c r="E43" s="172">
        <f t="shared" si="16"/>
        <v>-1886032.21</v>
      </c>
      <c r="F43" s="172">
        <f t="shared" si="16"/>
        <v>-1886032.21</v>
      </c>
      <c r="G43" s="172">
        <f t="shared" si="16"/>
        <v>-1886032.21</v>
      </c>
      <c r="H43" s="172">
        <f t="shared" si="16"/>
        <v>-1455394.05</v>
      </c>
      <c r="I43" s="172">
        <f t="shared" ref="I43:O43" si="17">SUM(I40:I42)</f>
        <v>-1455394.05</v>
      </c>
      <c r="J43" s="172">
        <f t="shared" si="17"/>
        <v>-1455394.05</v>
      </c>
      <c r="K43" s="172">
        <f t="shared" si="17"/>
        <v>-1455394.05</v>
      </c>
      <c r="L43" s="172">
        <f t="shared" si="17"/>
        <v>-1455394.05</v>
      </c>
      <c r="M43" s="172">
        <f t="shared" si="17"/>
        <v>-1455394.05</v>
      </c>
      <c r="N43" s="172">
        <f t="shared" si="17"/>
        <v>-1455394.05</v>
      </c>
      <c r="O43" s="172">
        <f t="shared" si="17"/>
        <v>-644036.68000000005</v>
      </c>
      <c r="P43" s="205"/>
      <c r="Q43" s="166">
        <f>ROUND(((C43+O43)+(SUM(D43:N43)*2))/24,0)</f>
        <v>-1583077</v>
      </c>
      <c r="R43" s="73"/>
      <c r="S43" s="345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</row>
    <row r="44" spans="1:53" ht="13.5" thickBot="1">
      <c r="A44" s="99">
        <f t="shared" si="13"/>
        <v>29</v>
      </c>
      <c r="B44" s="327" t="s">
        <v>81</v>
      </c>
      <c r="C44" s="225">
        <f t="shared" ref="C44:O44" si="18">+C34-C38-C43</f>
        <v>374154175.17000002</v>
      </c>
      <c r="D44" s="225">
        <f t="shared" si="18"/>
        <v>380449487.15999997</v>
      </c>
      <c r="E44" s="225">
        <f t="shared" si="18"/>
        <v>381951230.26999992</v>
      </c>
      <c r="F44" s="225">
        <f t="shared" si="18"/>
        <v>385023796.15999997</v>
      </c>
      <c r="G44" s="225">
        <f t="shared" si="18"/>
        <v>385118506.65999997</v>
      </c>
      <c r="H44" s="225">
        <f t="shared" si="18"/>
        <v>384955935.29000002</v>
      </c>
      <c r="I44" s="225">
        <f t="shared" si="18"/>
        <v>382085256.31</v>
      </c>
      <c r="J44" s="225">
        <f t="shared" si="18"/>
        <v>379461151.26999998</v>
      </c>
      <c r="K44" s="225">
        <f t="shared" si="18"/>
        <v>372491903.60000002</v>
      </c>
      <c r="L44" s="225">
        <f t="shared" si="18"/>
        <v>370434139.01999998</v>
      </c>
      <c r="M44" s="225">
        <f t="shared" si="18"/>
        <v>372050660.88</v>
      </c>
      <c r="N44" s="225">
        <f t="shared" si="18"/>
        <v>383507522.69999999</v>
      </c>
      <c r="O44" s="225">
        <f t="shared" si="18"/>
        <v>421484304.38999999</v>
      </c>
      <c r="P44" s="73"/>
      <c r="Q44" s="166">
        <f>ROUND(((C44+O44)+(SUM(D44:N44)*2))/24,0)</f>
        <v>381279069</v>
      </c>
      <c r="R44" s="73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</row>
    <row r="45" spans="1:53">
      <c r="B45" s="32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0"/>
      <c r="R45" s="73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</row>
    <row r="46" spans="1:53">
      <c r="B46" s="331" t="s">
        <v>146</v>
      </c>
      <c r="C46" s="330">
        <f t="shared" ref="C46:J46" si="19">MROUND(C20,1000)-MROUND(C44,1000)</f>
        <v>0</v>
      </c>
      <c r="D46" s="330">
        <f t="shared" si="19"/>
        <v>0</v>
      </c>
      <c r="E46" s="330">
        <f>MROUND(E20,1000)-MROUND(E44,1000)</f>
        <v>0</v>
      </c>
      <c r="F46" s="330">
        <f t="shared" si="19"/>
        <v>0</v>
      </c>
      <c r="G46" s="330">
        <f t="shared" si="19"/>
        <v>0</v>
      </c>
      <c r="H46" s="330">
        <f t="shared" si="19"/>
        <v>0</v>
      </c>
      <c r="I46" s="330">
        <f t="shared" si="19"/>
        <v>0</v>
      </c>
      <c r="J46" s="330">
        <f t="shared" si="19"/>
        <v>0</v>
      </c>
      <c r="K46" s="330">
        <f>MROUND(K20,1000)-MROUND(K44,1000)</f>
        <v>0</v>
      </c>
      <c r="L46" s="330">
        <f>MROUND(L20,1000)-MROUND(L44,1000)</f>
        <v>0</v>
      </c>
      <c r="M46" s="330">
        <f>MROUND(M20,1000)-MROUND(M44,1000)</f>
        <v>0</v>
      </c>
      <c r="N46" s="330">
        <f>MROUND(N20,1000)-MROUND(N44,1000)</f>
        <v>0</v>
      </c>
      <c r="O46" s="330">
        <f>MROUND(O20,1000)-MROUND(O44,1000)</f>
        <v>0</v>
      </c>
      <c r="P46" s="151"/>
      <c r="Q46" s="70"/>
      <c r="R46" s="73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</row>
    <row r="47" spans="1:53"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151"/>
      <c r="Q47" s="70"/>
      <c r="R47" s="73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</row>
    <row r="48" spans="1:53"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70"/>
      <c r="R48" s="73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</row>
    <row r="49" spans="2:53"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151"/>
      <c r="Q49" s="70"/>
      <c r="R49" s="73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</row>
    <row r="50" spans="2:53">
      <c r="B50" s="327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151"/>
      <c r="Q50" s="319"/>
      <c r="R50" s="73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</row>
    <row r="51" spans="2:53">
      <c r="B51" s="327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151"/>
      <c r="Q51" s="71"/>
      <c r="R51" s="73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</row>
    <row r="52" spans="2:53"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152"/>
      <c r="Q52" s="70"/>
      <c r="R52" s="73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</row>
    <row r="53" spans="2:53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303"/>
      <c r="R53" s="73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</row>
    <row r="54" spans="2:53">
      <c r="C54" s="71"/>
      <c r="D54" s="71"/>
      <c r="E54" s="71"/>
      <c r="F54" s="71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303"/>
      <c r="R54" s="73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</row>
    <row r="55" spans="2:53"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70"/>
      <c r="R55" s="73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</row>
    <row r="56" spans="2:53">
      <c r="C56" s="70"/>
      <c r="D56" s="70"/>
      <c r="E56" s="70"/>
      <c r="F56" s="70"/>
      <c r="G56" s="70"/>
      <c r="H56" s="70"/>
      <c r="I56" s="70"/>
      <c r="J56" s="70"/>
      <c r="K56" s="328"/>
      <c r="L56" s="70"/>
      <c r="M56" s="323"/>
      <c r="N56" s="70"/>
      <c r="O56" s="70"/>
      <c r="P56" s="70"/>
      <c r="Q56" s="70"/>
      <c r="R56" s="73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</row>
    <row r="57" spans="2:53">
      <c r="C57" s="70"/>
      <c r="D57" s="70"/>
      <c r="E57" s="70"/>
      <c r="F57" s="70"/>
      <c r="G57" s="70"/>
      <c r="H57" s="70"/>
      <c r="I57" s="70"/>
      <c r="J57" s="327"/>
      <c r="K57" s="73"/>
      <c r="L57" s="70"/>
      <c r="M57" s="70"/>
      <c r="N57" s="70"/>
      <c r="O57" s="70"/>
      <c r="P57" s="70"/>
      <c r="Q57" s="70"/>
      <c r="R57" s="73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</row>
    <row r="58" spans="2:53">
      <c r="C58" s="70"/>
      <c r="D58" s="70"/>
      <c r="E58" s="70"/>
      <c r="F58" s="70"/>
      <c r="G58" s="70"/>
      <c r="H58" s="70"/>
      <c r="I58" s="70"/>
      <c r="J58" s="327"/>
      <c r="K58" s="73"/>
      <c r="L58" s="70"/>
      <c r="M58" s="70"/>
      <c r="N58" s="70"/>
      <c r="O58" s="70"/>
      <c r="P58" s="70"/>
      <c r="Q58" s="70"/>
      <c r="R58" s="73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</row>
    <row r="59" spans="2:53">
      <c r="C59" s="70"/>
      <c r="D59" s="70"/>
      <c r="E59" s="70"/>
      <c r="F59" s="70"/>
      <c r="G59" s="70"/>
      <c r="H59" s="70"/>
      <c r="I59" s="70"/>
      <c r="J59" s="70"/>
      <c r="K59" s="151"/>
      <c r="L59" s="70"/>
      <c r="M59" s="70"/>
      <c r="N59" s="70"/>
      <c r="O59" s="70"/>
      <c r="P59" s="70"/>
      <c r="Q59" s="70"/>
      <c r="R59" s="73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</row>
    <row r="60" spans="2:53"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3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</row>
    <row r="61" spans="2:53"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3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</row>
    <row r="62" spans="2:53"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3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</row>
    <row r="63" spans="2:53"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3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</row>
    <row r="64" spans="2:53"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</row>
    <row r="65" spans="3:53"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</row>
    <row r="66" spans="3:53"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</row>
    <row r="67" spans="3:53"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</row>
    <row r="68" spans="3:53"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</row>
    <row r="69" spans="3:53"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</row>
    <row r="70" spans="3:53"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</row>
    <row r="71" spans="3:53"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</row>
    <row r="72" spans="3:53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</row>
    <row r="73" spans="3:53"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</row>
    <row r="74" spans="3:53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</row>
    <row r="75" spans="3:53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</row>
    <row r="76" spans="3:53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</row>
    <row r="77" spans="3:53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</row>
    <row r="78" spans="3:53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</row>
    <row r="79" spans="3:53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</row>
    <row r="80" spans="3:53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</row>
    <row r="81" spans="3:53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</row>
    <row r="82" spans="3:53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</row>
    <row r="83" spans="3:53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</row>
    <row r="84" spans="3:53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</row>
    <row r="85" spans="3:53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</row>
    <row r="86" spans="3:53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</row>
    <row r="87" spans="3:53"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</row>
    <row r="88" spans="3:53"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</row>
    <row r="89" spans="3:53"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</row>
    <row r="90" spans="3:53"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</row>
    <row r="91" spans="3:53"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</row>
    <row r="92" spans="3:53"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</row>
    <row r="93" spans="3:53"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</row>
    <row r="94" spans="3:53"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</row>
    <row r="95" spans="3:53"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</row>
    <row r="96" spans="3:53"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</row>
    <row r="97" spans="3:53"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</row>
    <row r="98" spans="3:53"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</row>
    <row r="99" spans="3:53"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</row>
    <row r="100" spans="3:53"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</row>
    <row r="101" spans="3:53"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</row>
    <row r="102" spans="3:53"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</row>
    <row r="103" spans="3:53"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</row>
    <row r="104" spans="3:53"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</row>
    <row r="105" spans="3:53"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</row>
    <row r="106" spans="3:53"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</row>
    <row r="107" spans="3:53"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</row>
    <row r="108" spans="3:53"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</row>
    <row r="109" spans="3:53"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</row>
    <row r="110" spans="3:53"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</row>
    <row r="111" spans="3:53"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</row>
    <row r="112" spans="3:53"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</row>
    <row r="113" spans="3:53"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</row>
    <row r="114" spans="3:53"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</row>
    <row r="115" spans="3:53"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</row>
    <row r="116" spans="3:53"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</row>
    <row r="117" spans="3:53"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</row>
    <row r="118" spans="3:53"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</row>
    <row r="119" spans="3:53"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</row>
    <row r="120" spans="3:53"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</row>
    <row r="121" spans="3:53"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</row>
    <row r="122" spans="3:53"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</row>
    <row r="123" spans="3:53"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</row>
    <row r="124" spans="3:53"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</row>
    <row r="125" spans="3:53"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</row>
    <row r="126" spans="3:53"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</row>
    <row r="127" spans="3:53"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</row>
    <row r="128" spans="3:53"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</row>
    <row r="129" spans="3:53"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</row>
    <row r="130" spans="3:53"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</row>
    <row r="131" spans="3:53"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</row>
    <row r="132" spans="3:53"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</row>
    <row r="133" spans="3:53"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</row>
    <row r="134" spans="3:53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</row>
    <row r="135" spans="3:53"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</row>
    <row r="136" spans="3:53"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</row>
    <row r="137" spans="3:53"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</row>
    <row r="138" spans="3:53"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</row>
    <row r="139" spans="3:53"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</row>
    <row r="140" spans="3:53"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</row>
    <row r="141" spans="3:53"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</row>
    <row r="142" spans="3:53"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</row>
    <row r="143" spans="3:53"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</row>
    <row r="144" spans="3:53"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</row>
    <row r="145" spans="3:53"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</row>
    <row r="146" spans="3:53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</row>
    <row r="147" spans="3:53"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</row>
    <row r="148" spans="3:53"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</row>
    <row r="149" spans="3:53"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</row>
    <row r="150" spans="3:53"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</row>
    <row r="151" spans="3:53"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</row>
    <row r="152" spans="3:53"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</row>
    <row r="153" spans="3:53"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</row>
    <row r="154" spans="3:53"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</row>
    <row r="155" spans="3:53"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</row>
    <row r="156" spans="3:53"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</row>
    <row r="157" spans="3:53"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</row>
    <row r="158" spans="3:53"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</row>
    <row r="159" spans="3:53"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</row>
    <row r="160" spans="3:53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</row>
    <row r="161" spans="3:53"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</row>
    <row r="162" spans="3:53"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</row>
    <row r="163" spans="3:53"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</row>
    <row r="164" spans="3:53"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</row>
    <row r="165" spans="3:53"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</row>
    <row r="166" spans="3:53"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</row>
    <row r="167" spans="3:53"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</row>
    <row r="168" spans="3:53"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</row>
    <row r="169" spans="3:53"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</row>
    <row r="170" spans="3:53"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</row>
    <row r="171" spans="3:53"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</row>
    <row r="172" spans="3:53"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</row>
    <row r="173" spans="3:53"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</row>
    <row r="174" spans="3:53"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</row>
    <row r="175" spans="3:53"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</row>
    <row r="176" spans="3:53"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</row>
    <row r="177" spans="3:53"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</row>
    <row r="178" spans="3:53"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</row>
    <row r="179" spans="3:53"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</row>
    <row r="180" spans="3:53"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</row>
    <row r="181" spans="3:53"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</row>
    <row r="182" spans="3:53"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</row>
    <row r="183" spans="3:53"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</row>
    <row r="184" spans="3:53"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</row>
    <row r="185" spans="3:53"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</row>
    <row r="186" spans="3:53"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</row>
    <row r="187" spans="3:53"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</row>
    <row r="188" spans="3:53"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</row>
    <row r="189" spans="3:53"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</row>
    <row r="190" spans="3:53"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</row>
    <row r="191" spans="3:53"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</row>
    <row r="192" spans="3:53"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</row>
    <row r="193" spans="3:53"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</row>
    <row r="194" spans="3:53"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</row>
    <row r="195" spans="3:53"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</row>
    <row r="196" spans="3:53"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</row>
    <row r="197" spans="3:53"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</row>
    <row r="198" spans="3:53"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</row>
    <row r="199" spans="3:53"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</row>
    <row r="200" spans="3:53"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</row>
    <row r="201" spans="3:53"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</row>
    <row r="202" spans="3:53"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  <c r="AZ202" s="70"/>
      <c r="BA202" s="70"/>
    </row>
    <row r="203" spans="3:53"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  <c r="AZ203" s="70"/>
      <c r="BA203" s="70"/>
    </row>
    <row r="204" spans="3:53"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</row>
    <row r="205" spans="3:53"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</row>
    <row r="206" spans="3:53"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</row>
    <row r="207" spans="3:53"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  <c r="AZ207" s="70"/>
      <c r="BA207" s="70"/>
    </row>
    <row r="208" spans="3:53"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  <c r="AZ208" s="70"/>
      <c r="BA208" s="70"/>
    </row>
    <row r="209" spans="3:53"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</row>
    <row r="210" spans="3:53"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</row>
    <row r="211" spans="3:53"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  <c r="AZ211" s="70"/>
      <c r="BA211" s="70"/>
    </row>
    <row r="212" spans="3:53"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</row>
    <row r="213" spans="3:53"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  <c r="AZ213" s="70"/>
      <c r="BA213" s="70"/>
    </row>
    <row r="214" spans="3:53"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</row>
    <row r="215" spans="3:53"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</row>
    <row r="216" spans="3:53"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</row>
    <row r="217" spans="3:53"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</row>
    <row r="218" spans="3:53"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</row>
    <row r="219" spans="3:53"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</row>
    <row r="220" spans="3:53"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</row>
    <row r="221" spans="3:53"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</row>
    <row r="222" spans="3:53"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</row>
    <row r="223" spans="3:53"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</row>
    <row r="224" spans="3:53"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</row>
    <row r="225" spans="3:53"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</row>
    <row r="226" spans="3:53"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</row>
    <row r="227" spans="3:53"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</row>
    <row r="228" spans="3:53"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</row>
    <row r="229" spans="3:53"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</row>
    <row r="230" spans="3:53"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</row>
    <row r="231" spans="3:53"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</row>
    <row r="232" spans="3:53"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</row>
    <row r="233" spans="3:53"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</row>
    <row r="234" spans="3:53"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</row>
    <row r="235" spans="3:53"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</row>
    <row r="236" spans="3:53"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</row>
    <row r="237" spans="3:53"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</row>
    <row r="238" spans="3:53"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  <c r="AZ238" s="70"/>
      <c r="BA238" s="70"/>
    </row>
    <row r="239" spans="3:53"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</row>
    <row r="240" spans="3:53"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  <c r="AZ240" s="70"/>
      <c r="BA240" s="70"/>
    </row>
    <row r="241" spans="3:53"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  <c r="AU241" s="70"/>
      <c r="AV241" s="70"/>
      <c r="AW241" s="70"/>
      <c r="AX241" s="70"/>
      <c r="AY241" s="70"/>
      <c r="AZ241" s="70"/>
      <c r="BA241" s="70"/>
    </row>
    <row r="242" spans="3:53"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  <c r="AU242" s="70"/>
      <c r="AV242" s="70"/>
      <c r="AW242" s="70"/>
      <c r="AX242" s="70"/>
      <c r="AY242" s="70"/>
      <c r="AZ242" s="70"/>
      <c r="BA242" s="70"/>
    </row>
    <row r="243" spans="3:53"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</row>
    <row r="244" spans="3:53"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  <c r="AU244" s="70"/>
      <c r="AV244" s="70"/>
      <c r="AW244" s="70"/>
      <c r="AX244" s="70"/>
      <c r="AY244" s="70"/>
      <c r="AZ244" s="70"/>
      <c r="BA244" s="70"/>
    </row>
    <row r="245" spans="3:53"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  <c r="AZ245" s="70"/>
      <c r="BA245" s="70"/>
    </row>
    <row r="246" spans="3:53"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  <c r="AZ246" s="70"/>
      <c r="BA246" s="70"/>
    </row>
    <row r="247" spans="3:53"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  <c r="AU247" s="70"/>
      <c r="AV247" s="70"/>
      <c r="AW247" s="70"/>
      <c r="AX247" s="70"/>
      <c r="AY247" s="70"/>
      <c r="AZ247" s="70"/>
      <c r="BA247" s="70"/>
    </row>
    <row r="248" spans="3:53"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</row>
    <row r="249" spans="3:53"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</row>
    <row r="250" spans="3:53"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  <c r="AZ250" s="70"/>
      <c r="BA250" s="70"/>
    </row>
    <row r="251" spans="3:53"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  <c r="AZ251" s="70"/>
      <c r="BA251" s="70"/>
    </row>
    <row r="252" spans="3:53"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  <c r="AU252" s="70"/>
      <c r="AV252" s="70"/>
      <c r="AW252" s="70"/>
      <c r="AX252" s="70"/>
      <c r="AY252" s="70"/>
      <c r="AZ252" s="70"/>
      <c r="BA252" s="70"/>
    </row>
    <row r="253" spans="3:53"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  <c r="AZ253" s="70"/>
      <c r="BA253" s="70"/>
    </row>
    <row r="254" spans="3:53"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  <c r="AZ254" s="70"/>
      <c r="BA254" s="70"/>
    </row>
    <row r="255" spans="3:53"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0"/>
      <c r="AU255" s="70"/>
      <c r="AV255" s="70"/>
      <c r="AW255" s="70"/>
      <c r="AX255" s="70"/>
      <c r="AY255" s="70"/>
      <c r="AZ255" s="70"/>
      <c r="BA255" s="70"/>
    </row>
    <row r="256" spans="3:53"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</row>
    <row r="257" spans="3:53"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</row>
    <row r="258" spans="3:53"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</row>
    <row r="259" spans="3:53"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0"/>
      <c r="AU259" s="70"/>
      <c r="AV259" s="70"/>
      <c r="AW259" s="70"/>
      <c r="AX259" s="70"/>
      <c r="AY259" s="70"/>
      <c r="AZ259" s="70"/>
      <c r="BA259" s="70"/>
    </row>
    <row r="260" spans="3:53"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0"/>
      <c r="AU260" s="70"/>
      <c r="AV260" s="70"/>
      <c r="AW260" s="70"/>
      <c r="AX260" s="70"/>
      <c r="AY260" s="70"/>
      <c r="AZ260" s="70"/>
      <c r="BA260" s="70"/>
    </row>
    <row r="261" spans="3:53"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</row>
    <row r="262" spans="3:53"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  <c r="AU262" s="70"/>
      <c r="AV262" s="70"/>
      <c r="AW262" s="70"/>
      <c r="AX262" s="70"/>
      <c r="AY262" s="70"/>
      <c r="AZ262" s="70"/>
      <c r="BA262" s="70"/>
    </row>
    <row r="263" spans="3:53"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</row>
    <row r="264" spans="3:53"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0"/>
      <c r="AU264" s="70"/>
      <c r="AV264" s="70"/>
      <c r="AW264" s="70"/>
      <c r="AX264" s="70"/>
      <c r="AY264" s="70"/>
      <c r="AZ264" s="70"/>
      <c r="BA264" s="70"/>
    </row>
    <row r="265" spans="3:53"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</row>
    <row r="266" spans="3:53"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0"/>
      <c r="BA266" s="70"/>
    </row>
    <row r="267" spans="3:53"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</row>
    <row r="268" spans="3:53"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</row>
    <row r="269" spans="3:53"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/>
      <c r="BA269" s="70"/>
    </row>
    <row r="270" spans="3:53"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/>
      <c r="BA270" s="70"/>
    </row>
    <row r="271" spans="3:53"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</row>
    <row r="272" spans="3:53"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</row>
    <row r="273" spans="3:53"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  <c r="AU273" s="70"/>
      <c r="AV273" s="70"/>
      <c r="AW273" s="70"/>
      <c r="AX273" s="70"/>
      <c r="AY273" s="70"/>
      <c r="AZ273" s="70"/>
      <c r="BA273" s="70"/>
    </row>
    <row r="274" spans="3:53"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</row>
    <row r="275" spans="3:53"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  <c r="AU275" s="70"/>
      <c r="AV275" s="70"/>
      <c r="AW275" s="70"/>
      <c r="AX275" s="70"/>
      <c r="AY275" s="70"/>
      <c r="AZ275" s="70"/>
      <c r="BA275" s="70"/>
    </row>
    <row r="276" spans="3:53"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0"/>
      <c r="AU276" s="70"/>
      <c r="AV276" s="70"/>
      <c r="AW276" s="70"/>
      <c r="AX276" s="70"/>
      <c r="AY276" s="70"/>
      <c r="AZ276" s="70"/>
      <c r="BA276" s="70"/>
    </row>
    <row r="277" spans="3:53"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0"/>
      <c r="AU277" s="70"/>
      <c r="AV277" s="70"/>
      <c r="AW277" s="70"/>
      <c r="AX277" s="70"/>
      <c r="AY277" s="70"/>
      <c r="AZ277" s="70"/>
      <c r="BA277" s="70"/>
    </row>
    <row r="278" spans="3:53"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0"/>
      <c r="AU278" s="70"/>
      <c r="AV278" s="70"/>
      <c r="AW278" s="70"/>
      <c r="AX278" s="70"/>
      <c r="AY278" s="70"/>
      <c r="AZ278" s="70"/>
      <c r="BA278" s="70"/>
    </row>
    <row r="279" spans="3:53"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0"/>
      <c r="AU279" s="70"/>
      <c r="AV279" s="70"/>
      <c r="AW279" s="70"/>
      <c r="AX279" s="70"/>
      <c r="AY279" s="70"/>
      <c r="AZ279" s="70"/>
      <c r="BA279" s="70"/>
    </row>
    <row r="280" spans="3:53"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0"/>
      <c r="AU280" s="70"/>
      <c r="AV280" s="70"/>
      <c r="AW280" s="70"/>
      <c r="AX280" s="70"/>
      <c r="AY280" s="70"/>
      <c r="AZ280" s="70"/>
      <c r="BA280" s="70"/>
    </row>
    <row r="281" spans="3:53"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0"/>
      <c r="AU281" s="70"/>
      <c r="AV281" s="70"/>
      <c r="AW281" s="70"/>
      <c r="AX281" s="70"/>
      <c r="AY281" s="70"/>
      <c r="AZ281" s="70"/>
      <c r="BA281" s="70"/>
    </row>
    <row r="282" spans="3:53"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0"/>
      <c r="AU282" s="70"/>
      <c r="AV282" s="70"/>
      <c r="AW282" s="70"/>
      <c r="AX282" s="70"/>
      <c r="AY282" s="70"/>
      <c r="AZ282" s="70"/>
      <c r="BA282" s="70"/>
    </row>
    <row r="283" spans="3:53"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  <c r="AU283" s="70"/>
      <c r="AV283" s="70"/>
      <c r="AW283" s="70"/>
      <c r="AX283" s="70"/>
      <c r="AY283" s="70"/>
      <c r="AZ283" s="70"/>
      <c r="BA283" s="70"/>
    </row>
    <row r="284" spans="3:53"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  <c r="AU284" s="70"/>
      <c r="AV284" s="70"/>
      <c r="AW284" s="70"/>
      <c r="AX284" s="70"/>
      <c r="AY284" s="70"/>
      <c r="AZ284" s="70"/>
      <c r="BA284" s="70"/>
    </row>
    <row r="285" spans="3:53"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0"/>
      <c r="AZ285" s="70"/>
      <c r="BA285" s="70"/>
    </row>
    <row r="286" spans="3:53"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0"/>
      <c r="AU286" s="70"/>
      <c r="AV286" s="70"/>
      <c r="AW286" s="70"/>
      <c r="AX286" s="70"/>
      <c r="AY286" s="70"/>
      <c r="AZ286" s="70"/>
      <c r="BA286" s="70"/>
    </row>
    <row r="287" spans="3:53"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</row>
    <row r="288" spans="3:53"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0"/>
      <c r="AU288" s="70"/>
      <c r="AV288" s="70"/>
      <c r="AW288" s="70"/>
      <c r="AX288" s="70"/>
      <c r="AY288" s="70"/>
      <c r="AZ288" s="70"/>
      <c r="BA288" s="70"/>
    </row>
    <row r="289" spans="3:53"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0"/>
      <c r="AT289" s="70"/>
      <c r="AU289" s="70"/>
      <c r="AV289" s="70"/>
      <c r="AW289" s="70"/>
      <c r="AX289" s="70"/>
      <c r="AY289" s="70"/>
      <c r="AZ289" s="70"/>
      <c r="BA289" s="70"/>
    </row>
    <row r="290" spans="3:53"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0"/>
      <c r="AT290" s="70"/>
      <c r="AU290" s="70"/>
      <c r="AV290" s="70"/>
      <c r="AW290" s="70"/>
      <c r="AX290" s="70"/>
      <c r="AY290" s="70"/>
      <c r="AZ290" s="70"/>
      <c r="BA290" s="70"/>
    </row>
    <row r="291" spans="3:53"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  <c r="AO291" s="70"/>
      <c r="AP291" s="70"/>
      <c r="AQ291" s="70"/>
      <c r="AR291" s="70"/>
      <c r="AS291" s="70"/>
      <c r="AT291" s="70"/>
      <c r="AU291" s="70"/>
      <c r="AV291" s="70"/>
      <c r="AW291" s="70"/>
      <c r="AX291" s="70"/>
      <c r="AY291" s="70"/>
      <c r="AZ291" s="70"/>
      <c r="BA291" s="70"/>
    </row>
    <row r="292" spans="3:53"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</row>
    <row r="293" spans="3:53"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</row>
    <row r="294" spans="3:53"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  <c r="AO294" s="70"/>
      <c r="AP294" s="70"/>
      <c r="AQ294" s="70"/>
      <c r="AR294" s="70"/>
      <c r="AS294" s="70"/>
      <c r="AT294" s="70"/>
      <c r="AU294" s="70"/>
      <c r="AV294" s="70"/>
      <c r="AW294" s="70"/>
      <c r="AX294" s="70"/>
      <c r="AY294" s="70"/>
      <c r="AZ294" s="70"/>
      <c r="BA294" s="70"/>
    </row>
    <row r="295" spans="3:53"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  <c r="AO295" s="70"/>
      <c r="AP295" s="70"/>
      <c r="AQ295" s="70"/>
      <c r="AR295" s="70"/>
      <c r="AS295" s="70"/>
      <c r="AT295" s="70"/>
      <c r="AU295" s="70"/>
      <c r="AV295" s="70"/>
      <c r="AW295" s="70"/>
      <c r="AX295" s="70"/>
      <c r="AY295" s="70"/>
      <c r="AZ295" s="70"/>
      <c r="BA295" s="70"/>
    </row>
    <row r="296" spans="3:53"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0"/>
      <c r="AU296" s="70"/>
      <c r="AV296" s="70"/>
      <c r="AW296" s="70"/>
      <c r="AX296" s="70"/>
      <c r="AY296" s="70"/>
      <c r="AZ296" s="70"/>
      <c r="BA296" s="70"/>
    </row>
    <row r="297" spans="3:53"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  <c r="AO297" s="70"/>
      <c r="AP297" s="70"/>
      <c r="AQ297" s="70"/>
      <c r="AR297" s="70"/>
      <c r="AS297" s="70"/>
      <c r="AT297" s="70"/>
      <c r="AU297" s="70"/>
      <c r="AV297" s="70"/>
      <c r="AW297" s="70"/>
      <c r="AX297" s="70"/>
      <c r="AY297" s="70"/>
      <c r="AZ297" s="70"/>
      <c r="BA297" s="70"/>
    </row>
    <row r="298" spans="3:53"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0"/>
      <c r="AU298" s="70"/>
      <c r="AV298" s="70"/>
      <c r="AW298" s="70"/>
      <c r="AX298" s="70"/>
      <c r="AY298" s="70"/>
      <c r="AZ298" s="70"/>
      <c r="BA298" s="70"/>
    </row>
    <row r="299" spans="3:53"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0"/>
      <c r="AU299" s="70"/>
      <c r="AV299" s="70"/>
      <c r="AW299" s="70"/>
      <c r="AX299" s="70"/>
      <c r="AY299" s="70"/>
      <c r="AZ299" s="70"/>
      <c r="BA299" s="70"/>
    </row>
    <row r="300" spans="3:53"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0"/>
      <c r="AU300" s="70"/>
      <c r="AV300" s="70"/>
      <c r="AW300" s="70"/>
      <c r="AX300" s="70"/>
      <c r="AY300" s="70"/>
      <c r="AZ300" s="70"/>
      <c r="BA300" s="70"/>
    </row>
    <row r="301" spans="3:53"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0"/>
      <c r="AU301" s="70"/>
      <c r="AV301" s="70"/>
      <c r="AW301" s="70"/>
      <c r="AX301" s="70"/>
      <c r="AY301" s="70"/>
      <c r="AZ301" s="70"/>
      <c r="BA301" s="70"/>
    </row>
    <row r="302" spans="3:53"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0"/>
      <c r="AT302" s="70"/>
      <c r="AU302" s="70"/>
      <c r="AV302" s="70"/>
      <c r="AW302" s="70"/>
      <c r="AX302" s="70"/>
      <c r="AY302" s="70"/>
      <c r="AZ302" s="70"/>
      <c r="BA302" s="70"/>
    </row>
    <row r="303" spans="3:53"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0"/>
      <c r="AT303" s="70"/>
      <c r="AU303" s="70"/>
      <c r="AV303" s="70"/>
      <c r="AW303" s="70"/>
      <c r="AX303" s="70"/>
      <c r="AY303" s="70"/>
      <c r="AZ303" s="70"/>
      <c r="BA303" s="70"/>
    </row>
    <row r="304" spans="3:53"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0"/>
      <c r="AU304" s="70"/>
      <c r="AV304" s="70"/>
      <c r="AW304" s="70"/>
      <c r="AX304" s="70"/>
      <c r="AY304" s="70"/>
      <c r="AZ304" s="70"/>
      <c r="BA304" s="70"/>
    </row>
    <row r="305" spans="3:53"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  <c r="AO305" s="70"/>
      <c r="AP305" s="70"/>
      <c r="AQ305" s="70"/>
      <c r="AR305" s="70"/>
      <c r="AS305" s="70"/>
      <c r="AT305" s="70"/>
      <c r="AU305" s="70"/>
      <c r="AV305" s="70"/>
      <c r="AW305" s="70"/>
      <c r="AX305" s="70"/>
      <c r="AY305" s="70"/>
      <c r="AZ305" s="70"/>
      <c r="BA305" s="70"/>
    </row>
    <row r="306" spans="3:53"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  <c r="AO306" s="70"/>
      <c r="AP306" s="70"/>
      <c r="AQ306" s="70"/>
      <c r="AR306" s="70"/>
      <c r="AS306" s="70"/>
      <c r="AT306" s="70"/>
      <c r="AU306" s="70"/>
      <c r="AV306" s="70"/>
      <c r="AW306" s="70"/>
      <c r="AX306" s="70"/>
      <c r="AY306" s="70"/>
      <c r="AZ306" s="70"/>
      <c r="BA306" s="70"/>
    </row>
    <row r="307" spans="3:53"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  <c r="AO307" s="70"/>
      <c r="AP307" s="70"/>
      <c r="AQ307" s="70"/>
      <c r="AR307" s="70"/>
      <c r="AS307" s="70"/>
      <c r="AT307" s="70"/>
      <c r="AU307" s="70"/>
      <c r="AV307" s="70"/>
      <c r="AW307" s="70"/>
      <c r="AX307" s="70"/>
      <c r="AY307" s="70"/>
      <c r="AZ307" s="70"/>
      <c r="BA307" s="70"/>
    </row>
    <row r="308" spans="3:53"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  <c r="AO308" s="70"/>
      <c r="AP308" s="70"/>
      <c r="AQ308" s="70"/>
      <c r="AR308" s="70"/>
      <c r="AS308" s="70"/>
      <c r="AT308" s="70"/>
      <c r="AU308" s="70"/>
      <c r="AV308" s="70"/>
      <c r="AW308" s="70"/>
      <c r="AX308" s="70"/>
      <c r="AY308" s="70"/>
      <c r="AZ308" s="70"/>
      <c r="BA308" s="70"/>
    </row>
    <row r="309" spans="3:53"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</row>
    <row r="310" spans="3:53"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  <c r="AO310" s="70"/>
      <c r="AP310" s="70"/>
      <c r="AQ310" s="70"/>
      <c r="AR310" s="70"/>
      <c r="AS310" s="70"/>
      <c r="AT310" s="70"/>
      <c r="AU310" s="70"/>
      <c r="AV310" s="70"/>
      <c r="AW310" s="70"/>
      <c r="AX310" s="70"/>
      <c r="AY310" s="70"/>
      <c r="AZ310" s="70"/>
      <c r="BA310" s="70"/>
    </row>
    <row r="311" spans="3:53"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  <c r="AR311" s="70"/>
      <c r="AS311" s="70"/>
      <c r="AT311" s="70"/>
      <c r="AU311" s="70"/>
      <c r="AV311" s="70"/>
      <c r="AW311" s="70"/>
      <c r="AX311" s="70"/>
      <c r="AY311" s="70"/>
      <c r="AZ311" s="70"/>
      <c r="BA311" s="70"/>
    </row>
    <row r="312" spans="3:53"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  <c r="AO312" s="70"/>
      <c r="AP312" s="70"/>
      <c r="AQ312" s="70"/>
      <c r="AR312" s="70"/>
      <c r="AS312" s="70"/>
      <c r="AT312" s="70"/>
      <c r="AU312" s="70"/>
      <c r="AV312" s="70"/>
      <c r="AW312" s="70"/>
      <c r="AX312" s="70"/>
      <c r="AY312" s="70"/>
      <c r="AZ312" s="70"/>
      <c r="BA312" s="70"/>
    </row>
    <row r="313" spans="3:53"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0"/>
      <c r="AU313" s="70"/>
      <c r="AV313" s="70"/>
      <c r="AW313" s="70"/>
      <c r="AX313" s="70"/>
      <c r="AY313" s="70"/>
      <c r="AZ313" s="70"/>
      <c r="BA313" s="70"/>
    </row>
    <row r="314" spans="3:53"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0"/>
      <c r="AT314" s="70"/>
      <c r="AU314" s="70"/>
      <c r="AV314" s="70"/>
      <c r="AW314" s="70"/>
      <c r="AX314" s="70"/>
      <c r="AY314" s="70"/>
      <c r="AZ314" s="70"/>
      <c r="BA314" s="70"/>
    </row>
    <row r="315" spans="3:53"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  <c r="AO315" s="70"/>
      <c r="AP315" s="70"/>
      <c r="AQ315" s="70"/>
      <c r="AR315" s="70"/>
      <c r="AS315" s="70"/>
      <c r="AT315" s="70"/>
      <c r="AU315" s="70"/>
      <c r="AV315" s="70"/>
      <c r="AW315" s="70"/>
      <c r="AX315" s="70"/>
      <c r="AY315" s="70"/>
      <c r="AZ315" s="70"/>
      <c r="BA315" s="70"/>
    </row>
    <row r="316" spans="3:53"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0"/>
      <c r="AT316" s="70"/>
      <c r="AU316" s="70"/>
      <c r="AV316" s="70"/>
      <c r="AW316" s="70"/>
      <c r="AX316" s="70"/>
      <c r="AY316" s="70"/>
      <c r="AZ316" s="70"/>
      <c r="BA316" s="70"/>
    </row>
    <row r="317" spans="3:53"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0"/>
      <c r="AU317" s="70"/>
      <c r="AV317" s="70"/>
      <c r="AW317" s="70"/>
      <c r="AX317" s="70"/>
      <c r="AY317" s="70"/>
      <c r="AZ317" s="70"/>
      <c r="BA317" s="70"/>
    </row>
    <row r="318" spans="3:53"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0"/>
      <c r="AT318" s="70"/>
      <c r="AU318" s="70"/>
      <c r="AV318" s="70"/>
      <c r="AW318" s="70"/>
      <c r="AX318" s="70"/>
      <c r="AY318" s="70"/>
      <c r="AZ318" s="70"/>
      <c r="BA318" s="70"/>
    </row>
    <row r="319" spans="3:53"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0"/>
      <c r="AU319" s="70"/>
      <c r="AV319" s="70"/>
      <c r="AW319" s="70"/>
      <c r="AX319" s="70"/>
      <c r="AY319" s="70"/>
      <c r="AZ319" s="70"/>
      <c r="BA319" s="70"/>
    </row>
    <row r="320" spans="3:53"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  <c r="AO320" s="70"/>
      <c r="AP320" s="70"/>
      <c r="AQ320" s="70"/>
      <c r="AR320" s="70"/>
      <c r="AS320" s="70"/>
      <c r="AT320" s="70"/>
      <c r="AU320" s="70"/>
      <c r="AV320" s="70"/>
      <c r="AW320" s="70"/>
      <c r="AX320" s="70"/>
      <c r="AY320" s="70"/>
      <c r="AZ320" s="70"/>
      <c r="BA320" s="70"/>
    </row>
    <row r="321" spans="3:53"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  <c r="AO321" s="70"/>
      <c r="AP321" s="70"/>
      <c r="AQ321" s="70"/>
      <c r="AR321" s="70"/>
      <c r="AS321" s="70"/>
      <c r="AT321" s="70"/>
      <c r="AU321" s="70"/>
      <c r="AV321" s="70"/>
      <c r="AW321" s="70"/>
      <c r="AX321" s="70"/>
      <c r="AY321" s="70"/>
      <c r="AZ321" s="70"/>
      <c r="BA321" s="70"/>
    </row>
    <row r="322" spans="3:53"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  <c r="AO322" s="70"/>
      <c r="AP322" s="70"/>
      <c r="AQ322" s="70"/>
      <c r="AR322" s="70"/>
      <c r="AS322" s="70"/>
      <c r="AT322" s="70"/>
      <c r="AU322" s="70"/>
      <c r="AV322" s="70"/>
      <c r="AW322" s="70"/>
      <c r="AX322" s="70"/>
      <c r="AY322" s="70"/>
      <c r="AZ322" s="70"/>
      <c r="BA322" s="70"/>
    </row>
    <row r="323" spans="3:53"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  <c r="AO323" s="70"/>
      <c r="AP323" s="70"/>
      <c r="AQ323" s="70"/>
      <c r="AR323" s="70"/>
      <c r="AS323" s="70"/>
      <c r="AT323" s="70"/>
      <c r="AU323" s="70"/>
      <c r="AV323" s="70"/>
      <c r="AW323" s="70"/>
      <c r="AX323" s="70"/>
      <c r="AY323" s="70"/>
      <c r="AZ323" s="70"/>
      <c r="BA323" s="70"/>
    </row>
    <row r="324" spans="3:53"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  <c r="AO324" s="70"/>
      <c r="AP324" s="70"/>
      <c r="AQ324" s="70"/>
      <c r="AR324" s="70"/>
      <c r="AS324" s="70"/>
      <c r="AT324" s="70"/>
      <c r="AU324" s="70"/>
      <c r="AV324" s="70"/>
      <c r="AW324" s="70"/>
      <c r="AX324" s="70"/>
      <c r="AY324" s="70"/>
      <c r="AZ324" s="70"/>
      <c r="BA324" s="70"/>
    </row>
    <row r="325" spans="3:53"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  <c r="AO325" s="70"/>
      <c r="AP325" s="70"/>
      <c r="AQ325" s="70"/>
      <c r="AR325" s="70"/>
      <c r="AS325" s="70"/>
      <c r="AT325" s="70"/>
      <c r="AU325" s="70"/>
      <c r="AV325" s="70"/>
      <c r="AW325" s="70"/>
      <c r="AX325" s="70"/>
      <c r="AY325" s="70"/>
      <c r="AZ325" s="70"/>
      <c r="BA325" s="70"/>
    </row>
    <row r="326" spans="3:53"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  <c r="AU326" s="70"/>
      <c r="AV326" s="70"/>
      <c r="AW326" s="70"/>
      <c r="AX326" s="70"/>
      <c r="AY326" s="70"/>
      <c r="AZ326" s="70"/>
      <c r="BA326" s="70"/>
    </row>
    <row r="327" spans="3:53"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0"/>
      <c r="AU327" s="70"/>
      <c r="AV327" s="70"/>
      <c r="AW327" s="70"/>
      <c r="AX327" s="70"/>
      <c r="AY327" s="70"/>
      <c r="AZ327" s="70"/>
      <c r="BA327" s="70"/>
    </row>
    <row r="328" spans="3:53"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  <c r="AU328" s="70"/>
      <c r="AV328" s="70"/>
      <c r="AW328" s="70"/>
      <c r="AX328" s="70"/>
      <c r="AY328" s="70"/>
      <c r="AZ328" s="70"/>
      <c r="BA328" s="70"/>
    </row>
    <row r="329" spans="3:53"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  <c r="AU329" s="70"/>
      <c r="AV329" s="70"/>
      <c r="AW329" s="70"/>
      <c r="AX329" s="70"/>
      <c r="AY329" s="70"/>
      <c r="AZ329" s="70"/>
      <c r="BA329" s="70"/>
    </row>
    <row r="330" spans="3:53"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0"/>
      <c r="AW330" s="70"/>
      <c r="AX330" s="70"/>
      <c r="AY330" s="70"/>
      <c r="AZ330" s="70"/>
      <c r="BA330" s="70"/>
    </row>
    <row r="331" spans="3:53"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0"/>
      <c r="AW331" s="70"/>
      <c r="AX331" s="70"/>
      <c r="AY331" s="70"/>
      <c r="AZ331" s="70"/>
      <c r="BA331" s="70"/>
    </row>
    <row r="332" spans="3:53"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0"/>
      <c r="AW332" s="70"/>
      <c r="AX332" s="70"/>
      <c r="AY332" s="70"/>
      <c r="AZ332" s="70"/>
      <c r="BA332" s="70"/>
    </row>
    <row r="333" spans="3:53"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0"/>
      <c r="AU333" s="70"/>
      <c r="AV333" s="70"/>
      <c r="AW333" s="70"/>
      <c r="AX333" s="70"/>
      <c r="AY333" s="70"/>
      <c r="AZ333" s="70"/>
      <c r="BA333" s="70"/>
    </row>
    <row r="334" spans="3:53"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  <c r="AU334" s="70"/>
      <c r="AV334" s="70"/>
      <c r="AW334" s="70"/>
      <c r="AX334" s="70"/>
      <c r="AY334" s="70"/>
      <c r="AZ334" s="70"/>
      <c r="BA334" s="70"/>
    </row>
    <row r="335" spans="3:53"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  <c r="AO335" s="70"/>
      <c r="AP335" s="70"/>
      <c r="AQ335" s="70"/>
      <c r="AR335" s="70"/>
      <c r="AS335" s="70"/>
      <c r="AT335" s="70"/>
      <c r="AU335" s="70"/>
      <c r="AV335" s="70"/>
      <c r="AW335" s="70"/>
      <c r="AX335" s="70"/>
      <c r="AY335" s="70"/>
      <c r="AZ335" s="70"/>
      <c r="BA335" s="70"/>
    </row>
    <row r="336" spans="3:53"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0"/>
      <c r="AU336" s="70"/>
      <c r="AV336" s="70"/>
      <c r="AW336" s="70"/>
      <c r="AX336" s="70"/>
      <c r="AY336" s="70"/>
      <c r="AZ336" s="70"/>
      <c r="BA336" s="70"/>
    </row>
    <row r="337" spans="3:53"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  <c r="AO337" s="70"/>
      <c r="AP337" s="70"/>
      <c r="AQ337" s="70"/>
      <c r="AR337" s="70"/>
      <c r="AS337" s="70"/>
      <c r="AT337" s="70"/>
      <c r="AU337" s="70"/>
      <c r="AV337" s="70"/>
      <c r="AW337" s="70"/>
      <c r="AX337" s="70"/>
      <c r="AY337" s="70"/>
      <c r="AZ337" s="70"/>
      <c r="BA337" s="70"/>
    </row>
    <row r="338" spans="3:53"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  <c r="AO338" s="70"/>
      <c r="AP338" s="70"/>
      <c r="AQ338" s="70"/>
      <c r="AR338" s="70"/>
      <c r="AS338" s="70"/>
      <c r="AT338" s="70"/>
      <c r="AU338" s="70"/>
      <c r="AV338" s="70"/>
      <c r="AW338" s="70"/>
      <c r="AX338" s="70"/>
      <c r="AY338" s="70"/>
      <c r="AZ338" s="70"/>
      <c r="BA338" s="70"/>
    </row>
    <row r="339" spans="3:53"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  <c r="AO339" s="70"/>
      <c r="AP339" s="70"/>
      <c r="AQ339" s="70"/>
      <c r="AR339" s="70"/>
      <c r="AS339" s="70"/>
      <c r="AT339" s="70"/>
      <c r="AU339" s="70"/>
      <c r="AV339" s="70"/>
      <c r="AW339" s="70"/>
      <c r="AX339" s="70"/>
      <c r="AY339" s="70"/>
      <c r="AZ339" s="70"/>
      <c r="BA339" s="70"/>
    </row>
    <row r="340" spans="3:53"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  <c r="AO340" s="70"/>
      <c r="AP340" s="70"/>
      <c r="AQ340" s="70"/>
      <c r="AR340" s="70"/>
      <c r="AS340" s="70"/>
      <c r="AT340" s="70"/>
      <c r="AU340" s="70"/>
      <c r="AV340" s="70"/>
      <c r="AW340" s="70"/>
      <c r="AX340" s="70"/>
      <c r="AY340" s="70"/>
      <c r="AZ340" s="70"/>
      <c r="BA340" s="70"/>
    </row>
    <row r="341" spans="3:53"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  <c r="AO341" s="70"/>
      <c r="AP341" s="70"/>
      <c r="AQ341" s="70"/>
      <c r="AR341" s="70"/>
      <c r="AS341" s="70"/>
      <c r="AT341" s="70"/>
      <c r="AU341" s="70"/>
      <c r="AV341" s="70"/>
      <c r="AW341" s="70"/>
      <c r="AX341" s="70"/>
      <c r="AY341" s="70"/>
      <c r="AZ341" s="70"/>
      <c r="BA341" s="70"/>
    </row>
    <row r="342" spans="3:53"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  <c r="AO342" s="70"/>
      <c r="AP342" s="70"/>
      <c r="AQ342" s="70"/>
      <c r="AR342" s="70"/>
      <c r="AS342" s="70"/>
      <c r="AT342" s="70"/>
      <c r="AU342" s="70"/>
      <c r="AV342" s="70"/>
      <c r="AW342" s="70"/>
      <c r="AX342" s="70"/>
      <c r="AY342" s="70"/>
      <c r="AZ342" s="70"/>
      <c r="BA342" s="70"/>
    </row>
    <row r="343" spans="3:53"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  <c r="AO343" s="70"/>
      <c r="AP343" s="70"/>
      <c r="AQ343" s="70"/>
      <c r="AR343" s="70"/>
      <c r="AS343" s="70"/>
      <c r="AT343" s="70"/>
      <c r="AU343" s="70"/>
      <c r="AV343" s="70"/>
      <c r="AW343" s="70"/>
      <c r="AX343" s="70"/>
      <c r="AY343" s="70"/>
      <c r="AZ343" s="70"/>
      <c r="BA343" s="70"/>
    </row>
    <row r="344" spans="3:53"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0"/>
      <c r="AU344" s="70"/>
      <c r="AV344" s="70"/>
      <c r="AW344" s="70"/>
      <c r="AX344" s="70"/>
      <c r="AY344" s="70"/>
      <c r="AZ344" s="70"/>
      <c r="BA344" s="70"/>
    </row>
    <row r="345" spans="3:53"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  <c r="AO345" s="70"/>
      <c r="AP345" s="70"/>
      <c r="AQ345" s="70"/>
      <c r="AR345" s="70"/>
      <c r="AS345" s="70"/>
      <c r="AT345" s="70"/>
      <c r="AU345" s="70"/>
      <c r="AV345" s="70"/>
      <c r="AW345" s="70"/>
      <c r="AX345" s="70"/>
      <c r="AY345" s="70"/>
      <c r="AZ345" s="70"/>
      <c r="BA345" s="70"/>
    </row>
    <row r="346" spans="3:53"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  <c r="AO346" s="70"/>
      <c r="AP346" s="70"/>
      <c r="AQ346" s="70"/>
      <c r="AR346" s="70"/>
      <c r="AS346" s="70"/>
      <c r="AT346" s="70"/>
      <c r="AU346" s="70"/>
      <c r="AV346" s="70"/>
      <c r="AW346" s="70"/>
      <c r="AX346" s="70"/>
      <c r="AY346" s="70"/>
      <c r="AZ346" s="70"/>
      <c r="BA346" s="70"/>
    </row>
    <row r="347" spans="3:53"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  <c r="AO347" s="70"/>
      <c r="AP347" s="70"/>
      <c r="AQ347" s="70"/>
      <c r="AR347" s="70"/>
      <c r="AS347" s="70"/>
      <c r="AT347" s="70"/>
      <c r="AU347" s="70"/>
      <c r="AV347" s="70"/>
      <c r="AW347" s="70"/>
      <c r="AX347" s="70"/>
      <c r="AY347" s="70"/>
      <c r="AZ347" s="70"/>
      <c r="BA347" s="70"/>
    </row>
    <row r="348" spans="3:53"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  <c r="AO348" s="70"/>
      <c r="AP348" s="70"/>
      <c r="AQ348" s="70"/>
      <c r="AR348" s="70"/>
      <c r="AS348" s="70"/>
      <c r="AT348" s="70"/>
      <c r="AU348" s="70"/>
      <c r="AV348" s="70"/>
      <c r="AW348" s="70"/>
      <c r="AX348" s="70"/>
      <c r="AY348" s="70"/>
      <c r="AZ348" s="70"/>
      <c r="BA348" s="70"/>
    </row>
    <row r="349" spans="3:53"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  <c r="AO349" s="70"/>
      <c r="AP349" s="70"/>
      <c r="AQ349" s="70"/>
      <c r="AR349" s="70"/>
      <c r="AS349" s="70"/>
      <c r="AT349" s="70"/>
      <c r="AU349" s="70"/>
      <c r="AV349" s="70"/>
      <c r="AW349" s="70"/>
      <c r="AX349" s="70"/>
      <c r="AY349" s="70"/>
      <c r="AZ349" s="70"/>
      <c r="BA349" s="70"/>
    </row>
    <row r="350" spans="3:53"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  <c r="AQ350" s="70"/>
      <c r="AR350" s="70"/>
      <c r="AS350" s="70"/>
      <c r="AT350" s="70"/>
      <c r="AU350" s="70"/>
      <c r="AV350" s="70"/>
      <c r="AW350" s="70"/>
      <c r="AX350" s="70"/>
      <c r="AY350" s="70"/>
      <c r="AZ350" s="70"/>
      <c r="BA350" s="70"/>
    </row>
    <row r="351" spans="3:53"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  <c r="AQ351" s="70"/>
      <c r="AR351" s="70"/>
      <c r="AS351" s="70"/>
      <c r="AT351" s="70"/>
      <c r="AU351" s="70"/>
      <c r="AV351" s="70"/>
      <c r="AW351" s="70"/>
      <c r="AX351" s="70"/>
      <c r="AY351" s="70"/>
      <c r="AZ351" s="70"/>
      <c r="BA351" s="70"/>
    </row>
    <row r="352" spans="3:53"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  <c r="AO352" s="70"/>
      <c r="AP352" s="70"/>
      <c r="AQ352" s="70"/>
      <c r="AR352" s="70"/>
      <c r="AS352" s="70"/>
      <c r="AT352" s="70"/>
      <c r="AU352" s="70"/>
      <c r="AV352" s="70"/>
      <c r="AW352" s="70"/>
      <c r="AX352" s="70"/>
      <c r="AY352" s="70"/>
      <c r="AZ352" s="70"/>
      <c r="BA352" s="70"/>
    </row>
    <row r="353" spans="3:53"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0"/>
      <c r="AU353" s="70"/>
      <c r="AV353" s="70"/>
      <c r="AW353" s="70"/>
      <c r="AX353" s="70"/>
      <c r="AY353" s="70"/>
      <c r="AZ353" s="70"/>
      <c r="BA353" s="70"/>
    </row>
    <row r="354" spans="3:53"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  <c r="AO354" s="70"/>
      <c r="AP354" s="70"/>
      <c r="AQ354" s="70"/>
      <c r="AR354" s="70"/>
      <c r="AS354" s="70"/>
      <c r="AT354" s="70"/>
      <c r="AU354" s="70"/>
      <c r="AV354" s="70"/>
      <c r="AW354" s="70"/>
      <c r="AX354" s="70"/>
      <c r="AY354" s="70"/>
      <c r="AZ354" s="70"/>
      <c r="BA354" s="70"/>
    </row>
    <row r="355" spans="3:53"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  <c r="AO355" s="70"/>
      <c r="AP355" s="70"/>
      <c r="AQ355" s="70"/>
      <c r="AR355" s="70"/>
      <c r="AS355" s="70"/>
      <c r="AT355" s="70"/>
      <c r="AU355" s="70"/>
      <c r="AV355" s="70"/>
      <c r="AW355" s="70"/>
      <c r="AX355" s="70"/>
      <c r="AY355" s="70"/>
      <c r="AZ355" s="70"/>
      <c r="BA355" s="70"/>
    </row>
    <row r="356" spans="3:53"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0"/>
      <c r="AU356" s="70"/>
      <c r="AV356" s="70"/>
      <c r="AW356" s="70"/>
      <c r="AX356" s="70"/>
      <c r="AY356" s="70"/>
      <c r="AZ356" s="70"/>
      <c r="BA356" s="70"/>
    </row>
    <row r="357" spans="3:53"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  <c r="AO357" s="70"/>
      <c r="AP357" s="70"/>
      <c r="AQ357" s="70"/>
      <c r="AR357" s="70"/>
      <c r="AS357" s="70"/>
      <c r="AT357" s="70"/>
      <c r="AU357" s="70"/>
      <c r="AV357" s="70"/>
      <c r="AW357" s="70"/>
      <c r="AX357" s="70"/>
      <c r="AY357" s="70"/>
      <c r="AZ357" s="70"/>
      <c r="BA357" s="70"/>
    </row>
    <row r="358" spans="3:53"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  <c r="AO358" s="70"/>
      <c r="AP358" s="70"/>
      <c r="AQ358" s="70"/>
      <c r="AR358" s="70"/>
      <c r="AS358" s="70"/>
      <c r="AT358" s="70"/>
      <c r="AU358" s="70"/>
      <c r="AV358" s="70"/>
      <c r="AW358" s="70"/>
      <c r="AX358" s="70"/>
      <c r="AY358" s="70"/>
      <c r="AZ358" s="70"/>
      <c r="BA358" s="70"/>
    </row>
    <row r="359" spans="3:53"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0"/>
      <c r="AT359" s="70"/>
      <c r="AU359" s="70"/>
      <c r="AV359" s="70"/>
      <c r="AW359" s="70"/>
      <c r="AX359" s="70"/>
      <c r="AY359" s="70"/>
      <c r="AZ359" s="70"/>
      <c r="BA359" s="70"/>
    </row>
    <row r="360" spans="3:53"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  <c r="AO360" s="70"/>
      <c r="AP360" s="70"/>
      <c r="AQ360" s="70"/>
      <c r="AR360" s="70"/>
      <c r="AS360" s="70"/>
      <c r="AT360" s="70"/>
      <c r="AU360" s="70"/>
      <c r="AV360" s="70"/>
      <c r="AW360" s="70"/>
      <c r="AX360" s="70"/>
      <c r="AY360" s="70"/>
      <c r="AZ360" s="70"/>
      <c r="BA360" s="70"/>
    </row>
    <row r="361" spans="3:53"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  <c r="AO361" s="70"/>
      <c r="AP361" s="70"/>
      <c r="AQ361" s="70"/>
      <c r="AR361" s="70"/>
      <c r="AS361" s="70"/>
      <c r="AT361" s="70"/>
      <c r="AU361" s="70"/>
      <c r="AV361" s="70"/>
      <c r="AW361" s="70"/>
      <c r="AX361" s="70"/>
      <c r="AY361" s="70"/>
      <c r="AZ361" s="70"/>
      <c r="BA361" s="70"/>
    </row>
    <row r="362" spans="3:53"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  <c r="AO362" s="70"/>
      <c r="AP362" s="70"/>
      <c r="AQ362" s="70"/>
      <c r="AR362" s="70"/>
      <c r="AS362" s="70"/>
      <c r="AT362" s="70"/>
      <c r="AU362" s="70"/>
      <c r="AV362" s="70"/>
      <c r="AW362" s="70"/>
      <c r="AX362" s="70"/>
      <c r="AY362" s="70"/>
      <c r="AZ362" s="70"/>
      <c r="BA362" s="70"/>
    </row>
    <row r="363" spans="3:53"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  <c r="AO363" s="70"/>
      <c r="AP363" s="70"/>
      <c r="AQ363" s="70"/>
      <c r="AR363" s="70"/>
      <c r="AS363" s="70"/>
      <c r="AT363" s="70"/>
      <c r="AU363" s="70"/>
      <c r="AV363" s="70"/>
      <c r="AW363" s="70"/>
      <c r="AX363" s="70"/>
      <c r="AY363" s="70"/>
      <c r="AZ363" s="70"/>
      <c r="BA363" s="70"/>
    </row>
    <row r="364" spans="3:53"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0"/>
      <c r="AU364" s="70"/>
      <c r="AV364" s="70"/>
      <c r="AW364" s="70"/>
      <c r="AX364" s="70"/>
      <c r="AY364" s="70"/>
      <c r="AZ364" s="70"/>
      <c r="BA364" s="70"/>
    </row>
    <row r="365" spans="3:53"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  <c r="AO365" s="70"/>
      <c r="AP365" s="70"/>
      <c r="AQ365" s="70"/>
      <c r="AR365" s="70"/>
      <c r="AS365" s="70"/>
      <c r="AT365" s="70"/>
      <c r="AU365" s="70"/>
      <c r="AV365" s="70"/>
      <c r="AW365" s="70"/>
      <c r="AX365" s="70"/>
      <c r="AY365" s="70"/>
      <c r="AZ365" s="70"/>
      <c r="BA365" s="70"/>
    </row>
    <row r="366" spans="3:53"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  <c r="AO366" s="70"/>
      <c r="AP366" s="70"/>
      <c r="AQ366" s="70"/>
      <c r="AR366" s="70"/>
      <c r="AS366" s="70"/>
      <c r="AT366" s="70"/>
      <c r="AU366" s="70"/>
      <c r="AV366" s="70"/>
      <c r="AW366" s="70"/>
      <c r="AX366" s="70"/>
      <c r="AY366" s="70"/>
      <c r="AZ366" s="70"/>
      <c r="BA366" s="70"/>
    </row>
    <row r="367" spans="3:53"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  <c r="AO367" s="70"/>
      <c r="AP367" s="70"/>
      <c r="AQ367" s="70"/>
      <c r="AR367" s="70"/>
      <c r="AS367" s="70"/>
      <c r="AT367" s="70"/>
      <c r="AU367" s="70"/>
      <c r="AV367" s="70"/>
      <c r="AW367" s="70"/>
      <c r="AX367" s="70"/>
      <c r="AY367" s="70"/>
      <c r="AZ367" s="70"/>
      <c r="BA367" s="70"/>
    </row>
    <row r="368" spans="3:53"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  <c r="AU368" s="70"/>
      <c r="AV368" s="70"/>
      <c r="AW368" s="70"/>
      <c r="AX368" s="70"/>
      <c r="AY368" s="70"/>
      <c r="AZ368" s="70"/>
      <c r="BA368" s="70"/>
    </row>
    <row r="369" spans="3:53"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  <c r="AO369" s="70"/>
      <c r="AP369" s="70"/>
      <c r="AQ369" s="70"/>
      <c r="AR369" s="70"/>
      <c r="AS369" s="70"/>
      <c r="AT369" s="70"/>
      <c r="AU369" s="70"/>
      <c r="AV369" s="70"/>
      <c r="AW369" s="70"/>
      <c r="AX369" s="70"/>
      <c r="AY369" s="70"/>
      <c r="AZ369" s="70"/>
      <c r="BA369" s="70"/>
    </row>
    <row r="370" spans="3:53"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  <c r="AO370" s="70"/>
      <c r="AP370" s="70"/>
      <c r="AQ370" s="70"/>
      <c r="AR370" s="70"/>
      <c r="AS370" s="70"/>
      <c r="AT370" s="70"/>
      <c r="AU370" s="70"/>
      <c r="AV370" s="70"/>
      <c r="AW370" s="70"/>
      <c r="AX370" s="70"/>
      <c r="AY370" s="70"/>
      <c r="AZ370" s="70"/>
      <c r="BA370" s="70"/>
    </row>
    <row r="371" spans="3:53"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  <c r="AO371" s="70"/>
      <c r="AP371" s="70"/>
      <c r="AQ371" s="70"/>
      <c r="AR371" s="70"/>
      <c r="AS371" s="70"/>
      <c r="AT371" s="70"/>
      <c r="AU371" s="70"/>
      <c r="AV371" s="70"/>
      <c r="AW371" s="70"/>
      <c r="AX371" s="70"/>
      <c r="AY371" s="70"/>
      <c r="AZ371" s="70"/>
      <c r="BA371" s="70"/>
    </row>
    <row r="372" spans="3:53"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  <c r="AO372" s="70"/>
      <c r="AP372" s="70"/>
      <c r="AQ372" s="70"/>
      <c r="AR372" s="70"/>
      <c r="AS372" s="70"/>
      <c r="AT372" s="70"/>
      <c r="AU372" s="70"/>
      <c r="AV372" s="70"/>
      <c r="AW372" s="70"/>
      <c r="AX372" s="70"/>
      <c r="AY372" s="70"/>
      <c r="AZ372" s="70"/>
      <c r="BA372" s="70"/>
    </row>
    <row r="373" spans="3:53"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  <c r="AO373" s="70"/>
      <c r="AP373" s="70"/>
      <c r="AQ373" s="70"/>
      <c r="AR373" s="70"/>
      <c r="AS373" s="70"/>
      <c r="AT373" s="70"/>
      <c r="AU373" s="70"/>
      <c r="AV373" s="70"/>
      <c r="AW373" s="70"/>
      <c r="AX373" s="70"/>
      <c r="AY373" s="70"/>
      <c r="AZ373" s="70"/>
      <c r="BA373" s="70"/>
    </row>
    <row r="374" spans="3:53"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  <c r="AO374" s="70"/>
      <c r="AP374" s="70"/>
      <c r="AQ374" s="70"/>
      <c r="AR374" s="70"/>
      <c r="AS374" s="70"/>
      <c r="AT374" s="70"/>
      <c r="AU374" s="70"/>
      <c r="AV374" s="70"/>
      <c r="AW374" s="70"/>
      <c r="AX374" s="70"/>
      <c r="AY374" s="70"/>
      <c r="AZ374" s="70"/>
      <c r="BA374" s="70"/>
    </row>
    <row r="375" spans="3:53"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  <c r="AO375" s="70"/>
      <c r="AP375" s="70"/>
      <c r="AQ375" s="70"/>
      <c r="AR375" s="70"/>
      <c r="AS375" s="70"/>
      <c r="AT375" s="70"/>
      <c r="AU375" s="70"/>
      <c r="AV375" s="70"/>
      <c r="AW375" s="70"/>
      <c r="AX375" s="70"/>
      <c r="AY375" s="70"/>
      <c r="AZ375" s="70"/>
      <c r="BA375" s="70"/>
    </row>
    <row r="376" spans="3:53"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  <c r="AO376" s="70"/>
      <c r="AP376" s="70"/>
      <c r="AQ376" s="70"/>
      <c r="AR376" s="70"/>
      <c r="AS376" s="70"/>
      <c r="AT376" s="70"/>
      <c r="AU376" s="70"/>
      <c r="AV376" s="70"/>
      <c r="AW376" s="70"/>
      <c r="AX376" s="70"/>
      <c r="AY376" s="70"/>
      <c r="AZ376" s="70"/>
      <c r="BA376" s="70"/>
    </row>
    <row r="377" spans="3:53"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  <c r="AO377" s="70"/>
      <c r="AP377" s="70"/>
      <c r="AQ377" s="70"/>
      <c r="AR377" s="70"/>
      <c r="AS377" s="70"/>
      <c r="AT377" s="70"/>
      <c r="AU377" s="70"/>
      <c r="AV377" s="70"/>
      <c r="AW377" s="70"/>
      <c r="AX377" s="70"/>
      <c r="AY377" s="70"/>
      <c r="AZ377" s="70"/>
      <c r="BA377" s="70"/>
    </row>
    <row r="378" spans="3:53"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  <c r="AO378" s="70"/>
      <c r="AP378" s="70"/>
      <c r="AQ378" s="70"/>
      <c r="AR378" s="70"/>
      <c r="AS378" s="70"/>
      <c r="AT378" s="70"/>
      <c r="AU378" s="70"/>
      <c r="AV378" s="70"/>
      <c r="AW378" s="70"/>
      <c r="AX378" s="70"/>
      <c r="AY378" s="70"/>
      <c r="AZ378" s="70"/>
      <c r="BA378" s="70"/>
    </row>
    <row r="379" spans="3:53"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  <c r="AO379" s="70"/>
      <c r="AP379" s="70"/>
      <c r="AQ379" s="70"/>
      <c r="AR379" s="70"/>
      <c r="AS379" s="70"/>
      <c r="AT379" s="70"/>
      <c r="AU379" s="70"/>
      <c r="AV379" s="70"/>
      <c r="AW379" s="70"/>
      <c r="AX379" s="70"/>
      <c r="AY379" s="70"/>
      <c r="AZ379" s="70"/>
      <c r="BA379" s="70"/>
    </row>
    <row r="380" spans="3:53"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  <c r="AO380" s="70"/>
      <c r="AP380" s="70"/>
      <c r="AQ380" s="70"/>
      <c r="AR380" s="70"/>
      <c r="AS380" s="70"/>
      <c r="AT380" s="70"/>
      <c r="AU380" s="70"/>
      <c r="AV380" s="70"/>
      <c r="AW380" s="70"/>
      <c r="AX380" s="70"/>
      <c r="AY380" s="70"/>
      <c r="AZ380" s="70"/>
      <c r="BA380" s="70"/>
    </row>
    <row r="381" spans="3:53"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  <c r="AO381" s="70"/>
      <c r="AP381" s="70"/>
      <c r="AQ381" s="70"/>
      <c r="AR381" s="70"/>
      <c r="AS381" s="70"/>
      <c r="AT381" s="70"/>
      <c r="AU381" s="70"/>
      <c r="AV381" s="70"/>
      <c r="AW381" s="70"/>
      <c r="AX381" s="70"/>
      <c r="AY381" s="70"/>
      <c r="AZ381" s="70"/>
      <c r="BA381" s="70"/>
    </row>
    <row r="382" spans="3:53"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  <c r="AO382" s="70"/>
      <c r="AP382" s="70"/>
      <c r="AQ382" s="70"/>
      <c r="AR382" s="70"/>
      <c r="AS382" s="70"/>
      <c r="AT382" s="70"/>
      <c r="AU382" s="70"/>
      <c r="AV382" s="70"/>
      <c r="AW382" s="70"/>
      <c r="AX382" s="70"/>
      <c r="AY382" s="70"/>
      <c r="AZ382" s="70"/>
      <c r="BA382" s="70"/>
    </row>
    <row r="383" spans="3:53"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  <c r="AO383" s="70"/>
      <c r="AP383" s="70"/>
      <c r="AQ383" s="70"/>
      <c r="AR383" s="70"/>
      <c r="AS383" s="70"/>
      <c r="AT383" s="70"/>
      <c r="AU383" s="70"/>
      <c r="AV383" s="70"/>
      <c r="AW383" s="70"/>
      <c r="AX383" s="70"/>
      <c r="AY383" s="70"/>
      <c r="AZ383" s="70"/>
      <c r="BA383" s="70"/>
    </row>
    <row r="384" spans="3:53"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  <c r="AO384" s="70"/>
      <c r="AP384" s="70"/>
      <c r="AQ384" s="70"/>
      <c r="AR384" s="70"/>
      <c r="AS384" s="70"/>
      <c r="AT384" s="70"/>
      <c r="AU384" s="70"/>
      <c r="AV384" s="70"/>
      <c r="AW384" s="70"/>
      <c r="AX384" s="70"/>
      <c r="AY384" s="70"/>
      <c r="AZ384" s="70"/>
      <c r="BA384" s="70"/>
    </row>
    <row r="385" spans="3:53"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0"/>
      <c r="AU385" s="70"/>
      <c r="AV385" s="70"/>
      <c r="AW385" s="70"/>
      <c r="AX385" s="70"/>
      <c r="AY385" s="70"/>
      <c r="AZ385" s="70"/>
      <c r="BA385" s="70"/>
    </row>
    <row r="386" spans="3:53"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  <c r="AO386" s="70"/>
      <c r="AP386" s="70"/>
      <c r="AQ386" s="70"/>
      <c r="AR386" s="70"/>
      <c r="AS386" s="70"/>
      <c r="AT386" s="70"/>
      <c r="AU386" s="70"/>
      <c r="AV386" s="70"/>
      <c r="AW386" s="70"/>
      <c r="AX386" s="70"/>
      <c r="AY386" s="70"/>
      <c r="AZ386" s="70"/>
      <c r="BA386" s="70"/>
    </row>
    <row r="387" spans="3:53"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  <c r="AO387" s="70"/>
      <c r="AP387" s="70"/>
      <c r="AQ387" s="70"/>
      <c r="AR387" s="70"/>
      <c r="AS387" s="70"/>
      <c r="AT387" s="70"/>
      <c r="AU387" s="70"/>
      <c r="AV387" s="70"/>
      <c r="AW387" s="70"/>
      <c r="AX387" s="70"/>
      <c r="AY387" s="70"/>
      <c r="AZ387" s="70"/>
      <c r="BA387" s="70"/>
    </row>
    <row r="388" spans="3:53"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  <c r="AO388" s="70"/>
      <c r="AP388" s="70"/>
      <c r="AQ388" s="70"/>
      <c r="AR388" s="70"/>
      <c r="AS388" s="70"/>
      <c r="AT388" s="70"/>
      <c r="AU388" s="70"/>
      <c r="AV388" s="70"/>
      <c r="AW388" s="70"/>
      <c r="AX388" s="70"/>
      <c r="AY388" s="70"/>
      <c r="AZ388" s="70"/>
      <c r="BA388" s="70"/>
    </row>
    <row r="389" spans="3:53"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  <c r="AO389" s="70"/>
      <c r="AP389" s="70"/>
      <c r="AQ389" s="70"/>
      <c r="AR389" s="70"/>
      <c r="AS389" s="70"/>
      <c r="AT389" s="70"/>
      <c r="AU389" s="70"/>
      <c r="AV389" s="70"/>
      <c r="AW389" s="70"/>
      <c r="AX389" s="70"/>
      <c r="AY389" s="70"/>
      <c r="AZ389" s="70"/>
      <c r="BA389" s="70"/>
    </row>
    <row r="390" spans="3:53"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  <c r="AO390" s="70"/>
      <c r="AP390" s="70"/>
      <c r="AQ390" s="70"/>
      <c r="AR390" s="70"/>
      <c r="AS390" s="70"/>
      <c r="AT390" s="70"/>
      <c r="AU390" s="70"/>
      <c r="AV390" s="70"/>
      <c r="AW390" s="70"/>
      <c r="AX390" s="70"/>
      <c r="AY390" s="70"/>
      <c r="AZ390" s="70"/>
      <c r="BA390" s="70"/>
    </row>
    <row r="391" spans="3:53"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  <c r="AO391" s="70"/>
      <c r="AP391" s="70"/>
      <c r="AQ391" s="70"/>
      <c r="AR391" s="70"/>
      <c r="AS391" s="70"/>
      <c r="AT391" s="70"/>
      <c r="AU391" s="70"/>
      <c r="AV391" s="70"/>
      <c r="AW391" s="70"/>
      <c r="AX391" s="70"/>
      <c r="AY391" s="70"/>
      <c r="AZ391" s="70"/>
      <c r="BA391" s="70"/>
    </row>
    <row r="392" spans="3:53"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  <c r="AO392" s="70"/>
      <c r="AP392" s="70"/>
      <c r="AQ392" s="70"/>
      <c r="AR392" s="70"/>
      <c r="AS392" s="70"/>
      <c r="AT392" s="70"/>
      <c r="AU392" s="70"/>
      <c r="AV392" s="70"/>
      <c r="AW392" s="70"/>
      <c r="AX392" s="70"/>
      <c r="AY392" s="70"/>
      <c r="AZ392" s="70"/>
      <c r="BA392" s="70"/>
    </row>
    <row r="393" spans="3:53"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  <c r="AO393" s="70"/>
      <c r="AP393" s="70"/>
      <c r="AQ393" s="70"/>
      <c r="AR393" s="70"/>
      <c r="AS393" s="70"/>
      <c r="AT393" s="70"/>
      <c r="AU393" s="70"/>
      <c r="AV393" s="70"/>
      <c r="AW393" s="70"/>
      <c r="AX393" s="70"/>
      <c r="AY393" s="70"/>
      <c r="AZ393" s="70"/>
      <c r="BA393" s="70"/>
    </row>
    <row r="394" spans="3:53"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0"/>
      <c r="AU394" s="70"/>
      <c r="AV394" s="70"/>
      <c r="AW394" s="70"/>
      <c r="AX394" s="70"/>
      <c r="AY394" s="70"/>
      <c r="AZ394" s="70"/>
      <c r="BA394" s="70"/>
    </row>
    <row r="395" spans="3:53"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  <c r="AO395" s="70"/>
      <c r="AP395" s="70"/>
      <c r="AQ395" s="70"/>
      <c r="AR395" s="70"/>
      <c r="AS395" s="70"/>
      <c r="AT395" s="70"/>
      <c r="AU395" s="70"/>
      <c r="AV395" s="70"/>
      <c r="AW395" s="70"/>
      <c r="AX395" s="70"/>
      <c r="AY395" s="70"/>
      <c r="AZ395" s="70"/>
      <c r="BA395" s="70"/>
    </row>
    <row r="396" spans="3:53"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  <c r="AO396" s="70"/>
      <c r="AP396" s="70"/>
      <c r="AQ396" s="70"/>
      <c r="AR396" s="70"/>
      <c r="AS396" s="70"/>
      <c r="AT396" s="70"/>
      <c r="AU396" s="70"/>
      <c r="AV396" s="70"/>
      <c r="AW396" s="70"/>
      <c r="AX396" s="70"/>
      <c r="AY396" s="70"/>
      <c r="AZ396" s="70"/>
      <c r="BA396" s="70"/>
    </row>
    <row r="397" spans="3:53"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  <c r="AO397" s="70"/>
      <c r="AP397" s="70"/>
      <c r="AQ397" s="70"/>
      <c r="AR397" s="70"/>
      <c r="AS397" s="70"/>
      <c r="AT397" s="70"/>
      <c r="AU397" s="70"/>
      <c r="AV397" s="70"/>
      <c r="AW397" s="70"/>
      <c r="AX397" s="70"/>
      <c r="AY397" s="70"/>
      <c r="AZ397" s="70"/>
      <c r="BA397" s="70"/>
    </row>
    <row r="398" spans="3:53"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0"/>
      <c r="AT398" s="70"/>
      <c r="AU398" s="70"/>
      <c r="AV398" s="70"/>
      <c r="AW398" s="70"/>
      <c r="AX398" s="70"/>
      <c r="AY398" s="70"/>
      <c r="AZ398" s="70"/>
      <c r="BA398" s="70"/>
    </row>
    <row r="399" spans="3:53"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  <c r="AO399" s="70"/>
      <c r="AP399" s="70"/>
      <c r="AQ399" s="70"/>
      <c r="AR399" s="70"/>
      <c r="AS399" s="70"/>
      <c r="AT399" s="70"/>
      <c r="AU399" s="70"/>
      <c r="AV399" s="70"/>
      <c r="AW399" s="70"/>
      <c r="AX399" s="70"/>
      <c r="AY399" s="70"/>
      <c r="AZ399" s="70"/>
      <c r="BA399" s="70"/>
    </row>
    <row r="400" spans="3:53"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0"/>
      <c r="AT400" s="70"/>
      <c r="AU400" s="70"/>
      <c r="AV400" s="70"/>
      <c r="AW400" s="70"/>
      <c r="AX400" s="70"/>
      <c r="AY400" s="70"/>
      <c r="AZ400" s="70"/>
      <c r="BA400" s="70"/>
    </row>
    <row r="401" spans="3:53"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  <c r="AO401" s="70"/>
      <c r="AP401" s="70"/>
      <c r="AQ401" s="70"/>
      <c r="AR401" s="70"/>
      <c r="AS401" s="70"/>
      <c r="AT401" s="70"/>
      <c r="AU401" s="70"/>
      <c r="AV401" s="70"/>
      <c r="AW401" s="70"/>
      <c r="AX401" s="70"/>
      <c r="AY401" s="70"/>
      <c r="AZ401" s="70"/>
      <c r="BA401" s="70"/>
    </row>
    <row r="402" spans="3:53"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0"/>
      <c r="AT402" s="70"/>
      <c r="AU402" s="70"/>
      <c r="AV402" s="70"/>
      <c r="AW402" s="70"/>
      <c r="AX402" s="70"/>
      <c r="AY402" s="70"/>
      <c r="AZ402" s="70"/>
      <c r="BA402" s="70"/>
    </row>
    <row r="403" spans="3:53"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0"/>
      <c r="AU403" s="70"/>
      <c r="AV403" s="70"/>
      <c r="AW403" s="70"/>
      <c r="AX403" s="70"/>
      <c r="AY403" s="70"/>
      <c r="AZ403" s="70"/>
      <c r="BA403" s="70"/>
    </row>
    <row r="404" spans="3:53"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  <c r="AO404" s="70"/>
      <c r="AP404" s="70"/>
      <c r="AQ404" s="70"/>
      <c r="AR404" s="70"/>
      <c r="AS404" s="70"/>
      <c r="AT404" s="70"/>
      <c r="AU404" s="70"/>
      <c r="AV404" s="70"/>
      <c r="AW404" s="70"/>
      <c r="AX404" s="70"/>
      <c r="AY404" s="70"/>
      <c r="AZ404" s="70"/>
      <c r="BA404" s="70"/>
    </row>
    <row r="405" spans="3:53"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  <c r="AO405" s="70"/>
      <c r="AP405" s="70"/>
      <c r="AQ405" s="70"/>
      <c r="AR405" s="70"/>
      <c r="AS405" s="70"/>
      <c r="AT405" s="70"/>
      <c r="AU405" s="70"/>
      <c r="AV405" s="70"/>
      <c r="AW405" s="70"/>
      <c r="AX405" s="70"/>
      <c r="AY405" s="70"/>
      <c r="AZ405" s="70"/>
      <c r="BA405" s="70"/>
    </row>
    <row r="406" spans="3:53"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  <c r="AO406" s="70"/>
      <c r="AP406" s="70"/>
      <c r="AQ406" s="70"/>
      <c r="AR406" s="70"/>
      <c r="AS406" s="70"/>
      <c r="AT406" s="70"/>
      <c r="AU406" s="70"/>
      <c r="AV406" s="70"/>
      <c r="AW406" s="70"/>
      <c r="AX406" s="70"/>
      <c r="AY406" s="70"/>
      <c r="AZ406" s="70"/>
      <c r="BA406" s="70"/>
    </row>
    <row r="407" spans="3:53"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  <c r="AO407" s="70"/>
      <c r="AP407" s="70"/>
      <c r="AQ407" s="70"/>
      <c r="AR407" s="70"/>
      <c r="AS407" s="70"/>
      <c r="AT407" s="70"/>
      <c r="AU407" s="70"/>
      <c r="AV407" s="70"/>
      <c r="AW407" s="70"/>
      <c r="AX407" s="70"/>
      <c r="AY407" s="70"/>
      <c r="AZ407" s="70"/>
      <c r="BA407" s="70"/>
    </row>
    <row r="408" spans="3:53"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  <c r="AO408" s="70"/>
      <c r="AP408" s="70"/>
      <c r="AQ408" s="70"/>
      <c r="AR408" s="70"/>
      <c r="AS408" s="70"/>
      <c r="AT408" s="70"/>
      <c r="AU408" s="70"/>
      <c r="AV408" s="70"/>
      <c r="AW408" s="70"/>
      <c r="AX408" s="70"/>
      <c r="AY408" s="70"/>
      <c r="AZ408" s="70"/>
      <c r="BA408" s="70"/>
    </row>
    <row r="409" spans="3:53"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0"/>
      <c r="AU409" s="70"/>
      <c r="AV409" s="70"/>
      <c r="AW409" s="70"/>
      <c r="AX409" s="70"/>
      <c r="AY409" s="70"/>
      <c r="AZ409" s="70"/>
      <c r="BA409" s="70"/>
    </row>
    <row r="410" spans="3:53"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  <c r="AO410" s="70"/>
      <c r="AP410" s="70"/>
      <c r="AQ410" s="70"/>
      <c r="AR410" s="70"/>
      <c r="AS410" s="70"/>
      <c r="AT410" s="70"/>
      <c r="AU410" s="70"/>
      <c r="AV410" s="70"/>
      <c r="AW410" s="70"/>
      <c r="AX410" s="70"/>
      <c r="AY410" s="70"/>
      <c r="AZ410" s="70"/>
      <c r="BA410" s="70"/>
    </row>
    <row r="411" spans="3:53"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  <c r="AO411" s="70"/>
      <c r="AP411" s="70"/>
      <c r="AQ411" s="70"/>
      <c r="AR411" s="70"/>
      <c r="AS411" s="70"/>
      <c r="AT411" s="70"/>
      <c r="AU411" s="70"/>
      <c r="AV411" s="70"/>
      <c r="AW411" s="70"/>
      <c r="AX411" s="70"/>
      <c r="AY411" s="70"/>
      <c r="AZ411" s="70"/>
      <c r="BA411" s="70"/>
    </row>
    <row r="412" spans="3:53"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  <c r="AO412" s="70"/>
      <c r="AP412" s="70"/>
      <c r="AQ412" s="70"/>
      <c r="AR412" s="70"/>
      <c r="AS412" s="70"/>
      <c r="AT412" s="70"/>
      <c r="AU412" s="70"/>
      <c r="AV412" s="70"/>
      <c r="AW412" s="70"/>
      <c r="AX412" s="70"/>
      <c r="AY412" s="70"/>
      <c r="AZ412" s="70"/>
      <c r="BA412" s="70"/>
    </row>
    <row r="413" spans="3:53"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  <c r="AO413" s="70"/>
      <c r="AP413" s="70"/>
      <c r="AQ413" s="70"/>
      <c r="AR413" s="70"/>
      <c r="AS413" s="70"/>
      <c r="AT413" s="70"/>
      <c r="AU413" s="70"/>
      <c r="AV413" s="70"/>
      <c r="AW413" s="70"/>
      <c r="AX413" s="70"/>
      <c r="AY413" s="70"/>
      <c r="AZ413" s="70"/>
      <c r="BA413" s="70"/>
    </row>
    <row r="414" spans="3:53"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  <c r="AQ414" s="70"/>
      <c r="AR414" s="70"/>
      <c r="AS414" s="70"/>
      <c r="AT414" s="70"/>
      <c r="AU414" s="70"/>
      <c r="AV414" s="70"/>
      <c r="AW414" s="70"/>
      <c r="AX414" s="70"/>
      <c r="AY414" s="70"/>
      <c r="AZ414" s="70"/>
      <c r="BA414" s="70"/>
    </row>
    <row r="415" spans="3:53"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  <c r="AN415" s="70"/>
      <c r="AO415" s="70"/>
      <c r="AP415" s="70"/>
      <c r="AQ415" s="70"/>
      <c r="AR415" s="70"/>
      <c r="AS415" s="70"/>
      <c r="AT415" s="70"/>
      <c r="AU415" s="70"/>
      <c r="AV415" s="70"/>
      <c r="AW415" s="70"/>
      <c r="AX415" s="70"/>
      <c r="AY415" s="70"/>
      <c r="AZ415" s="70"/>
      <c r="BA415" s="70"/>
    </row>
    <row r="416" spans="3:53"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  <c r="AN416" s="70"/>
      <c r="AO416" s="70"/>
      <c r="AP416" s="70"/>
      <c r="AQ416" s="70"/>
      <c r="AR416" s="70"/>
      <c r="AS416" s="70"/>
      <c r="AT416" s="70"/>
      <c r="AU416" s="70"/>
      <c r="AV416" s="70"/>
      <c r="AW416" s="70"/>
      <c r="AX416" s="70"/>
      <c r="AY416" s="70"/>
      <c r="AZ416" s="70"/>
      <c r="BA416" s="70"/>
    </row>
    <row r="417" spans="3:53"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  <c r="AN417" s="70"/>
      <c r="AO417" s="70"/>
      <c r="AP417" s="70"/>
      <c r="AQ417" s="70"/>
      <c r="AR417" s="70"/>
      <c r="AS417" s="70"/>
      <c r="AT417" s="70"/>
      <c r="AU417" s="70"/>
      <c r="AV417" s="70"/>
      <c r="AW417" s="70"/>
      <c r="AX417" s="70"/>
      <c r="AY417" s="70"/>
      <c r="AZ417" s="70"/>
      <c r="BA417" s="70"/>
    </row>
    <row r="418" spans="3:53"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  <c r="AN418" s="70"/>
      <c r="AO418" s="70"/>
      <c r="AP418" s="70"/>
      <c r="AQ418" s="70"/>
      <c r="AR418" s="70"/>
      <c r="AS418" s="70"/>
      <c r="AT418" s="70"/>
      <c r="AU418" s="70"/>
      <c r="AV418" s="70"/>
      <c r="AW418" s="70"/>
      <c r="AX418" s="70"/>
      <c r="AY418" s="70"/>
      <c r="AZ418" s="70"/>
      <c r="BA418" s="70"/>
    </row>
    <row r="419" spans="3:53"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  <c r="AN419" s="70"/>
      <c r="AO419" s="70"/>
      <c r="AP419" s="70"/>
      <c r="AQ419" s="70"/>
      <c r="AR419" s="70"/>
      <c r="AS419" s="70"/>
      <c r="AT419" s="70"/>
      <c r="AU419" s="70"/>
      <c r="AV419" s="70"/>
      <c r="AW419" s="70"/>
      <c r="AX419" s="70"/>
      <c r="AY419" s="70"/>
      <c r="AZ419" s="70"/>
      <c r="BA419" s="70"/>
    </row>
    <row r="420" spans="3:53"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  <c r="AQ420" s="70"/>
      <c r="AR420" s="70"/>
      <c r="AS420" s="70"/>
      <c r="AT420" s="70"/>
      <c r="AU420" s="70"/>
      <c r="AV420" s="70"/>
      <c r="AW420" s="70"/>
      <c r="AX420" s="70"/>
      <c r="AY420" s="70"/>
      <c r="AZ420" s="70"/>
      <c r="BA420" s="70"/>
    </row>
    <row r="421" spans="3:53"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  <c r="AQ421" s="70"/>
      <c r="AR421" s="70"/>
      <c r="AS421" s="70"/>
      <c r="AT421" s="70"/>
      <c r="AU421" s="70"/>
      <c r="AV421" s="70"/>
      <c r="AW421" s="70"/>
      <c r="AX421" s="70"/>
      <c r="AY421" s="70"/>
      <c r="AZ421" s="70"/>
      <c r="BA421" s="70"/>
    </row>
    <row r="422" spans="3:53"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  <c r="AN422" s="70"/>
      <c r="AO422" s="70"/>
      <c r="AP422" s="70"/>
      <c r="AQ422" s="70"/>
      <c r="AR422" s="70"/>
      <c r="AS422" s="70"/>
      <c r="AT422" s="70"/>
      <c r="AU422" s="70"/>
      <c r="AV422" s="70"/>
      <c r="AW422" s="70"/>
      <c r="AX422" s="70"/>
      <c r="AY422" s="70"/>
      <c r="AZ422" s="70"/>
      <c r="BA422" s="70"/>
    </row>
    <row r="423" spans="3:53"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  <c r="AN423" s="70"/>
      <c r="AO423" s="70"/>
      <c r="AP423" s="70"/>
      <c r="AQ423" s="70"/>
      <c r="AR423" s="70"/>
      <c r="AS423" s="70"/>
      <c r="AT423" s="70"/>
      <c r="AU423" s="70"/>
      <c r="AV423" s="70"/>
      <c r="AW423" s="70"/>
      <c r="AX423" s="70"/>
      <c r="AY423" s="70"/>
      <c r="AZ423" s="70"/>
      <c r="BA423" s="70"/>
    </row>
    <row r="424" spans="3:53"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  <c r="AN424" s="70"/>
      <c r="AO424" s="70"/>
      <c r="AP424" s="70"/>
      <c r="AQ424" s="70"/>
      <c r="AR424" s="70"/>
      <c r="AS424" s="70"/>
      <c r="AT424" s="70"/>
      <c r="AU424" s="70"/>
      <c r="AV424" s="70"/>
      <c r="AW424" s="70"/>
      <c r="AX424" s="70"/>
      <c r="AY424" s="70"/>
      <c r="AZ424" s="70"/>
      <c r="BA424" s="70"/>
    </row>
    <row r="425" spans="3:53"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  <c r="AN425" s="70"/>
      <c r="AO425" s="70"/>
      <c r="AP425" s="70"/>
      <c r="AQ425" s="70"/>
      <c r="AR425" s="70"/>
      <c r="AS425" s="70"/>
      <c r="AT425" s="70"/>
      <c r="AU425" s="70"/>
      <c r="AV425" s="70"/>
      <c r="AW425" s="70"/>
      <c r="AX425" s="70"/>
      <c r="AY425" s="70"/>
      <c r="AZ425" s="70"/>
      <c r="BA425" s="70"/>
    </row>
    <row r="426" spans="3:53"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  <c r="AN426" s="70"/>
      <c r="AO426" s="70"/>
      <c r="AP426" s="70"/>
      <c r="AQ426" s="70"/>
      <c r="AR426" s="70"/>
      <c r="AS426" s="70"/>
      <c r="AT426" s="70"/>
      <c r="AU426" s="70"/>
      <c r="AV426" s="70"/>
      <c r="AW426" s="70"/>
      <c r="AX426" s="70"/>
      <c r="AY426" s="70"/>
      <c r="AZ426" s="70"/>
      <c r="BA426" s="70"/>
    </row>
    <row r="427" spans="3:53"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  <c r="AN427" s="70"/>
      <c r="AO427" s="70"/>
      <c r="AP427" s="70"/>
      <c r="AQ427" s="70"/>
      <c r="AR427" s="70"/>
      <c r="AS427" s="70"/>
      <c r="AT427" s="70"/>
      <c r="AU427" s="70"/>
      <c r="AV427" s="70"/>
      <c r="AW427" s="70"/>
      <c r="AX427" s="70"/>
      <c r="AY427" s="70"/>
      <c r="AZ427" s="70"/>
      <c r="BA427" s="70"/>
    </row>
    <row r="428" spans="3:53"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  <c r="AN428" s="70"/>
      <c r="AO428" s="70"/>
      <c r="AP428" s="70"/>
      <c r="AQ428" s="70"/>
      <c r="AR428" s="70"/>
      <c r="AS428" s="70"/>
      <c r="AT428" s="70"/>
      <c r="AU428" s="70"/>
      <c r="AV428" s="70"/>
      <c r="AW428" s="70"/>
      <c r="AX428" s="70"/>
      <c r="AY428" s="70"/>
      <c r="AZ428" s="70"/>
      <c r="BA428" s="70"/>
    </row>
    <row r="429" spans="3:53"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  <c r="AN429" s="70"/>
      <c r="AO429" s="70"/>
      <c r="AP429" s="70"/>
      <c r="AQ429" s="70"/>
      <c r="AR429" s="70"/>
      <c r="AS429" s="70"/>
      <c r="AT429" s="70"/>
      <c r="AU429" s="70"/>
      <c r="AV429" s="70"/>
      <c r="AW429" s="70"/>
      <c r="AX429" s="70"/>
      <c r="AY429" s="70"/>
      <c r="AZ429" s="70"/>
      <c r="BA429" s="70"/>
    </row>
    <row r="430" spans="3:53"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  <c r="AN430" s="70"/>
      <c r="AO430" s="70"/>
      <c r="AP430" s="70"/>
      <c r="AQ430" s="70"/>
      <c r="AR430" s="70"/>
      <c r="AS430" s="70"/>
      <c r="AT430" s="70"/>
      <c r="AU430" s="70"/>
      <c r="AV430" s="70"/>
      <c r="AW430" s="70"/>
      <c r="AX430" s="70"/>
      <c r="AY430" s="70"/>
      <c r="AZ430" s="70"/>
      <c r="BA430" s="70"/>
    </row>
    <row r="431" spans="3:53"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  <c r="AN431" s="70"/>
      <c r="AO431" s="70"/>
      <c r="AP431" s="70"/>
      <c r="AQ431" s="70"/>
      <c r="AR431" s="70"/>
      <c r="AS431" s="70"/>
      <c r="AT431" s="70"/>
      <c r="AU431" s="70"/>
      <c r="AV431" s="70"/>
      <c r="AW431" s="70"/>
      <c r="AX431" s="70"/>
      <c r="AY431" s="70"/>
      <c r="AZ431" s="70"/>
      <c r="BA431" s="70"/>
    </row>
    <row r="432" spans="3:53"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  <c r="AN432" s="70"/>
      <c r="AO432" s="70"/>
      <c r="AP432" s="70"/>
      <c r="AQ432" s="70"/>
      <c r="AR432" s="70"/>
      <c r="AS432" s="70"/>
      <c r="AT432" s="70"/>
      <c r="AU432" s="70"/>
      <c r="AV432" s="70"/>
      <c r="AW432" s="70"/>
      <c r="AX432" s="70"/>
      <c r="AY432" s="70"/>
      <c r="AZ432" s="70"/>
      <c r="BA432" s="70"/>
    </row>
    <row r="433" spans="3:53"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  <c r="AN433" s="70"/>
      <c r="AO433" s="70"/>
      <c r="AP433" s="70"/>
      <c r="AQ433" s="70"/>
      <c r="AR433" s="70"/>
      <c r="AS433" s="70"/>
      <c r="AT433" s="70"/>
      <c r="AU433" s="70"/>
      <c r="AV433" s="70"/>
      <c r="AW433" s="70"/>
      <c r="AX433" s="70"/>
      <c r="AY433" s="70"/>
      <c r="AZ433" s="70"/>
      <c r="BA433" s="70"/>
    </row>
    <row r="434" spans="3:53"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  <c r="AN434" s="70"/>
      <c r="AO434" s="70"/>
      <c r="AP434" s="70"/>
      <c r="AQ434" s="70"/>
      <c r="AR434" s="70"/>
      <c r="AS434" s="70"/>
      <c r="AT434" s="70"/>
      <c r="AU434" s="70"/>
      <c r="AV434" s="70"/>
      <c r="AW434" s="70"/>
      <c r="AX434" s="70"/>
      <c r="AY434" s="70"/>
      <c r="AZ434" s="70"/>
      <c r="BA434" s="70"/>
    </row>
    <row r="435" spans="3:53"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  <c r="AN435" s="70"/>
      <c r="AO435" s="70"/>
      <c r="AP435" s="70"/>
      <c r="AQ435" s="70"/>
      <c r="AR435" s="70"/>
      <c r="AS435" s="70"/>
      <c r="AT435" s="70"/>
      <c r="AU435" s="70"/>
      <c r="AV435" s="70"/>
      <c r="AW435" s="70"/>
      <c r="AX435" s="70"/>
      <c r="AY435" s="70"/>
      <c r="AZ435" s="70"/>
      <c r="BA435" s="70"/>
    </row>
    <row r="436" spans="3:53"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  <c r="AN436" s="70"/>
      <c r="AO436" s="70"/>
      <c r="AP436" s="70"/>
      <c r="AQ436" s="70"/>
      <c r="AR436" s="70"/>
      <c r="AS436" s="70"/>
      <c r="AT436" s="70"/>
      <c r="AU436" s="70"/>
      <c r="AV436" s="70"/>
      <c r="AW436" s="70"/>
      <c r="AX436" s="70"/>
      <c r="AY436" s="70"/>
      <c r="AZ436" s="70"/>
      <c r="BA436" s="70"/>
    </row>
    <row r="437" spans="3:53"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  <c r="AN437" s="70"/>
      <c r="AO437" s="70"/>
      <c r="AP437" s="70"/>
      <c r="AQ437" s="70"/>
      <c r="AR437" s="70"/>
      <c r="AS437" s="70"/>
      <c r="AT437" s="70"/>
      <c r="AU437" s="70"/>
      <c r="AV437" s="70"/>
      <c r="AW437" s="70"/>
      <c r="AX437" s="70"/>
      <c r="AY437" s="70"/>
      <c r="AZ437" s="70"/>
      <c r="BA437" s="70"/>
    </row>
    <row r="438" spans="3:53"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  <c r="AN438" s="70"/>
      <c r="AO438" s="70"/>
      <c r="AP438" s="70"/>
      <c r="AQ438" s="70"/>
      <c r="AR438" s="70"/>
      <c r="AS438" s="70"/>
      <c r="AT438" s="70"/>
      <c r="AU438" s="70"/>
      <c r="AV438" s="70"/>
      <c r="AW438" s="70"/>
      <c r="AX438" s="70"/>
      <c r="AY438" s="70"/>
      <c r="AZ438" s="70"/>
      <c r="BA438" s="70"/>
    </row>
    <row r="439" spans="3:53"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  <c r="AN439" s="70"/>
      <c r="AO439" s="70"/>
      <c r="AP439" s="70"/>
      <c r="AQ439" s="70"/>
      <c r="AR439" s="70"/>
      <c r="AS439" s="70"/>
      <c r="AT439" s="70"/>
      <c r="AU439" s="70"/>
      <c r="AV439" s="70"/>
      <c r="AW439" s="70"/>
      <c r="AX439" s="70"/>
      <c r="AY439" s="70"/>
      <c r="AZ439" s="70"/>
      <c r="BA439" s="70"/>
    </row>
    <row r="440" spans="3:53"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  <c r="AN440" s="70"/>
      <c r="AO440" s="70"/>
      <c r="AP440" s="70"/>
      <c r="AQ440" s="70"/>
      <c r="AR440" s="70"/>
      <c r="AS440" s="70"/>
      <c r="AT440" s="70"/>
      <c r="AU440" s="70"/>
      <c r="AV440" s="70"/>
      <c r="AW440" s="70"/>
      <c r="AX440" s="70"/>
      <c r="AY440" s="70"/>
      <c r="AZ440" s="70"/>
      <c r="BA440" s="70"/>
    </row>
    <row r="441" spans="3:53"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  <c r="AN441" s="70"/>
      <c r="AO441" s="70"/>
      <c r="AP441" s="70"/>
      <c r="AQ441" s="70"/>
      <c r="AR441" s="70"/>
      <c r="AS441" s="70"/>
      <c r="AT441" s="70"/>
      <c r="AU441" s="70"/>
      <c r="AV441" s="70"/>
      <c r="AW441" s="70"/>
      <c r="AX441" s="70"/>
      <c r="AY441" s="70"/>
      <c r="AZ441" s="70"/>
      <c r="BA441" s="70"/>
    </row>
    <row r="442" spans="3:53"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  <c r="AN442" s="70"/>
      <c r="AO442" s="70"/>
      <c r="AP442" s="70"/>
      <c r="AQ442" s="70"/>
      <c r="AR442" s="70"/>
      <c r="AS442" s="70"/>
      <c r="AT442" s="70"/>
      <c r="AU442" s="70"/>
      <c r="AV442" s="70"/>
      <c r="AW442" s="70"/>
      <c r="AX442" s="70"/>
      <c r="AY442" s="70"/>
      <c r="AZ442" s="70"/>
      <c r="BA442" s="70"/>
    </row>
    <row r="443" spans="3:53"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  <c r="AN443" s="70"/>
      <c r="AO443" s="70"/>
      <c r="AP443" s="70"/>
      <c r="AQ443" s="70"/>
      <c r="AR443" s="70"/>
      <c r="AS443" s="70"/>
      <c r="AT443" s="70"/>
      <c r="AU443" s="70"/>
      <c r="AV443" s="70"/>
      <c r="AW443" s="70"/>
      <c r="AX443" s="70"/>
      <c r="AY443" s="70"/>
      <c r="AZ443" s="70"/>
      <c r="BA443" s="70"/>
    </row>
    <row r="444" spans="3:53"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0"/>
      <c r="AS444" s="70"/>
      <c r="AT444" s="70"/>
      <c r="AU444" s="70"/>
      <c r="AV444" s="70"/>
      <c r="AW444" s="70"/>
      <c r="AX444" s="70"/>
      <c r="AY444" s="70"/>
      <c r="AZ444" s="70"/>
      <c r="BA444" s="70"/>
    </row>
    <row r="445" spans="3:53"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0"/>
      <c r="AT445" s="70"/>
      <c r="AU445" s="70"/>
      <c r="AV445" s="70"/>
      <c r="AW445" s="70"/>
      <c r="AX445" s="70"/>
      <c r="AY445" s="70"/>
      <c r="AZ445" s="70"/>
      <c r="BA445" s="70"/>
    </row>
    <row r="446" spans="3:53"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0"/>
      <c r="AU446" s="70"/>
      <c r="AV446" s="70"/>
      <c r="AW446" s="70"/>
      <c r="AX446" s="70"/>
      <c r="AY446" s="70"/>
      <c r="AZ446" s="70"/>
      <c r="BA446" s="70"/>
    </row>
    <row r="447" spans="3:53"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  <c r="AQ447" s="70"/>
      <c r="AR447" s="70"/>
      <c r="AS447" s="70"/>
      <c r="AT447" s="70"/>
      <c r="AU447" s="70"/>
      <c r="AV447" s="70"/>
      <c r="AW447" s="70"/>
      <c r="AX447" s="70"/>
      <c r="AY447" s="70"/>
      <c r="AZ447" s="70"/>
      <c r="BA447" s="70"/>
    </row>
    <row r="448" spans="3:53"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  <c r="AN448" s="70"/>
      <c r="AO448" s="70"/>
      <c r="AP448" s="70"/>
      <c r="AQ448" s="70"/>
      <c r="AR448" s="70"/>
      <c r="AS448" s="70"/>
      <c r="AT448" s="70"/>
      <c r="AU448" s="70"/>
      <c r="AV448" s="70"/>
      <c r="AW448" s="70"/>
      <c r="AX448" s="70"/>
      <c r="AY448" s="70"/>
      <c r="AZ448" s="70"/>
      <c r="BA448" s="70"/>
    </row>
    <row r="449" spans="3:53"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0"/>
      <c r="AU449" s="70"/>
      <c r="AV449" s="70"/>
      <c r="AW449" s="70"/>
      <c r="AX449" s="70"/>
      <c r="AY449" s="70"/>
      <c r="AZ449" s="70"/>
      <c r="BA449" s="70"/>
    </row>
    <row r="450" spans="3:53"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  <c r="AN450" s="70"/>
      <c r="AO450" s="70"/>
      <c r="AP450" s="70"/>
      <c r="AQ450" s="70"/>
      <c r="AR450" s="70"/>
      <c r="AS450" s="70"/>
      <c r="AT450" s="70"/>
      <c r="AU450" s="70"/>
      <c r="AV450" s="70"/>
      <c r="AW450" s="70"/>
      <c r="AX450" s="70"/>
      <c r="AY450" s="70"/>
      <c r="AZ450" s="70"/>
      <c r="BA450" s="70"/>
    </row>
    <row r="451" spans="3:53"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  <c r="AN451" s="70"/>
      <c r="AO451" s="70"/>
      <c r="AP451" s="70"/>
      <c r="AQ451" s="70"/>
      <c r="AR451" s="70"/>
      <c r="AS451" s="70"/>
      <c r="AT451" s="70"/>
      <c r="AU451" s="70"/>
      <c r="AV451" s="70"/>
      <c r="AW451" s="70"/>
      <c r="AX451" s="70"/>
      <c r="AY451" s="70"/>
      <c r="AZ451" s="70"/>
      <c r="BA451" s="70"/>
    </row>
    <row r="452" spans="3:53"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  <c r="AN452" s="70"/>
      <c r="AO452" s="70"/>
      <c r="AP452" s="70"/>
      <c r="AQ452" s="70"/>
      <c r="AR452" s="70"/>
      <c r="AS452" s="70"/>
      <c r="AT452" s="70"/>
      <c r="AU452" s="70"/>
      <c r="AV452" s="70"/>
      <c r="AW452" s="70"/>
      <c r="AX452" s="70"/>
      <c r="AY452" s="70"/>
      <c r="AZ452" s="70"/>
      <c r="BA452" s="70"/>
    </row>
    <row r="453" spans="3:53"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0"/>
      <c r="AU453" s="70"/>
      <c r="AV453" s="70"/>
      <c r="AW453" s="70"/>
      <c r="AX453" s="70"/>
      <c r="AY453" s="70"/>
      <c r="AZ453" s="70"/>
      <c r="BA453" s="70"/>
    </row>
    <row r="454" spans="3:53"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  <c r="AN454" s="70"/>
      <c r="AO454" s="70"/>
      <c r="AP454" s="70"/>
      <c r="AQ454" s="70"/>
      <c r="AR454" s="70"/>
      <c r="AS454" s="70"/>
      <c r="AT454" s="70"/>
      <c r="AU454" s="70"/>
      <c r="AV454" s="70"/>
      <c r="AW454" s="70"/>
      <c r="AX454" s="70"/>
      <c r="AY454" s="70"/>
      <c r="AZ454" s="70"/>
      <c r="BA454" s="70"/>
    </row>
    <row r="455" spans="3:53"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  <c r="AN455" s="70"/>
      <c r="AO455" s="70"/>
      <c r="AP455" s="70"/>
      <c r="AQ455" s="70"/>
      <c r="AR455" s="70"/>
      <c r="AS455" s="70"/>
      <c r="AT455" s="70"/>
      <c r="AU455" s="70"/>
      <c r="AV455" s="70"/>
      <c r="AW455" s="70"/>
      <c r="AX455" s="70"/>
      <c r="AY455" s="70"/>
      <c r="AZ455" s="70"/>
      <c r="BA455" s="70"/>
    </row>
    <row r="456" spans="3:53"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  <c r="AN456" s="70"/>
      <c r="AO456" s="70"/>
      <c r="AP456" s="70"/>
      <c r="AQ456" s="70"/>
      <c r="AR456" s="70"/>
      <c r="AS456" s="70"/>
      <c r="AT456" s="70"/>
      <c r="AU456" s="70"/>
      <c r="AV456" s="70"/>
      <c r="AW456" s="70"/>
      <c r="AX456" s="70"/>
      <c r="AY456" s="70"/>
      <c r="AZ456" s="70"/>
      <c r="BA456" s="70"/>
    </row>
    <row r="457" spans="3:53"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0"/>
      <c r="AU457" s="70"/>
      <c r="AV457" s="70"/>
      <c r="AW457" s="70"/>
      <c r="AX457" s="70"/>
      <c r="AY457" s="70"/>
      <c r="AZ457" s="70"/>
      <c r="BA457" s="70"/>
    </row>
    <row r="458" spans="3:53"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0"/>
      <c r="AU458" s="70"/>
      <c r="AV458" s="70"/>
      <c r="AW458" s="70"/>
      <c r="AX458" s="70"/>
      <c r="AY458" s="70"/>
      <c r="AZ458" s="70"/>
      <c r="BA458" s="70"/>
    </row>
    <row r="459" spans="3:53"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0"/>
      <c r="AU459" s="70"/>
      <c r="AV459" s="70"/>
      <c r="AW459" s="70"/>
      <c r="AX459" s="70"/>
      <c r="AY459" s="70"/>
      <c r="AZ459" s="70"/>
      <c r="BA459" s="70"/>
    </row>
    <row r="460" spans="3:53"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0"/>
      <c r="AU460" s="70"/>
      <c r="AV460" s="70"/>
      <c r="AW460" s="70"/>
      <c r="AX460" s="70"/>
      <c r="AY460" s="70"/>
      <c r="AZ460" s="70"/>
      <c r="BA460" s="70"/>
    </row>
    <row r="461" spans="3:53"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  <c r="AN461" s="70"/>
      <c r="AO461" s="70"/>
      <c r="AP461" s="70"/>
      <c r="AQ461" s="70"/>
      <c r="AR461" s="70"/>
      <c r="AS461" s="70"/>
      <c r="AT461" s="70"/>
      <c r="AU461" s="70"/>
      <c r="AV461" s="70"/>
      <c r="AW461" s="70"/>
      <c r="AX461" s="70"/>
      <c r="AY461" s="70"/>
      <c r="AZ461" s="70"/>
      <c r="BA461" s="70"/>
    </row>
    <row r="462" spans="3:53"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  <c r="AN462" s="70"/>
      <c r="AO462" s="70"/>
      <c r="AP462" s="70"/>
      <c r="AQ462" s="70"/>
      <c r="AR462" s="70"/>
      <c r="AS462" s="70"/>
      <c r="AT462" s="70"/>
      <c r="AU462" s="70"/>
      <c r="AV462" s="70"/>
      <c r="AW462" s="70"/>
      <c r="AX462" s="70"/>
      <c r="AY462" s="70"/>
      <c r="AZ462" s="70"/>
      <c r="BA462" s="70"/>
    </row>
    <row r="463" spans="3:53"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  <c r="AN463" s="70"/>
      <c r="AO463" s="70"/>
      <c r="AP463" s="70"/>
      <c r="AQ463" s="70"/>
      <c r="AR463" s="70"/>
      <c r="AS463" s="70"/>
      <c r="AT463" s="70"/>
      <c r="AU463" s="70"/>
      <c r="AV463" s="70"/>
      <c r="AW463" s="70"/>
      <c r="AX463" s="70"/>
      <c r="AY463" s="70"/>
      <c r="AZ463" s="70"/>
      <c r="BA463" s="70"/>
    </row>
    <row r="464" spans="3:53"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  <c r="AN464" s="70"/>
      <c r="AO464" s="70"/>
      <c r="AP464" s="70"/>
      <c r="AQ464" s="70"/>
      <c r="AR464" s="70"/>
      <c r="AS464" s="70"/>
      <c r="AT464" s="70"/>
      <c r="AU464" s="70"/>
      <c r="AV464" s="70"/>
      <c r="AW464" s="70"/>
      <c r="AX464" s="70"/>
      <c r="AY464" s="70"/>
      <c r="AZ464" s="70"/>
      <c r="BA464" s="70"/>
    </row>
    <row r="465" spans="3:53"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  <c r="AQ465" s="70"/>
      <c r="AR465" s="70"/>
      <c r="AS465" s="70"/>
      <c r="AT465" s="70"/>
      <c r="AU465" s="70"/>
      <c r="AV465" s="70"/>
      <c r="AW465" s="70"/>
      <c r="AX465" s="70"/>
      <c r="AY465" s="70"/>
      <c r="AZ465" s="70"/>
      <c r="BA465" s="70"/>
    </row>
    <row r="466" spans="3:53"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  <c r="AN466" s="70"/>
      <c r="AO466" s="70"/>
      <c r="AP466" s="70"/>
      <c r="AQ466" s="70"/>
      <c r="AR466" s="70"/>
      <c r="AS466" s="70"/>
      <c r="AT466" s="70"/>
      <c r="AU466" s="70"/>
      <c r="AV466" s="70"/>
      <c r="AW466" s="70"/>
      <c r="AX466" s="70"/>
      <c r="AY466" s="70"/>
      <c r="AZ466" s="70"/>
      <c r="BA466" s="70"/>
    </row>
    <row r="467" spans="3:53"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  <c r="AN467" s="70"/>
      <c r="AO467" s="70"/>
      <c r="AP467" s="70"/>
      <c r="AQ467" s="70"/>
      <c r="AR467" s="70"/>
      <c r="AS467" s="70"/>
      <c r="AT467" s="70"/>
      <c r="AU467" s="70"/>
      <c r="AV467" s="70"/>
      <c r="AW467" s="70"/>
      <c r="AX467" s="70"/>
      <c r="AY467" s="70"/>
      <c r="AZ467" s="70"/>
      <c r="BA467" s="70"/>
    </row>
    <row r="468" spans="3:53"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  <c r="AN468" s="70"/>
      <c r="AO468" s="70"/>
      <c r="AP468" s="70"/>
      <c r="AQ468" s="70"/>
      <c r="AR468" s="70"/>
      <c r="AS468" s="70"/>
      <c r="AT468" s="70"/>
      <c r="AU468" s="70"/>
      <c r="AV468" s="70"/>
      <c r="AW468" s="70"/>
      <c r="AX468" s="70"/>
      <c r="AY468" s="70"/>
      <c r="AZ468" s="70"/>
      <c r="BA468" s="70"/>
    </row>
    <row r="469" spans="3:53"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  <c r="AN469" s="70"/>
      <c r="AO469" s="70"/>
      <c r="AP469" s="70"/>
      <c r="AQ469" s="70"/>
      <c r="AR469" s="70"/>
      <c r="AS469" s="70"/>
      <c r="AT469" s="70"/>
      <c r="AU469" s="70"/>
      <c r="AV469" s="70"/>
      <c r="AW469" s="70"/>
      <c r="AX469" s="70"/>
      <c r="AY469" s="70"/>
      <c r="AZ469" s="70"/>
      <c r="BA469" s="70"/>
    </row>
    <row r="470" spans="3:53"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0"/>
      <c r="AU470" s="70"/>
      <c r="AV470" s="70"/>
      <c r="AW470" s="70"/>
      <c r="AX470" s="70"/>
      <c r="AY470" s="70"/>
      <c r="AZ470" s="70"/>
      <c r="BA470" s="70"/>
    </row>
    <row r="471" spans="3:53"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  <c r="AN471" s="70"/>
      <c r="AO471" s="70"/>
      <c r="AP471" s="70"/>
      <c r="AQ471" s="70"/>
      <c r="AR471" s="70"/>
      <c r="AS471" s="70"/>
      <c r="AT471" s="70"/>
      <c r="AU471" s="70"/>
      <c r="AV471" s="70"/>
      <c r="AW471" s="70"/>
      <c r="AX471" s="70"/>
      <c r="AY471" s="70"/>
      <c r="AZ471" s="70"/>
      <c r="BA471" s="70"/>
    </row>
    <row r="472" spans="3:53"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70"/>
      <c r="AX472" s="70"/>
      <c r="AY472" s="70"/>
      <c r="AZ472" s="70"/>
      <c r="BA472" s="70"/>
    </row>
    <row r="473" spans="3:53"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  <c r="AN473" s="70"/>
      <c r="AO473" s="70"/>
      <c r="AP473" s="70"/>
      <c r="AQ473" s="70"/>
      <c r="AR473" s="70"/>
      <c r="AS473" s="70"/>
      <c r="AT473" s="70"/>
      <c r="AU473" s="70"/>
      <c r="AV473" s="70"/>
      <c r="AW473" s="70"/>
      <c r="AX473" s="70"/>
      <c r="AY473" s="70"/>
      <c r="AZ473" s="70"/>
      <c r="BA473" s="70"/>
    </row>
    <row r="474" spans="3:53"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  <c r="AN474" s="70"/>
      <c r="AO474" s="70"/>
      <c r="AP474" s="70"/>
      <c r="AQ474" s="70"/>
      <c r="AR474" s="70"/>
      <c r="AS474" s="70"/>
      <c r="AT474" s="70"/>
      <c r="AU474" s="70"/>
      <c r="AV474" s="70"/>
      <c r="AW474" s="70"/>
      <c r="AX474" s="70"/>
      <c r="AY474" s="70"/>
      <c r="AZ474" s="70"/>
      <c r="BA474" s="70"/>
    </row>
    <row r="475" spans="3:53"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  <c r="AN475" s="70"/>
      <c r="AO475" s="70"/>
      <c r="AP475" s="70"/>
      <c r="AQ475" s="70"/>
      <c r="AR475" s="70"/>
      <c r="AS475" s="70"/>
      <c r="AT475" s="70"/>
      <c r="AU475" s="70"/>
      <c r="AV475" s="70"/>
      <c r="AW475" s="70"/>
      <c r="AX475" s="70"/>
      <c r="AY475" s="70"/>
      <c r="AZ475" s="70"/>
      <c r="BA475" s="70"/>
    </row>
    <row r="476" spans="3:53"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  <c r="AN476" s="70"/>
      <c r="AO476" s="70"/>
      <c r="AP476" s="70"/>
      <c r="AQ476" s="70"/>
      <c r="AR476" s="70"/>
      <c r="AS476" s="70"/>
      <c r="AT476" s="70"/>
      <c r="AU476" s="70"/>
      <c r="AV476" s="70"/>
      <c r="AW476" s="70"/>
      <c r="AX476" s="70"/>
      <c r="AY476" s="70"/>
      <c r="AZ476" s="70"/>
      <c r="BA476" s="70"/>
    </row>
    <row r="477" spans="3:53"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  <c r="AN477" s="70"/>
      <c r="AO477" s="70"/>
      <c r="AP477" s="70"/>
      <c r="AQ477" s="70"/>
      <c r="AR477" s="70"/>
      <c r="AS477" s="70"/>
      <c r="AT477" s="70"/>
      <c r="AU477" s="70"/>
      <c r="AV477" s="70"/>
      <c r="AW477" s="70"/>
      <c r="AX477" s="70"/>
      <c r="AY477" s="70"/>
      <c r="AZ477" s="70"/>
      <c r="BA477" s="70"/>
    </row>
    <row r="478" spans="3:53"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  <c r="AN478" s="70"/>
      <c r="AO478" s="70"/>
      <c r="AP478" s="70"/>
      <c r="AQ478" s="70"/>
      <c r="AR478" s="70"/>
      <c r="AS478" s="70"/>
      <c r="AT478" s="70"/>
      <c r="AU478" s="70"/>
      <c r="AV478" s="70"/>
      <c r="AW478" s="70"/>
      <c r="AX478" s="70"/>
      <c r="AY478" s="70"/>
      <c r="AZ478" s="70"/>
      <c r="BA478" s="70"/>
    </row>
    <row r="479" spans="3:53"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  <c r="AN479" s="70"/>
      <c r="AO479" s="70"/>
      <c r="AP479" s="70"/>
      <c r="AQ479" s="70"/>
      <c r="AR479" s="70"/>
      <c r="AS479" s="70"/>
      <c r="AT479" s="70"/>
      <c r="AU479" s="70"/>
      <c r="AV479" s="70"/>
      <c r="AW479" s="70"/>
      <c r="AX479" s="70"/>
      <c r="AY479" s="70"/>
      <c r="AZ479" s="70"/>
      <c r="BA479" s="70"/>
    </row>
    <row r="480" spans="3:53"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  <c r="AN480" s="70"/>
      <c r="AO480" s="70"/>
      <c r="AP480" s="70"/>
      <c r="AQ480" s="70"/>
      <c r="AR480" s="70"/>
      <c r="AS480" s="70"/>
      <c r="AT480" s="70"/>
      <c r="AU480" s="70"/>
      <c r="AV480" s="70"/>
      <c r="AW480" s="70"/>
      <c r="AX480" s="70"/>
      <c r="AY480" s="70"/>
      <c r="AZ480" s="70"/>
      <c r="BA480" s="70"/>
    </row>
    <row r="481" spans="3:53"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  <c r="AN481" s="70"/>
      <c r="AO481" s="70"/>
      <c r="AP481" s="70"/>
      <c r="AQ481" s="70"/>
      <c r="AR481" s="70"/>
      <c r="AS481" s="70"/>
      <c r="AT481" s="70"/>
      <c r="AU481" s="70"/>
      <c r="AV481" s="70"/>
      <c r="AW481" s="70"/>
      <c r="AX481" s="70"/>
      <c r="AY481" s="70"/>
      <c r="AZ481" s="70"/>
      <c r="BA481" s="70"/>
    </row>
    <row r="482" spans="3:53"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  <c r="AN482" s="70"/>
      <c r="AO482" s="70"/>
      <c r="AP482" s="70"/>
      <c r="AQ482" s="70"/>
      <c r="AR482" s="70"/>
      <c r="AS482" s="70"/>
      <c r="AT482" s="70"/>
      <c r="AU482" s="70"/>
      <c r="AV482" s="70"/>
      <c r="AW482" s="70"/>
      <c r="AX482" s="70"/>
      <c r="AY482" s="70"/>
      <c r="AZ482" s="70"/>
      <c r="BA482" s="70"/>
    </row>
    <row r="483" spans="3:53"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  <c r="AN483" s="70"/>
      <c r="AO483" s="70"/>
      <c r="AP483" s="70"/>
      <c r="AQ483" s="70"/>
      <c r="AR483" s="70"/>
      <c r="AS483" s="70"/>
      <c r="AT483" s="70"/>
      <c r="AU483" s="70"/>
      <c r="AV483" s="70"/>
      <c r="AW483" s="70"/>
      <c r="AX483" s="70"/>
      <c r="AY483" s="70"/>
      <c r="AZ483" s="70"/>
      <c r="BA483" s="70"/>
    </row>
    <row r="484" spans="3:53"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  <c r="AQ484" s="70"/>
      <c r="AR484" s="70"/>
      <c r="AS484" s="70"/>
      <c r="AT484" s="70"/>
      <c r="AU484" s="70"/>
      <c r="AV484" s="70"/>
      <c r="AW484" s="70"/>
      <c r="AX484" s="70"/>
      <c r="AY484" s="70"/>
      <c r="AZ484" s="70"/>
      <c r="BA484" s="70"/>
    </row>
    <row r="485" spans="3:53"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  <c r="AN485" s="70"/>
      <c r="AO485" s="70"/>
      <c r="AP485" s="70"/>
      <c r="AQ485" s="70"/>
      <c r="AR485" s="70"/>
      <c r="AS485" s="70"/>
      <c r="AT485" s="70"/>
      <c r="AU485" s="70"/>
      <c r="AV485" s="70"/>
      <c r="AW485" s="70"/>
      <c r="AX485" s="70"/>
      <c r="AY485" s="70"/>
      <c r="AZ485" s="70"/>
      <c r="BA485" s="70"/>
    </row>
    <row r="486" spans="3:53"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  <c r="AN486" s="70"/>
      <c r="AO486" s="70"/>
      <c r="AP486" s="70"/>
      <c r="AQ486" s="70"/>
      <c r="AR486" s="70"/>
      <c r="AS486" s="70"/>
      <c r="AT486" s="70"/>
      <c r="AU486" s="70"/>
      <c r="AV486" s="70"/>
      <c r="AW486" s="70"/>
      <c r="AX486" s="70"/>
      <c r="AY486" s="70"/>
      <c r="AZ486" s="70"/>
      <c r="BA486" s="70"/>
    </row>
    <row r="487" spans="3:53"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  <c r="AN487" s="70"/>
      <c r="AO487" s="70"/>
      <c r="AP487" s="70"/>
      <c r="AQ487" s="70"/>
      <c r="AR487" s="70"/>
      <c r="AS487" s="70"/>
      <c r="AT487" s="70"/>
      <c r="AU487" s="70"/>
      <c r="AV487" s="70"/>
      <c r="AW487" s="70"/>
      <c r="AX487" s="70"/>
      <c r="AY487" s="70"/>
      <c r="AZ487" s="70"/>
      <c r="BA487" s="70"/>
    </row>
    <row r="488" spans="3:53"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  <c r="AN488" s="70"/>
      <c r="AO488" s="70"/>
      <c r="AP488" s="70"/>
      <c r="AQ488" s="70"/>
      <c r="AR488" s="70"/>
      <c r="AS488" s="70"/>
      <c r="AT488" s="70"/>
      <c r="AU488" s="70"/>
      <c r="AV488" s="70"/>
      <c r="AW488" s="70"/>
      <c r="AX488" s="70"/>
      <c r="AY488" s="70"/>
      <c r="AZ488" s="70"/>
      <c r="BA488" s="70"/>
    </row>
    <row r="489" spans="3:53"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  <c r="AN489" s="70"/>
      <c r="AO489" s="70"/>
      <c r="AP489" s="70"/>
      <c r="AQ489" s="70"/>
      <c r="AR489" s="70"/>
      <c r="AS489" s="70"/>
      <c r="AT489" s="70"/>
      <c r="AU489" s="70"/>
      <c r="AV489" s="70"/>
      <c r="AW489" s="70"/>
      <c r="AX489" s="70"/>
      <c r="AY489" s="70"/>
      <c r="AZ489" s="70"/>
      <c r="BA489" s="70"/>
    </row>
    <row r="490" spans="3:53"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  <c r="AQ490" s="70"/>
      <c r="AR490" s="70"/>
      <c r="AS490" s="70"/>
      <c r="AT490" s="70"/>
      <c r="AU490" s="70"/>
      <c r="AV490" s="70"/>
      <c r="AW490" s="70"/>
      <c r="AX490" s="70"/>
      <c r="AY490" s="70"/>
      <c r="AZ490" s="70"/>
      <c r="BA490" s="70"/>
    </row>
    <row r="491" spans="3:53"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  <c r="AQ491" s="70"/>
      <c r="AR491" s="70"/>
      <c r="AS491" s="70"/>
      <c r="AT491" s="70"/>
      <c r="AU491" s="70"/>
      <c r="AV491" s="70"/>
      <c r="AW491" s="70"/>
      <c r="AX491" s="70"/>
      <c r="AY491" s="70"/>
      <c r="AZ491" s="70"/>
      <c r="BA491" s="70"/>
    </row>
    <row r="492" spans="3:53"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  <c r="AN492" s="70"/>
      <c r="AO492" s="70"/>
      <c r="AP492" s="70"/>
      <c r="AQ492" s="70"/>
      <c r="AR492" s="70"/>
      <c r="AS492" s="70"/>
      <c r="AT492" s="70"/>
      <c r="AU492" s="70"/>
      <c r="AV492" s="70"/>
      <c r="AW492" s="70"/>
      <c r="AX492" s="70"/>
      <c r="AY492" s="70"/>
      <c r="AZ492" s="70"/>
      <c r="BA492" s="70"/>
    </row>
    <row r="493" spans="3:53"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  <c r="AN493" s="70"/>
      <c r="AO493" s="70"/>
      <c r="AP493" s="70"/>
      <c r="AQ493" s="70"/>
      <c r="AR493" s="70"/>
      <c r="AS493" s="70"/>
      <c r="AT493" s="70"/>
      <c r="AU493" s="70"/>
      <c r="AV493" s="70"/>
      <c r="AW493" s="70"/>
      <c r="AX493" s="70"/>
      <c r="AY493" s="70"/>
      <c r="AZ493" s="70"/>
      <c r="BA493" s="70"/>
    </row>
    <row r="494" spans="3:53"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  <c r="AN494" s="70"/>
      <c r="AO494" s="70"/>
      <c r="AP494" s="70"/>
      <c r="AQ494" s="70"/>
      <c r="AR494" s="70"/>
      <c r="AS494" s="70"/>
      <c r="AT494" s="70"/>
      <c r="AU494" s="70"/>
      <c r="AV494" s="70"/>
      <c r="AW494" s="70"/>
      <c r="AX494" s="70"/>
      <c r="AY494" s="70"/>
      <c r="AZ494" s="70"/>
      <c r="BA494" s="70"/>
    </row>
    <row r="495" spans="3:53"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  <c r="AN495" s="70"/>
      <c r="AO495" s="70"/>
      <c r="AP495" s="70"/>
      <c r="AQ495" s="70"/>
      <c r="AR495" s="70"/>
      <c r="AS495" s="70"/>
      <c r="AT495" s="70"/>
      <c r="AU495" s="70"/>
      <c r="AV495" s="70"/>
      <c r="AW495" s="70"/>
      <c r="AX495" s="70"/>
      <c r="AY495" s="70"/>
      <c r="AZ495" s="70"/>
      <c r="BA495" s="70"/>
    </row>
    <row r="496" spans="3:53"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0"/>
      <c r="AU496" s="70"/>
      <c r="AV496" s="70"/>
      <c r="AW496" s="70"/>
      <c r="AX496" s="70"/>
      <c r="AY496" s="70"/>
      <c r="AZ496" s="70"/>
      <c r="BA496" s="70"/>
    </row>
    <row r="497" spans="3:53"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0"/>
      <c r="AT497" s="70"/>
      <c r="AU497" s="70"/>
      <c r="AV497" s="70"/>
      <c r="AW497" s="70"/>
      <c r="AX497" s="70"/>
      <c r="AY497" s="70"/>
      <c r="AZ497" s="70"/>
      <c r="BA497" s="70"/>
    </row>
    <row r="498" spans="3:53"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0"/>
      <c r="AT498" s="70"/>
      <c r="AU498" s="70"/>
      <c r="AV498" s="70"/>
      <c r="AW498" s="70"/>
      <c r="AX498" s="70"/>
      <c r="AY498" s="70"/>
      <c r="AZ498" s="70"/>
      <c r="BA498" s="70"/>
    </row>
    <row r="499" spans="3:53"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  <c r="AN499" s="70"/>
      <c r="AO499" s="70"/>
      <c r="AP499" s="70"/>
      <c r="AQ499" s="70"/>
      <c r="AR499" s="70"/>
      <c r="AS499" s="70"/>
      <c r="AT499" s="70"/>
      <c r="AU499" s="70"/>
      <c r="AV499" s="70"/>
      <c r="AW499" s="70"/>
      <c r="AX499" s="70"/>
      <c r="AY499" s="70"/>
      <c r="AZ499" s="70"/>
      <c r="BA499" s="70"/>
    </row>
    <row r="500" spans="3:53"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  <c r="AN500" s="70"/>
      <c r="AO500" s="70"/>
      <c r="AP500" s="70"/>
      <c r="AQ500" s="70"/>
      <c r="AR500" s="70"/>
      <c r="AS500" s="70"/>
      <c r="AT500" s="70"/>
      <c r="AU500" s="70"/>
      <c r="AV500" s="70"/>
      <c r="AW500" s="70"/>
      <c r="AX500" s="70"/>
      <c r="AY500" s="70"/>
      <c r="AZ500" s="70"/>
      <c r="BA500" s="70"/>
    </row>
    <row r="501" spans="3:53"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0"/>
      <c r="AU501" s="70"/>
      <c r="AV501" s="70"/>
      <c r="AW501" s="70"/>
      <c r="AX501" s="70"/>
      <c r="AY501" s="70"/>
      <c r="AZ501" s="70"/>
      <c r="BA501" s="70"/>
    </row>
    <row r="502" spans="3:53"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  <c r="AN502" s="70"/>
      <c r="AO502" s="70"/>
      <c r="AP502" s="70"/>
      <c r="AQ502" s="70"/>
      <c r="AR502" s="70"/>
      <c r="AS502" s="70"/>
      <c r="AT502" s="70"/>
      <c r="AU502" s="70"/>
      <c r="AV502" s="70"/>
      <c r="AW502" s="70"/>
      <c r="AX502" s="70"/>
      <c r="AY502" s="70"/>
      <c r="AZ502" s="70"/>
      <c r="BA502" s="70"/>
    </row>
    <row r="503" spans="3:53"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  <c r="AN503" s="70"/>
      <c r="AO503" s="70"/>
      <c r="AP503" s="70"/>
      <c r="AQ503" s="70"/>
      <c r="AR503" s="70"/>
      <c r="AS503" s="70"/>
      <c r="AT503" s="70"/>
      <c r="AU503" s="70"/>
      <c r="AV503" s="70"/>
      <c r="AW503" s="70"/>
      <c r="AX503" s="70"/>
      <c r="AY503" s="70"/>
      <c r="AZ503" s="70"/>
      <c r="BA503" s="70"/>
    </row>
    <row r="504" spans="3:53"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0"/>
      <c r="AO504" s="70"/>
      <c r="AP504" s="70"/>
      <c r="AQ504" s="70"/>
      <c r="AR504" s="70"/>
      <c r="AS504" s="70"/>
      <c r="AT504" s="70"/>
      <c r="AU504" s="70"/>
      <c r="AV504" s="70"/>
      <c r="AW504" s="70"/>
      <c r="AX504" s="70"/>
      <c r="AY504" s="70"/>
      <c r="AZ504" s="70"/>
      <c r="BA504" s="70"/>
    </row>
    <row r="505" spans="3:53"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0"/>
      <c r="AU505" s="70"/>
      <c r="AV505" s="70"/>
      <c r="AW505" s="70"/>
      <c r="AX505" s="70"/>
      <c r="AY505" s="70"/>
      <c r="AZ505" s="70"/>
      <c r="BA505" s="70"/>
    </row>
    <row r="506" spans="3:53"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0"/>
      <c r="AU506" s="70"/>
      <c r="AV506" s="70"/>
      <c r="AW506" s="70"/>
      <c r="AX506" s="70"/>
      <c r="AY506" s="70"/>
      <c r="AZ506" s="70"/>
      <c r="BA506" s="70"/>
    </row>
    <row r="507" spans="3:53"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  <c r="AN507" s="70"/>
      <c r="AO507" s="70"/>
      <c r="AP507" s="70"/>
      <c r="AQ507" s="70"/>
      <c r="AR507" s="70"/>
      <c r="AS507" s="70"/>
      <c r="AT507" s="70"/>
      <c r="AU507" s="70"/>
      <c r="AV507" s="70"/>
      <c r="AW507" s="70"/>
      <c r="AX507" s="70"/>
      <c r="AY507" s="70"/>
      <c r="AZ507" s="70"/>
      <c r="BA507" s="70"/>
    </row>
    <row r="508" spans="3:53"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  <c r="AN508" s="70"/>
      <c r="AO508" s="70"/>
      <c r="AP508" s="70"/>
      <c r="AQ508" s="70"/>
      <c r="AR508" s="70"/>
      <c r="AS508" s="70"/>
      <c r="AT508" s="70"/>
      <c r="AU508" s="70"/>
      <c r="AV508" s="70"/>
      <c r="AW508" s="70"/>
      <c r="AX508" s="70"/>
      <c r="AY508" s="70"/>
      <c r="AZ508" s="70"/>
      <c r="BA508" s="70"/>
    </row>
    <row r="509" spans="3:53"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  <c r="AN509" s="70"/>
      <c r="AO509" s="70"/>
      <c r="AP509" s="70"/>
      <c r="AQ509" s="70"/>
      <c r="AR509" s="70"/>
      <c r="AS509" s="70"/>
      <c r="AT509" s="70"/>
      <c r="AU509" s="70"/>
      <c r="AV509" s="70"/>
      <c r="AW509" s="70"/>
      <c r="AX509" s="70"/>
      <c r="AY509" s="70"/>
      <c r="AZ509" s="70"/>
      <c r="BA509" s="70"/>
    </row>
    <row r="510" spans="3:53"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  <c r="AN510" s="70"/>
      <c r="AO510" s="70"/>
      <c r="AP510" s="70"/>
      <c r="AQ510" s="70"/>
      <c r="AR510" s="70"/>
      <c r="AS510" s="70"/>
      <c r="AT510" s="70"/>
      <c r="AU510" s="70"/>
      <c r="AV510" s="70"/>
      <c r="AW510" s="70"/>
      <c r="AX510" s="70"/>
      <c r="AY510" s="70"/>
      <c r="AZ510" s="70"/>
      <c r="BA510" s="70"/>
    </row>
    <row r="511" spans="3:53"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0"/>
      <c r="AT511" s="70"/>
      <c r="AU511" s="70"/>
      <c r="AV511" s="70"/>
      <c r="AW511" s="70"/>
      <c r="AX511" s="70"/>
      <c r="AY511" s="70"/>
      <c r="AZ511" s="70"/>
      <c r="BA511" s="70"/>
    </row>
    <row r="512" spans="3:53"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  <c r="AN512" s="70"/>
      <c r="AO512" s="70"/>
      <c r="AP512" s="70"/>
      <c r="AQ512" s="70"/>
      <c r="AR512" s="70"/>
      <c r="AS512" s="70"/>
      <c r="AT512" s="70"/>
      <c r="AU512" s="70"/>
      <c r="AV512" s="70"/>
      <c r="AW512" s="70"/>
      <c r="AX512" s="70"/>
      <c r="AY512" s="70"/>
      <c r="AZ512" s="70"/>
      <c r="BA512" s="70"/>
    </row>
    <row r="513" spans="3:53"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  <c r="AN513" s="70"/>
      <c r="AO513" s="70"/>
      <c r="AP513" s="70"/>
      <c r="AQ513" s="70"/>
      <c r="AR513" s="70"/>
      <c r="AS513" s="70"/>
      <c r="AT513" s="70"/>
      <c r="AU513" s="70"/>
      <c r="AV513" s="70"/>
      <c r="AW513" s="70"/>
      <c r="AX513" s="70"/>
      <c r="AY513" s="70"/>
      <c r="AZ513" s="70"/>
      <c r="BA513" s="70"/>
    </row>
    <row r="514" spans="3:53"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  <c r="AN514" s="70"/>
      <c r="AO514" s="70"/>
      <c r="AP514" s="70"/>
      <c r="AQ514" s="70"/>
      <c r="AR514" s="70"/>
      <c r="AS514" s="70"/>
      <c r="AT514" s="70"/>
      <c r="AU514" s="70"/>
      <c r="AV514" s="70"/>
      <c r="AW514" s="70"/>
      <c r="AX514" s="70"/>
      <c r="AY514" s="70"/>
      <c r="AZ514" s="70"/>
      <c r="BA514" s="70"/>
    </row>
    <row r="515" spans="3:53"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  <c r="AN515" s="70"/>
      <c r="AO515" s="70"/>
      <c r="AP515" s="70"/>
      <c r="AQ515" s="70"/>
      <c r="AR515" s="70"/>
      <c r="AS515" s="70"/>
      <c r="AT515" s="70"/>
      <c r="AU515" s="70"/>
      <c r="AV515" s="70"/>
      <c r="AW515" s="70"/>
      <c r="AX515" s="70"/>
      <c r="AY515" s="70"/>
      <c r="AZ515" s="70"/>
      <c r="BA515" s="70"/>
    </row>
    <row r="516" spans="3:53"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  <c r="AN516" s="70"/>
      <c r="AO516" s="70"/>
      <c r="AP516" s="70"/>
      <c r="AQ516" s="70"/>
      <c r="AR516" s="70"/>
      <c r="AS516" s="70"/>
      <c r="AT516" s="70"/>
      <c r="AU516" s="70"/>
      <c r="AV516" s="70"/>
      <c r="AW516" s="70"/>
      <c r="AX516" s="70"/>
      <c r="AY516" s="70"/>
      <c r="AZ516" s="70"/>
      <c r="BA516" s="70"/>
    </row>
    <row r="517" spans="3:53"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  <c r="AN517" s="70"/>
      <c r="AO517" s="70"/>
      <c r="AP517" s="70"/>
      <c r="AQ517" s="70"/>
      <c r="AR517" s="70"/>
      <c r="AS517" s="70"/>
      <c r="AT517" s="70"/>
      <c r="AU517" s="70"/>
      <c r="AV517" s="70"/>
      <c r="AW517" s="70"/>
      <c r="AX517" s="70"/>
      <c r="AY517" s="70"/>
      <c r="AZ517" s="70"/>
      <c r="BA517" s="70"/>
    </row>
    <row r="518" spans="3:53"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  <c r="AN518" s="70"/>
      <c r="AO518" s="70"/>
      <c r="AP518" s="70"/>
      <c r="AQ518" s="70"/>
      <c r="AR518" s="70"/>
      <c r="AS518" s="70"/>
      <c r="AT518" s="70"/>
      <c r="AU518" s="70"/>
      <c r="AV518" s="70"/>
      <c r="AW518" s="70"/>
      <c r="AX518" s="70"/>
      <c r="AY518" s="70"/>
      <c r="AZ518" s="70"/>
      <c r="BA518" s="70"/>
    </row>
    <row r="519" spans="3:53"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  <c r="AN519" s="70"/>
      <c r="AO519" s="70"/>
      <c r="AP519" s="70"/>
      <c r="AQ519" s="70"/>
      <c r="AR519" s="70"/>
      <c r="AS519" s="70"/>
      <c r="AT519" s="70"/>
      <c r="AU519" s="70"/>
      <c r="AV519" s="70"/>
      <c r="AW519" s="70"/>
      <c r="AX519" s="70"/>
      <c r="AY519" s="70"/>
      <c r="AZ519" s="70"/>
      <c r="BA519" s="70"/>
    </row>
    <row r="520" spans="3:53"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0"/>
      <c r="AU520" s="70"/>
      <c r="AV520" s="70"/>
      <c r="AW520" s="70"/>
      <c r="AX520" s="70"/>
      <c r="AY520" s="70"/>
      <c r="AZ520" s="70"/>
      <c r="BA520" s="70"/>
    </row>
    <row r="521" spans="3:53"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0"/>
      <c r="AU521" s="70"/>
      <c r="AV521" s="70"/>
      <c r="AW521" s="70"/>
      <c r="AX521" s="70"/>
      <c r="AY521" s="70"/>
      <c r="AZ521" s="70"/>
      <c r="BA521" s="70"/>
    </row>
    <row r="522" spans="3:53"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0"/>
      <c r="AU522" s="70"/>
      <c r="AV522" s="70"/>
      <c r="AW522" s="70"/>
      <c r="AX522" s="70"/>
      <c r="AY522" s="70"/>
      <c r="AZ522" s="70"/>
      <c r="BA522" s="70"/>
    </row>
    <row r="523" spans="3:53"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0"/>
      <c r="AU523" s="70"/>
      <c r="AV523" s="70"/>
      <c r="AW523" s="70"/>
      <c r="AX523" s="70"/>
      <c r="AY523" s="70"/>
      <c r="AZ523" s="70"/>
      <c r="BA523" s="70"/>
    </row>
    <row r="524" spans="3:53"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0"/>
      <c r="AW524" s="70"/>
      <c r="AX524" s="70"/>
      <c r="AY524" s="70"/>
      <c r="AZ524" s="70"/>
      <c r="BA524" s="70"/>
    </row>
    <row r="525" spans="3:53"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  <c r="AU525" s="70"/>
      <c r="AV525" s="70"/>
      <c r="AW525" s="70"/>
      <c r="AX525" s="70"/>
      <c r="AY525" s="70"/>
      <c r="AZ525" s="70"/>
      <c r="BA525" s="70"/>
    </row>
    <row r="526" spans="3:53"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0"/>
      <c r="AU526" s="70"/>
      <c r="AV526" s="70"/>
      <c r="AW526" s="70"/>
      <c r="AX526" s="70"/>
      <c r="AY526" s="70"/>
      <c r="AZ526" s="70"/>
      <c r="BA526" s="70"/>
    </row>
    <row r="527" spans="3:53"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  <c r="AU527" s="70"/>
      <c r="AV527" s="70"/>
      <c r="AW527" s="70"/>
      <c r="AX527" s="70"/>
      <c r="AY527" s="70"/>
      <c r="AZ527" s="70"/>
      <c r="BA527" s="70"/>
    </row>
    <row r="528" spans="3:53"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0"/>
      <c r="AU528" s="70"/>
      <c r="AV528" s="70"/>
      <c r="AW528" s="70"/>
      <c r="AX528" s="70"/>
      <c r="AY528" s="70"/>
      <c r="AZ528" s="70"/>
      <c r="BA528" s="70"/>
    </row>
    <row r="529" spans="3:53"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  <c r="AU529" s="70"/>
      <c r="AV529" s="70"/>
      <c r="AW529" s="70"/>
      <c r="AX529" s="70"/>
      <c r="AY529" s="70"/>
      <c r="AZ529" s="70"/>
      <c r="BA529" s="70"/>
    </row>
    <row r="530" spans="3:53"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0"/>
      <c r="AU530" s="70"/>
      <c r="AV530" s="70"/>
      <c r="AW530" s="70"/>
      <c r="AX530" s="70"/>
      <c r="AY530" s="70"/>
      <c r="AZ530" s="70"/>
      <c r="BA530" s="70"/>
    </row>
    <row r="531" spans="3:53"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0"/>
      <c r="AU531" s="70"/>
      <c r="AV531" s="70"/>
      <c r="AW531" s="70"/>
      <c r="AX531" s="70"/>
      <c r="AY531" s="70"/>
      <c r="AZ531" s="70"/>
      <c r="BA531" s="70"/>
    </row>
    <row r="532" spans="3:53"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0"/>
      <c r="AU532" s="70"/>
      <c r="AV532" s="70"/>
      <c r="AW532" s="70"/>
      <c r="AX532" s="70"/>
      <c r="AY532" s="70"/>
      <c r="AZ532" s="70"/>
      <c r="BA532" s="70"/>
    </row>
    <row r="533" spans="3:53"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  <c r="AU533" s="70"/>
      <c r="AV533" s="70"/>
      <c r="AW533" s="70"/>
      <c r="AX533" s="70"/>
      <c r="AY533" s="70"/>
      <c r="AZ533" s="70"/>
      <c r="BA533" s="70"/>
    </row>
    <row r="534" spans="3:53"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  <c r="AU534" s="70"/>
      <c r="AV534" s="70"/>
      <c r="AW534" s="70"/>
      <c r="AX534" s="70"/>
      <c r="AY534" s="70"/>
      <c r="AZ534" s="70"/>
      <c r="BA534" s="70"/>
    </row>
    <row r="535" spans="3:53"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0"/>
      <c r="AU535" s="70"/>
      <c r="AV535" s="70"/>
      <c r="AW535" s="70"/>
      <c r="AX535" s="70"/>
      <c r="AY535" s="70"/>
      <c r="AZ535" s="70"/>
      <c r="BA535" s="70"/>
    </row>
    <row r="536" spans="3:53"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0"/>
      <c r="AU536" s="70"/>
      <c r="AV536" s="70"/>
      <c r="AW536" s="70"/>
      <c r="AX536" s="70"/>
      <c r="AY536" s="70"/>
      <c r="AZ536" s="70"/>
      <c r="BA536" s="70"/>
    </row>
    <row r="537" spans="3:53"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  <c r="AN537" s="70"/>
      <c r="AO537" s="70"/>
      <c r="AP537" s="70"/>
      <c r="AQ537" s="70"/>
      <c r="AR537" s="70"/>
      <c r="AS537" s="70"/>
      <c r="AT537" s="70"/>
      <c r="AU537" s="70"/>
      <c r="AV537" s="70"/>
      <c r="AW537" s="70"/>
      <c r="AX537" s="70"/>
      <c r="AY537" s="70"/>
      <c r="AZ537" s="70"/>
      <c r="BA537" s="70"/>
    </row>
    <row r="538" spans="3:53"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  <c r="AN538" s="70"/>
      <c r="AO538" s="70"/>
      <c r="AP538" s="70"/>
      <c r="AQ538" s="70"/>
      <c r="AR538" s="70"/>
      <c r="AS538" s="70"/>
      <c r="AT538" s="70"/>
      <c r="AU538" s="70"/>
      <c r="AV538" s="70"/>
      <c r="AW538" s="70"/>
      <c r="AX538" s="70"/>
      <c r="AY538" s="70"/>
      <c r="AZ538" s="70"/>
      <c r="BA538" s="70"/>
    </row>
    <row r="539" spans="3:53"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  <c r="AN539" s="70"/>
      <c r="AO539" s="70"/>
      <c r="AP539" s="70"/>
      <c r="AQ539" s="70"/>
      <c r="AR539" s="70"/>
      <c r="AS539" s="70"/>
      <c r="AT539" s="70"/>
      <c r="AU539" s="70"/>
      <c r="AV539" s="70"/>
      <c r="AW539" s="70"/>
      <c r="AX539" s="70"/>
      <c r="AY539" s="70"/>
      <c r="AZ539" s="70"/>
      <c r="BA539" s="70"/>
    </row>
    <row r="540" spans="3:53"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  <c r="AN540" s="70"/>
      <c r="AO540" s="70"/>
      <c r="AP540" s="70"/>
      <c r="AQ540" s="70"/>
      <c r="AR540" s="70"/>
      <c r="AS540" s="70"/>
      <c r="AT540" s="70"/>
      <c r="AU540" s="70"/>
      <c r="AV540" s="70"/>
      <c r="AW540" s="70"/>
      <c r="AX540" s="70"/>
      <c r="AY540" s="70"/>
      <c r="AZ540" s="70"/>
      <c r="BA540" s="70"/>
    </row>
    <row r="541" spans="3:53"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0"/>
      <c r="AT541" s="70"/>
      <c r="AU541" s="70"/>
      <c r="AV541" s="70"/>
      <c r="AW541" s="70"/>
      <c r="AX541" s="70"/>
      <c r="AY541" s="70"/>
      <c r="AZ541" s="70"/>
      <c r="BA541" s="70"/>
    </row>
    <row r="542" spans="3:53"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  <c r="AN542" s="70"/>
      <c r="AO542" s="70"/>
      <c r="AP542" s="70"/>
      <c r="AQ542" s="70"/>
      <c r="AR542" s="70"/>
      <c r="AS542" s="70"/>
      <c r="AT542" s="70"/>
      <c r="AU542" s="70"/>
      <c r="AV542" s="70"/>
      <c r="AW542" s="70"/>
      <c r="AX542" s="70"/>
      <c r="AY542" s="70"/>
      <c r="AZ542" s="70"/>
      <c r="BA542" s="70"/>
    </row>
    <row r="543" spans="3:53"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  <c r="AN543" s="70"/>
      <c r="AO543" s="70"/>
      <c r="AP543" s="70"/>
      <c r="AQ543" s="70"/>
      <c r="AR543" s="70"/>
      <c r="AS543" s="70"/>
      <c r="AT543" s="70"/>
      <c r="AU543" s="70"/>
      <c r="AV543" s="70"/>
      <c r="AW543" s="70"/>
      <c r="AX543" s="70"/>
      <c r="AY543" s="70"/>
      <c r="AZ543" s="70"/>
      <c r="BA543" s="70"/>
    </row>
    <row r="544" spans="3:53"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  <c r="AN544" s="70"/>
      <c r="AO544" s="70"/>
      <c r="AP544" s="70"/>
      <c r="AQ544" s="70"/>
      <c r="AR544" s="70"/>
      <c r="AS544" s="70"/>
      <c r="AT544" s="70"/>
      <c r="AU544" s="70"/>
      <c r="AV544" s="70"/>
      <c r="AW544" s="70"/>
      <c r="AX544" s="70"/>
      <c r="AY544" s="70"/>
      <c r="AZ544" s="70"/>
      <c r="BA544" s="70"/>
    </row>
    <row r="545" spans="3:53"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  <c r="AN545" s="70"/>
      <c r="AO545" s="70"/>
      <c r="AP545" s="70"/>
      <c r="AQ545" s="70"/>
      <c r="AR545" s="70"/>
      <c r="AS545" s="70"/>
      <c r="AT545" s="70"/>
      <c r="AU545" s="70"/>
      <c r="AV545" s="70"/>
      <c r="AW545" s="70"/>
      <c r="AX545" s="70"/>
      <c r="AY545" s="70"/>
      <c r="AZ545" s="70"/>
      <c r="BA545" s="70"/>
    </row>
    <row r="546" spans="3:53"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  <c r="AN546" s="70"/>
      <c r="AO546" s="70"/>
      <c r="AP546" s="70"/>
      <c r="AQ546" s="70"/>
      <c r="AR546" s="70"/>
      <c r="AS546" s="70"/>
      <c r="AT546" s="70"/>
      <c r="AU546" s="70"/>
      <c r="AV546" s="70"/>
      <c r="AW546" s="70"/>
      <c r="AX546" s="70"/>
      <c r="AY546" s="70"/>
      <c r="AZ546" s="70"/>
      <c r="BA546" s="70"/>
    </row>
    <row r="547" spans="3:53"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  <c r="AN547" s="70"/>
      <c r="AO547" s="70"/>
      <c r="AP547" s="70"/>
      <c r="AQ547" s="70"/>
      <c r="AR547" s="70"/>
      <c r="AS547" s="70"/>
      <c r="AT547" s="70"/>
      <c r="AU547" s="70"/>
      <c r="AV547" s="70"/>
      <c r="AW547" s="70"/>
      <c r="AX547" s="70"/>
      <c r="AY547" s="70"/>
      <c r="AZ547" s="70"/>
      <c r="BA547" s="70"/>
    </row>
    <row r="548" spans="3:53"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  <c r="AN548" s="70"/>
      <c r="AO548" s="70"/>
      <c r="AP548" s="70"/>
      <c r="AQ548" s="70"/>
      <c r="AR548" s="70"/>
      <c r="AS548" s="70"/>
      <c r="AT548" s="70"/>
      <c r="AU548" s="70"/>
      <c r="AV548" s="70"/>
      <c r="AW548" s="70"/>
      <c r="AX548" s="70"/>
      <c r="AY548" s="70"/>
      <c r="AZ548" s="70"/>
      <c r="BA548" s="70"/>
    </row>
    <row r="549" spans="3:53"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  <c r="AN549" s="70"/>
      <c r="AO549" s="70"/>
      <c r="AP549" s="70"/>
      <c r="AQ549" s="70"/>
      <c r="AR549" s="70"/>
      <c r="AS549" s="70"/>
      <c r="AT549" s="70"/>
      <c r="AU549" s="70"/>
      <c r="AV549" s="70"/>
      <c r="AW549" s="70"/>
      <c r="AX549" s="70"/>
      <c r="AY549" s="70"/>
      <c r="AZ549" s="70"/>
      <c r="BA549" s="70"/>
    </row>
    <row r="550" spans="3:53"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  <c r="AN550" s="70"/>
      <c r="AO550" s="70"/>
      <c r="AP550" s="70"/>
      <c r="AQ550" s="70"/>
      <c r="AR550" s="70"/>
      <c r="AS550" s="70"/>
      <c r="AT550" s="70"/>
      <c r="AU550" s="70"/>
      <c r="AV550" s="70"/>
      <c r="AW550" s="70"/>
      <c r="AX550" s="70"/>
      <c r="AY550" s="70"/>
      <c r="AZ550" s="70"/>
      <c r="BA550" s="70"/>
    </row>
    <row r="551" spans="3:53"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  <c r="AN551" s="70"/>
      <c r="AO551" s="70"/>
      <c r="AP551" s="70"/>
      <c r="AQ551" s="70"/>
      <c r="AR551" s="70"/>
      <c r="AS551" s="70"/>
      <c r="AT551" s="70"/>
      <c r="AU551" s="70"/>
      <c r="AV551" s="70"/>
      <c r="AW551" s="70"/>
      <c r="AX551" s="70"/>
      <c r="AY551" s="70"/>
      <c r="AZ551" s="70"/>
      <c r="BA551" s="70"/>
    </row>
    <row r="552" spans="3:53"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  <c r="AN552" s="70"/>
      <c r="AO552" s="70"/>
      <c r="AP552" s="70"/>
      <c r="AQ552" s="70"/>
      <c r="AR552" s="70"/>
      <c r="AS552" s="70"/>
      <c r="AT552" s="70"/>
      <c r="AU552" s="70"/>
      <c r="AV552" s="70"/>
      <c r="AW552" s="70"/>
      <c r="AX552" s="70"/>
      <c r="AY552" s="70"/>
      <c r="AZ552" s="70"/>
      <c r="BA552" s="70"/>
    </row>
    <row r="553" spans="3:53"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  <c r="AN553" s="70"/>
      <c r="AO553" s="70"/>
      <c r="AP553" s="70"/>
      <c r="AQ553" s="70"/>
      <c r="AR553" s="70"/>
      <c r="AS553" s="70"/>
      <c r="AT553" s="70"/>
      <c r="AU553" s="70"/>
      <c r="AV553" s="70"/>
      <c r="AW553" s="70"/>
      <c r="AX553" s="70"/>
      <c r="AY553" s="70"/>
      <c r="AZ553" s="70"/>
      <c r="BA553" s="70"/>
    </row>
    <row r="554" spans="3:53"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  <c r="AQ554" s="70"/>
      <c r="AR554" s="70"/>
      <c r="AS554" s="70"/>
      <c r="AT554" s="70"/>
      <c r="AU554" s="70"/>
      <c r="AV554" s="70"/>
      <c r="AW554" s="70"/>
      <c r="AX554" s="70"/>
      <c r="AY554" s="70"/>
      <c r="AZ554" s="70"/>
      <c r="BA554" s="70"/>
    </row>
    <row r="555" spans="3:53"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  <c r="AN555" s="70"/>
      <c r="AO555" s="70"/>
      <c r="AP555" s="70"/>
      <c r="AQ555" s="70"/>
      <c r="AR555" s="70"/>
      <c r="AS555" s="70"/>
      <c r="AT555" s="70"/>
      <c r="AU555" s="70"/>
      <c r="AV555" s="70"/>
      <c r="AW555" s="70"/>
      <c r="AX555" s="70"/>
      <c r="AY555" s="70"/>
      <c r="AZ555" s="70"/>
      <c r="BA555" s="70"/>
    </row>
    <row r="556" spans="3:53"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  <c r="AN556" s="70"/>
      <c r="AO556" s="70"/>
      <c r="AP556" s="70"/>
      <c r="AQ556" s="70"/>
      <c r="AR556" s="70"/>
      <c r="AS556" s="70"/>
      <c r="AT556" s="70"/>
      <c r="AU556" s="70"/>
      <c r="AV556" s="70"/>
      <c r="AW556" s="70"/>
      <c r="AX556" s="70"/>
      <c r="AY556" s="70"/>
      <c r="AZ556" s="70"/>
      <c r="BA556" s="70"/>
    </row>
    <row r="557" spans="3:53"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  <c r="AN557" s="70"/>
      <c r="AO557" s="70"/>
      <c r="AP557" s="70"/>
      <c r="AQ557" s="70"/>
      <c r="AR557" s="70"/>
      <c r="AS557" s="70"/>
      <c r="AT557" s="70"/>
      <c r="AU557" s="70"/>
      <c r="AV557" s="70"/>
      <c r="AW557" s="70"/>
      <c r="AX557" s="70"/>
      <c r="AY557" s="70"/>
      <c r="AZ557" s="70"/>
      <c r="BA557" s="70"/>
    </row>
    <row r="558" spans="3:53"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  <c r="AN558" s="70"/>
      <c r="AO558" s="70"/>
      <c r="AP558" s="70"/>
      <c r="AQ558" s="70"/>
      <c r="AR558" s="70"/>
      <c r="AS558" s="70"/>
      <c r="AT558" s="70"/>
      <c r="AU558" s="70"/>
      <c r="AV558" s="70"/>
      <c r="AW558" s="70"/>
      <c r="AX558" s="70"/>
      <c r="AY558" s="70"/>
      <c r="AZ558" s="70"/>
      <c r="BA558" s="70"/>
    </row>
    <row r="559" spans="3:53"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  <c r="AN559" s="70"/>
      <c r="AO559" s="70"/>
      <c r="AP559" s="70"/>
      <c r="AQ559" s="70"/>
      <c r="AR559" s="70"/>
      <c r="AS559" s="70"/>
      <c r="AT559" s="70"/>
      <c r="AU559" s="70"/>
      <c r="AV559" s="70"/>
      <c r="AW559" s="70"/>
      <c r="AX559" s="70"/>
      <c r="AY559" s="70"/>
      <c r="AZ559" s="70"/>
      <c r="BA559" s="70"/>
    </row>
    <row r="560" spans="3:53"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0"/>
      <c r="AU560" s="70"/>
      <c r="AV560" s="70"/>
      <c r="AW560" s="70"/>
      <c r="AX560" s="70"/>
      <c r="AY560" s="70"/>
      <c r="AZ560" s="70"/>
      <c r="BA560" s="70"/>
    </row>
    <row r="561" spans="3:53"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  <c r="AU561" s="70"/>
      <c r="AV561" s="70"/>
      <c r="AW561" s="70"/>
      <c r="AX561" s="70"/>
      <c r="AY561" s="70"/>
      <c r="AZ561" s="70"/>
      <c r="BA561" s="70"/>
    </row>
    <row r="562" spans="3:53"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0"/>
      <c r="AU562" s="70"/>
      <c r="AV562" s="70"/>
      <c r="AW562" s="70"/>
      <c r="AX562" s="70"/>
      <c r="AY562" s="70"/>
      <c r="AZ562" s="70"/>
      <c r="BA562" s="70"/>
    </row>
    <row r="563" spans="3:53"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0"/>
      <c r="AU563" s="70"/>
      <c r="AV563" s="70"/>
      <c r="AW563" s="70"/>
      <c r="AX563" s="70"/>
      <c r="AY563" s="70"/>
      <c r="AZ563" s="70"/>
      <c r="BA563" s="70"/>
    </row>
    <row r="564" spans="3:53"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  <c r="AN564" s="70"/>
      <c r="AO564" s="70"/>
      <c r="AP564" s="70"/>
      <c r="AQ564" s="70"/>
      <c r="AR564" s="70"/>
      <c r="AS564" s="70"/>
      <c r="AT564" s="70"/>
      <c r="AU564" s="70"/>
      <c r="AV564" s="70"/>
      <c r="AW564" s="70"/>
      <c r="AX564" s="70"/>
      <c r="AY564" s="70"/>
      <c r="AZ564" s="70"/>
      <c r="BA564" s="70"/>
    </row>
    <row r="565" spans="3:53"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  <c r="AN565" s="70"/>
      <c r="AO565" s="70"/>
      <c r="AP565" s="70"/>
      <c r="AQ565" s="70"/>
      <c r="AR565" s="70"/>
      <c r="AS565" s="70"/>
      <c r="AT565" s="70"/>
      <c r="AU565" s="70"/>
      <c r="AV565" s="70"/>
      <c r="AW565" s="70"/>
      <c r="AX565" s="70"/>
      <c r="AY565" s="70"/>
      <c r="AZ565" s="70"/>
      <c r="BA565" s="70"/>
    </row>
    <row r="566" spans="3:53"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  <c r="AN566" s="70"/>
      <c r="AO566" s="70"/>
      <c r="AP566" s="70"/>
      <c r="AQ566" s="70"/>
      <c r="AR566" s="70"/>
      <c r="AS566" s="70"/>
      <c r="AT566" s="70"/>
      <c r="AU566" s="70"/>
      <c r="AV566" s="70"/>
      <c r="AW566" s="70"/>
      <c r="AX566" s="70"/>
      <c r="AY566" s="70"/>
      <c r="AZ566" s="70"/>
      <c r="BA566" s="70"/>
    </row>
    <row r="567" spans="3:53"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  <c r="AN567" s="70"/>
      <c r="AO567" s="70"/>
      <c r="AP567" s="70"/>
      <c r="AQ567" s="70"/>
      <c r="AR567" s="70"/>
      <c r="AS567" s="70"/>
      <c r="AT567" s="70"/>
      <c r="AU567" s="70"/>
      <c r="AV567" s="70"/>
      <c r="AW567" s="70"/>
      <c r="AX567" s="70"/>
      <c r="AY567" s="70"/>
      <c r="AZ567" s="70"/>
      <c r="BA567" s="70"/>
    </row>
    <row r="568" spans="3:53"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  <c r="AN568" s="70"/>
      <c r="AO568" s="70"/>
      <c r="AP568" s="70"/>
      <c r="AQ568" s="70"/>
      <c r="AR568" s="70"/>
      <c r="AS568" s="70"/>
      <c r="AT568" s="70"/>
      <c r="AU568" s="70"/>
      <c r="AV568" s="70"/>
      <c r="AW568" s="70"/>
      <c r="AX568" s="70"/>
      <c r="AY568" s="70"/>
      <c r="AZ568" s="70"/>
      <c r="BA568" s="70"/>
    </row>
    <row r="569" spans="3:53"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  <c r="AN569" s="70"/>
      <c r="AO569" s="70"/>
      <c r="AP569" s="70"/>
      <c r="AQ569" s="70"/>
      <c r="AR569" s="70"/>
      <c r="AS569" s="70"/>
      <c r="AT569" s="70"/>
      <c r="AU569" s="70"/>
      <c r="AV569" s="70"/>
      <c r="AW569" s="70"/>
      <c r="AX569" s="70"/>
      <c r="AY569" s="70"/>
      <c r="AZ569" s="70"/>
      <c r="BA569" s="70"/>
    </row>
    <row r="570" spans="3:53"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  <c r="AN570" s="70"/>
      <c r="AO570" s="70"/>
      <c r="AP570" s="70"/>
      <c r="AQ570" s="70"/>
      <c r="AR570" s="70"/>
      <c r="AS570" s="70"/>
      <c r="AT570" s="70"/>
      <c r="AU570" s="70"/>
      <c r="AV570" s="70"/>
      <c r="AW570" s="70"/>
      <c r="AX570" s="70"/>
      <c r="AY570" s="70"/>
      <c r="AZ570" s="70"/>
      <c r="BA570" s="70"/>
    </row>
    <row r="571" spans="3:53"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  <c r="AN571" s="70"/>
      <c r="AO571" s="70"/>
      <c r="AP571" s="70"/>
      <c r="AQ571" s="70"/>
      <c r="AR571" s="70"/>
      <c r="AS571" s="70"/>
      <c r="AT571" s="70"/>
      <c r="AU571" s="70"/>
      <c r="AV571" s="70"/>
      <c r="AW571" s="70"/>
      <c r="AX571" s="70"/>
      <c r="AY571" s="70"/>
      <c r="AZ571" s="70"/>
      <c r="BA571" s="70"/>
    </row>
    <row r="572" spans="3:53"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  <c r="AN572" s="70"/>
      <c r="AO572" s="70"/>
      <c r="AP572" s="70"/>
      <c r="AQ572" s="70"/>
      <c r="AR572" s="70"/>
      <c r="AS572" s="70"/>
      <c r="AT572" s="70"/>
      <c r="AU572" s="70"/>
      <c r="AV572" s="70"/>
      <c r="AW572" s="70"/>
      <c r="AX572" s="70"/>
      <c r="AY572" s="70"/>
      <c r="AZ572" s="70"/>
      <c r="BA572" s="70"/>
    </row>
    <row r="573" spans="3:53"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  <c r="AN573" s="70"/>
      <c r="AO573" s="70"/>
      <c r="AP573" s="70"/>
      <c r="AQ573" s="70"/>
      <c r="AR573" s="70"/>
      <c r="AS573" s="70"/>
      <c r="AT573" s="70"/>
      <c r="AU573" s="70"/>
      <c r="AV573" s="70"/>
      <c r="AW573" s="70"/>
      <c r="AX573" s="70"/>
      <c r="AY573" s="70"/>
      <c r="AZ573" s="70"/>
      <c r="BA573" s="70"/>
    </row>
    <row r="574" spans="3:53"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  <c r="AN574" s="70"/>
      <c r="AO574" s="70"/>
      <c r="AP574" s="70"/>
      <c r="AQ574" s="70"/>
      <c r="AR574" s="70"/>
      <c r="AS574" s="70"/>
      <c r="AT574" s="70"/>
      <c r="AU574" s="70"/>
      <c r="AV574" s="70"/>
      <c r="AW574" s="70"/>
      <c r="AX574" s="70"/>
      <c r="AY574" s="70"/>
      <c r="AZ574" s="70"/>
      <c r="BA574" s="70"/>
    </row>
    <row r="575" spans="3:53"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  <c r="AN575" s="70"/>
      <c r="AO575" s="70"/>
      <c r="AP575" s="70"/>
      <c r="AQ575" s="70"/>
      <c r="AR575" s="70"/>
      <c r="AS575" s="70"/>
      <c r="AT575" s="70"/>
      <c r="AU575" s="70"/>
      <c r="AV575" s="70"/>
      <c r="AW575" s="70"/>
      <c r="AX575" s="70"/>
      <c r="AY575" s="70"/>
      <c r="AZ575" s="70"/>
      <c r="BA575" s="70"/>
    </row>
    <row r="576" spans="3:53"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  <c r="AN576" s="70"/>
      <c r="AO576" s="70"/>
      <c r="AP576" s="70"/>
      <c r="AQ576" s="70"/>
      <c r="AR576" s="70"/>
      <c r="AS576" s="70"/>
      <c r="AT576" s="70"/>
      <c r="AU576" s="70"/>
      <c r="AV576" s="70"/>
      <c r="AW576" s="70"/>
      <c r="AX576" s="70"/>
      <c r="AY576" s="70"/>
      <c r="AZ576" s="70"/>
      <c r="BA576" s="70"/>
    </row>
    <row r="577" spans="3:53"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  <c r="AN577" s="70"/>
      <c r="AO577" s="70"/>
      <c r="AP577" s="70"/>
      <c r="AQ577" s="70"/>
      <c r="AR577" s="70"/>
      <c r="AS577" s="70"/>
      <c r="AT577" s="70"/>
      <c r="AU577" s="70"/>
      <c r="AV577" s="70"/>
      <c r="AW577" s="70"/>
      <c r="AX577" s="70"/>
      <c r="AY577" s="70"/>
      <c r="AZ577" s="70"/>
      <c r="BA577" s="70"/>
    </row>
    <row r="578" spans="3:53"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  <c r="AN578" s="70"/>
      <c r="AO578" s="70"/>
      <c r="AP578" s="70"/>
      <c r="AQ578" s="70"/>
      <c r="AR578" s="70"/>
      <c r="AS578" s="70"/>
      <c r="AT578" s="70"/>
      <c r="AU578" s="70"/>
      <c r="AV578" s="70"/>
      <c r="AW578" s="70"/>
      <c r="AX578" s="70"/>
      <c r="AY578" s="70"/>
      <c r="AZ578" s="70"/>
      <c r="BA578" s="70"/>
    </row>
    <row r="579" spans="3:53"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  <c r="AN579" s="70"/>
      <c r="AO579" s="70"/>
      <c r="AP579" s="70"/>
      <c r="AQ579" s="70"/>
      <c r="AR579" s="70"/>
      <c r="AS579" s="70"/>
      <c r="AT579" s="70"/>
      <c r="AU579" s="70"/>
      <c r="AV579" s="70"/>
      <c r="AW579" s="70"/>
      <c r="AX579" s="70"/>
      <c r="AY579" s="70"/>
      <c r="AZ579" s="70"/>
      <c r="BA579" s="70"/>
    </row>
    <row r="580" spans="3:53"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  <c r="AN580" s="70"/>
      <c r="AO580" s="70"/>
      <c r="AP580" s="70"/>
      <c r="AQ580" s="70"/>
      <c r="AR580" s="70"/>
      <c r="AS580" s="70"/>
      <c r="AT580" s="70"/>
      <c r="AU580" s="70"/>
      <c r="AV580" s="70"/>
      <c r="AW580" s="70"/>
      <c r="AX580" s="70"/>
      <c r="AY580" s="70"/>
      <c r="AZ580" s="70"/>
      <c r="BA580" s="70"/>
    </row>
    <row r="581" spans="3:53"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  <c r="AN581" s="70"/>
      <c r="AO581" s="70"/>
      <c r="AP581" s="70"/>
      <c r="AQ581" s="70"/>
      <c r="AR581" s="70"/>
      <c r="AS581" s="70"/>
      <c r="AT581" s="70"/>
      <c r="AU581" s="70"/>
      <c r="AV581" s="70"/>
      <c r="AW581" s="70"/>
      <c r="AX581" s="70"/>
      <c r="AY581" s="70"/>
      <c r="AZ581" s="70"/>
      <c r="BA581" s="70"/>
    </row>
    <row r="582" spans="3:53"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  <c r="AN582" s="70"/>
      <c r="AO582" s="70"/>
      <c r="AP582" s="70"/>
      <c r="AQ582" s="70"/>
      <c r="AR582" s="70"/>
      <c r="AS582" s="70"/>
      <c r="AT582" s="70"/>
      <c r="AU582" s="70"/>
      <c r="AV582" s="70"/>
      <c r="AW582" s="70"/>
      <c r="AX582" s="70"/>
      <c r="AY582" s="70"/>
      <c r="AZ582" s="70"/>
      <c r="BA582" s="70"/>
    </row>
    <row r="583" spans="3:53"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  <c r="AN583" s="70"/>
      <c r="AO583" s="70"/>
      <c r="AP583" s="70"/>
      <c r="AQ583" s="70"/>
      <c r="AR583" s="70"/>
      <c r="AS583" s="70"/>
      <c r="AT583" s="70"/>
      <c r="AU583" s="70"/>
      <c r="AV583" s="70"/>
      <c r="AW583" s="70"/>
      <c r="AX583" s="70"/>
      <c r="AY583" s="70"/>
      <c r="AZ583" s="70"/>
      <c r="BA583" s="70"/>
    </row>
    <row r="584" spans="3:53"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  <c r="AN584" s="70"/>
      <c r="AO584" s="70"/>
      <c r="AP584" s="70"/>
      <c r="AQ584" s="70"/>
      <c r="AR584" s="70"/>
      <c r="AS584" s="70"/>
      <c r="AT584" s="70"/>
      <c r="AU584" s="70"/>
      <c r="AV584" s="70"/>
      <c r="AW584" s="70"/>
      <c r="AX584" s="70"/>
      <c r="AY584" s="70"/>
      <c r="AZ584" s="70"/>
      <c r="BA584" s="70"/>
    </row>
    <row r="585" spans="3:53"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  <c r="AN585" s="70"/>
      <c r="AO585" s="70"/>
      <c r="AP585" s="70"/>
      <c r="AQ585" s="70"/>
      <c r="AR585" s="70"/>
      <c r="AS585" s="70"/>
      <c r="AT585" s="70"/>
      <c r="AU585" s="70"/>
      <c r="AV585" s="70"/>
      <c r="AW585" s="70"/>
      <c r="AX585" s="70"/>
      <c r="AY585" s="70"/>
      <c r="AZ585" s="70"/>
      <c r="BA585" s="70"/>
    </row>
    <row r="586" spans="3:53"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  <c r="AN586" s="70"/>
      <c r="AO586" s="70"/>
      <c r="AP586" s="70"/>
      <c r="AQ586" s="70"/>
      <c r="AR586" s="70"/>
      <c r="AS586" s="70"/>
      <c r="AT586" s="70"/>
      <c r="AU586" s="70"/>
      <c r="AV586" s="70"/>
      <c r="AW586" s="70"/>
      <c r="AX586" s="70"/>
      <c r="AY586" s="70"/>
      <c r="AZ586" s="70"/>
      <c r="BA586" s="70"/>
    </row>
    <row r="587" spans="3:53"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  <c r="AN587" s="70"/>
      <c r="AO587" s="70"/>
      <c r="AP587" s="70"/>
      <c r="AQ587" s="70"/>
      <c r="AR587" s="70"/>
      <c r="AS587" s="70"/>
      <c r="AT587" s="70"/>
      <c r="AU587" s="70"/>
      <c r="AV587" s="70"/>
      <c r="AW587" s="70"/>
      <c r="AX587" s="70"/>
      <c r="AY587" s="70"/>
      <c r="AZ587" s="70"/>
      <c r="BA587" s="70"/>
    </row>
    <row r="588" spans="3:53"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  <c r="AN588" s="70"/>
      <c r="AO588" s="70"/>
      <c r="AP588" s="70"/>
      <c r="AQ588" s="70"/>
      <c r="AR588" s="70"/>
      <c r="AS588" s="70"/>
      <c r="AT588" s="70"/>
      <c r="AU588" s="70"/>
      <c r="AV588" s="70"/>
      <c r="AW588" s="70"/>
      <c r="AX588" s="70"/>
      <c r="AY588" s="70"/>
      <c r="AZ588" s="70"/>
      <c r="BA588" s="70"/>
    </row>
    <row r="589" spans="3:53"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  <c r="AN589" s="70"/>
      <c r="AO589" s="70"/>
      <c r="AP589" s="70"/>
      <c r="AQ589" s="70"/>
      <c r="AR589" s="70"/>
      <c r="AS589" s="70"/>
      <c r="AT589" s="70"/>
      <c r="AU589" s="70"/>
      <c r="AV589" s="70"/>
      <c r="AW589" s="70"/>
      <c r="AX589" s="70"/>
      <c r="AY589" s="70"/>
      <c r="AZ589" s="70"/>
      <c r="BA589" s="70"/>
    </row>
    <row r="590" spans="3:53"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0"/>
      <c r="AU590" s="70"/>
      <c r="AV590" s="70"/>
      <c r="AW590" s="70"/>
      <c r="AX590" s="70"/>
      <c r="AY590" s="70"/>
      <c r="AZ590" s="70"/>
      <c r="BA590" s="70"/>
    </row>
    <row r="591" spans="3:53"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70"/>
      <c r="AS591" s="70"/>
      <c r="AT591" s="70"/>
      <c r="AU591" s="70"/>
      <c r="AV591" s="70"/>
      <c r="AW591" s="70"/>
      <c r="AX591" s="70"/>
      <c r="AY591" s="70"/>
      <c r="AZ591" s="70"/>
      <c r="BA591" s="70"/>
    </row>
    <row r="592" spans="3:53"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  <c r="AN592" s="70"/>
      <c r="AO592" s="70"/>
      <c r="AP592" s="70"/>
      <c r="AQ592" s="70"/>
      <c r="AR592" s="70"/>
      <c r="AS592" s="70"/>
      <c r="AT592" s="70"/>
      <c r="AU592" s="70"/>
      <c r="AV592" s="70"/>
      <c r="AW592" s="70"/>
      <c r="AX592" s="70"/>
      <c r="AY592" s="70"/>
      <c r="AZ592" s="70"/>
      <c r="BA592" s="70"/>
    </row>
    <row r="593" spans="3:53"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  <c r="AN593" s="70"/>
      <c r="AO593" s="70"/>
      <c r="AP593" s="70"/>
      <c r="AQ593" s="70"/>
      <c r="AR593" s="70"/>
      <c r="AS593" s="70"/>
      <c r="AT593" s="70"/>
      <c r="AU593" s="70"/>
      <c r="AV593" s="70"/>
      <c r="AW593" s="70"/>
      <c r="AX593" s="70"/>
      <c r="AY593" s="70"/>
      <c r="AZ593" s="70"/>
      <c r="BA593" s="70"/>
    </row>
    <row r="594" spans="3:53"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  <c r="AN594" s="70"/>
      <c r="AO594" s="70"/>
      <c r="AP594" s="70"/>
      <c r="AQ594" s="70"/>
      <c r="AR594" s="70"/>
      <c r="AS594" s="70"/>
      <c r="AT594" s="70"/>
      <c r="AU594" s="70"/>
      <c r="AV594" s="70"/>
      <c r="AW594" s="70"/>
      <c r="AX594" s="70"/>
      <c r="AY594" s="70"/>
      <c r="AZ594" s="70"/>
      <c r="BA594" s="70"/>
    </row>
    <row r="595" spans="3:53"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  <c r="AN595" s="70"/>
      <c r="AO595" s="70"/>
      <c r="AP595" s="70"/>
      <c r="AQ595" s="70"/>
      <c r="AR595" s="70"/>
      <c r="AS595" s="70"/>
      <c r="AT595" s="70"/>
      <c r="AU595" s="70"/>
      <c r="AV595" s="70"/>
      <c r="AW595" s="70"/>
      <c r="AX595" s="70"/>
      <c r="AY595" s="70"/>
      <c r="AZ595" s="70"/>
      <c r="BA595" s="70"/>
    </row>
    <row r="596" spans="3:53"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  <c r="AN596" s="70"/>
      <c r="AO596" s="70"/>
      <c r="AP596" s="70"/>
      <c r="AQ596" s="70"/>
      <c r="AR596" s="70"/>
      <c r="AS596" s="70"/>
      <c r="AT596" s="70"/>
      <c r="AU596" s="70"/>
      <c r="AV596" s="70"/>
      <c r="AW596" s="70"/>
      <c r="AX596" s="70"/>
      <c r="AY596" s="70"/>
      <c r="AZ596" s="70"/>
      <c r="BA596" s="70"/>
    </row>
    <row r="597" spans="3:53"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  <c r="AN597" s="70"/>
      <c r="AO597" s="70"/>
      <c r="AP597" s="70"/>
      <c r="AQ597" s="70"/>
      <c r="AR597" s="70"/>
      <c r="AS597" s="70"/>
      <c r="AT597" s="70"/>
      <c r="AU597" s="70"/>
      <c r="AV597" s="70"/>
      <c r="AW597" s="70"/>
      <c r="AX597" s="70"/>
      <c r="AY597" s="70"/>
      <c r="AZ597" s="70"/>
      <c r="BA597" s="70"/>
    </row>
    <row r="598" spans="3:53"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  <c r="AN598" s="70"/>
      <c r="AO598" s="70"/>
      <c r="AP598" s="70"/>
      <c r="AQ598" s="70"/>
      <c r="AR598" s="70"/>
      <c r="AS598" s="70"/>
      <c r="AT598" s="70"/>
      <c r="AU598" s="70"/>
      <c r="AV598" s="70"/>
      <c r="AW598" s="70"/>
      <c r="AX598" s="70"/>
      <c r="AY598" s="70"/>
      <c r="AZ598" s="70"/>
      <c r="BA598" s="70"/>
    </row>
    <row r="599" spans="3:53"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  <c r="AN599" s="70"/>
      <c r="AO599" s="70"/>
      <c r="AP599" s="70"/>
      <c r="AQ599" s="70"/>
      <c r="AR599" s="70"/>
      <c r="AS599" s="70"/>
      <c r="AT599" s="70"/>
      <c r="AU599" s="70"/>
      <c r="AV599" s="70"/>
      <c r="AW599" s="70"/>
      <c r="AX599" s="70"/>
      <c r="AY599" s="70"/>
      <c r="AZ599" s="70"/>
      <c r="BA599" s="70"/>
    </row>
    <row r="600" spans="3:53"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  <c r="AN600" s="70"/>
      <c r="AO600" s="70"/>
      <c r="AP600" s="70"/>
      <c r="AQ600" s="70"/>
      <c r="AR600" s="70"/>
      <c r="AS600" s="70"/>
      <c r="AT600" s="70"/>
      <c r="AU600" s="70"/>
      <c r="AV600" s="70"/>
      <c r="AW600" s="70"/>
      <c r="AX600" s="70"/>
      <c r="AY600" s="70"/>
      <c r="AZ600" s="70"/>
      <c r="BA600" s="70"/>
    </row>
    <row r="601" spans="3:53"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  <c r="AN601" s="70"/>
      <c r="AO601" s="70"/>
      <c r="AP601" s="70"/>
      <c r="AQ601" s="70"/>
      <c r="AR601" s="70"/>
      <c r="AS601" s="70"/>
      <c r="AT601" s="70"/>
      <c r="AU601" s="70"/>
      <c r="AV601" s="70"/>
      <c r="AW601" s="70"/>
      <c r="AX601" s="70"/>
      <c r="AY601" s="70"/>
      <c r="AZ601" s="70"/>
      <c r="BA601" s="70"/>
    </row>
    <row r="602" spans="3:53"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  <c r="AN602" s="70"/>
      <c r="AO602" s="70"/>
      <c r="AP602" s="70"/>
      <c r="AQ602" s="70"/>
      <c r="AR602" s="70"/>
      <c r="AS602" s="70"/>
      <c r="AT602" s="70"/>
      <c r="AU602" s="70"/>
      <c r="AV602" s="70"/>
      <c r="AW602" s="70"/>
      <c r="AX602" s="70"/>
      <c r="AY602" s="70"/>
      <c r="AZ602" s="70"/>
      <c r="BA602" s="70"/>
    </row>
    <row r="603" spans="3:53"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  <c r="AN603" s="70"/>
      <c r="AO603" s="70"/>
      <c r="AP603" s="70"/>
      <c r="AQ603" s="70"/>
      <c r="AR603" s="70"/>
      <c r="AS603" s="70"/>
      <c r="AT603" s="70"/>
      <c r="AU603" s="70"/>
      <c r="AV603" s="70"/>
      <c r="AW603" s="70"/>
      <c r="AX603" s="70"/>
      <c r="AY603" s="70"/>
      <c r="AZ603" s="70"/>
      <c r="BA603" s="70"/>
    </row>
    <row r="604" spans="3:53"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  <c r="AN604" s="70"/>
      <c r="AO604" s="70"/>
      <c r="AP604" s="70"/>
      <c r="AQ604" s="70"/>
      <c r="AR604" s="70"/>
      <c r="AS604" s="70"/>
      <c r="AT604" s="70"/>
      <c r="AU604" s="70"/>
      <c r="AV604" s="70"/>
      <c r="AW604" s="70"/>
      <c r="AX604" s="70"/>
      <c r="AY604" s="70"/>
      <c r="AZ604" s="70"/>
      <c r="BA604" s="70"/>
    </row>
    <row r="605" spans="3:53"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  <c r="AN605" s="70"/>
      <c r="AO605" s="70"/>
      <c r="AP605" s="70"/>
      <c r="AQ605" s="70"/>
      <c r="AR605" s="70"/>
      <c r="AS605" s="70"/>
      <c r="AT605" s="70"/>
      <c r="AU605" s="70"/>
      <c r="AV605" s="70"/>
      <c r="AW605" s="70"/>
      <c r="AX605" s="70"/>
      <c r="AY605" s="70"/>
      <c r="AZ605" s="70"/>
      <c r="BA605" s="70"/>
    </row>
    <row r="606" spans="3:53"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  <c r="AN606" s="70"/>
      <c r="AO606" s="70"/>
      <c r="AP606" s="70"/>
      <c r="AQ606" s="70"/>
      <c r="AR606" s="70"/>
      <c r="AS606" s="70"/>
      <c r="AT606" s="70"/>
      <c r="AU606" s="70"/>
      <c r="AV606" s="70"/>
      <c r="AW606" s="70"/>
      <c r="AX606" s="70"/>
      <c r="AY606" s="70"/>
      <c r="AZ606" s="70"/>
      <c r="BA606" s="70"/>
    </row>
    <row r="607" spans="3:53"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  <c r="AN607" s="70"/>
      <c r="AO607" s="70"/>
      <c r="AP607" s="70"/>
      <c r="AQ607" s="70"/>
      <c r="AR607" s="70"/>
      <c r="AS607" s="70"/>
      <c r="AT607" s="70"/>
      <c r="AU607" s="70"/>
      <c r="AV607" s="70"/>
      <c r="AW607" s="70"/>
      <c r="AX607" s="70"/>
      <c r="AY607" s="70"/>
      <c r="AZ607" s="70"/>
      <c r="BA607" s="70"/>
    </row>
    <row r="608" spans="3:53"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  <c r="AN608" s="70"/>
      <c r="AO608" s="70"/>
      <c r="AP608" s="70"/>
      <c r="AQ608" s="70"/>
      <c r="AR608" s="70"/>
      <c r="AS608" s="70"/>
      <c r="AT608" s="70"/>
      <c r="AU608" s="70"/>
      <c r="AV608" s="70"/>
      <c r="AW608" s="70"/>
      <c r="AX608" s="70"/>
      <c r="AY608" s="70"/>
      <c r="AZ608" s="70"/>
      <c r="BA608" s="70"/>
    </row>
    <row r="609" spans="3:53"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  <c r="AN609" s="70"/>
      <c r="AO609" s="70"/>
      <c r="AP609" s="70"/>
      <c r="AQ609" s="70"/>
      <c r="AR609" s="70"/>
      <c r="AS609" s="70"/>
      <c r="AT609" s="70"/>
      <c r="AU609" s="70"/>
      <c r="AV609" s="70"/>
      <c r="AW609" s="70"/>
      <c r="AX609" s="70"/>
      <c r="AY609" s="70"/>
      <c r="AZ609" s="70"/>
      <c r="BA609" s="70"/>
    </row>
    <row r="610" spans="3:53"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  <c r="AN610" s="70"/>
      <c r="AO610" s="70"/>
      <c r="AP610" s="70"/>
      <c r="AQ610" s="70"/>
      <c r="AR610" s="70"/>
      <c r="AS610" s="70"/>
      <c r="AT610" s="70"/>
      <c r="AU610" s="70"/>
      <c r="AV610" s="70"/>
      <c r="AW610" s="70"/>
      <c r="AX610" s="70"/>
      <c r="AY610" s="70"/>
      <c r="AZ610" s="70"/>
      <c r="BA610" s="70"/>
    </row>
    <row r="611" spans="3:53"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  <c r="AN611" s="70"/>
      <c r="AO611" s="70"/>
      <c r="AP611" s="70"/>
      <c r="AQ611" s="70"/>
      <c r="AR611" s="70"/>
      <c r="AS611" s="70"/>
      <c r="AT611" s="70"/>
      <c r="AU611" s="70"/>
      <c r="AV611" s="70"/>
      <c r="AW611" s="70"/>
      <c r="AX611" s="70"/>
      <c r="AY611" s="70"/>
      <c r="AZ611" s="70"/>
      <c r="BA611" s="70"/>
    </row>
    <row r="612" spans="3:53"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  <c r="AN612" s="70"/>
      <c r="AO612" s="70"/>
      <c r="AP612" s="70"/>
      <c r="AQ612" s="70"/>
      <c r="AR612" s="70"/>
      <c r="AS612" s="70"/>
      <c r="AT612" s="70"/>
      <c r="AU612" s="70"/>
      <c r="AV612" s="70"/>
      <c r="AW612" s="70"/>
      <c r="AX612" s="70"/>
      <c r="AY612" s="70"/>
      <c r="AZ612" s="70"/>
      <c r="BA612" s="70"/>
    </row>
    <row r="613" spans="3:53"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  <c r="AN613" s="70"/>
      <c r="AO613" s="70"/>
      <c r="AP613" s="70"/>
      <c r="AQ613" s="70"/>
      <c r="AR613" s="70"/>
      <c r="AS613" s="70"/>
      <c r="AT613" s="70"/>
      <c r="AU613" s="70"/>
      <c r="AV613" s="70"/>
      <c r="AW613" s="70"/>
      <c r="AX613" s="70"/>
      <c r="AY613" s="70"/>
      <c r="AZ613" s="70"/>
      <c r="BA613" s="70"/>
    </row>
    <row r="614" spans="3:53"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  <c r="AN614" s="70"/>
      <c r="AO614" s="70"/>
      <c r="AP614" s="70"/>
      <c r="AQ614" s="70"/>
      <c r="AR614" s="70"/>
      <c r="AS614" s="70"/>
      <c r="AT614" s="70"/>
      <c r="AU614" s="70"/>
      <c r="AV614" s="70"/>
      <c r="AW614" s="70"/>
      <c r="AX614" s="70"/>
      <c r="AY614" s="70"/>
      <c r="AZ614" s="70"/>
      <c r="BA614" s="70"/>
    </row>
    <row r="615" spans="3:53"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  <c r="AN615" s="70"/>
      <c r="AO615" s="70"/>
      <c r="AP615" s="70"/>
      <c r="AQ615" s="70"/>
      <c r="AR615" s="70"/>
      <c r="AS615" s="70"/>
      <c r="AT615" s="70"/>
      <c r="AU615" s="70"/>
      <c r="AV615" s="70"/>
      <c r="AW615" s="70"/>
      <c r="AX615" s="70"/>
      <c r="AY615" s="70"/>
      <c r="AZ615" s="70"/>
      <c r="BA615" s="70"/>
    </row>
    <row r="616" spans="3:53"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  <c r="AN616" s="70"/>
      <c r="AO616" s="70"/>
      <c r="AP616" s="70"/>
      <c r="AQ616" s="70"/>
      <c r="AR616" s="70"/>
      <c r="AS616" s="70"/>
      <c r="AT616" s="70"/>
      <c r="AU616" s="70"/>
      <c r="AV616" s="70"/>
      <c r="AW616" s="70"/>
      <c r="AX616" s="70"/>
      <c r="AY616" s="70"/>
      <c r="AZ616" s="70"/>
      <c r="BA616" s="70"/>
    </row>
    <row r="617" spans="3:53"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  <c r="AN617" s="70"/>
      <c r="AO617" s="70"/>
      <c r="AP617" s="70"/>
      <c r="AQ617" s="70"/>
      <c r="AR617" s="70"/>
      <c r="AS617" s="70"/>
      <c r="AT617" s="70"/>
      <c r="AU617" s="70"/>
      <c r="AV617" s="70"/>
      <c r="AW617" s="70"/>
      <c r="AX617" s="70"/>
      <c r="AY617" s="70"/>
      <c r="AZ617" s="70"/>
      <c r="BA617" s="70"/>
    </row>
    <row r="618" spans="3:53"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  <c r="AN618" s="70"/>
      <c r="AO618" s="70"/>
      <c r="AP618" s="70"/>
      <c r="AQ618" s="70"/>
      <c r="AR618" s="70"/>
      <c r="AS618" s="70"/>
      <c r="AT618" s="70"/>
      <c r="AU618" s="70"/>
      <c r="AV618" s="70"/>
      <c r="AW618" s="70"/>
      <c r="AX618" s="70"/>
      <c r="AY618" s="70"/>
      <c r="AZ618" s="70"/>
      <c r="BA618" s="70"/>
    </row>
    <row r="619" spans="3:53"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  <c r="AN619" s="70"/>
      <c r="AO619" s="70"/>
      <c r="AP619" s="70"/>
      <c r="AQ619" s="70"/>
      <c r="AR619" s="70"/>
      <c r="AS619" s="70"/>
      <c r="AT619" s="70"/>
      <c r="AU619" s="70"/>
      <c r="AV619" s="70"/>
      <c r="AW619" s="70"/>
      <c r="AX619" s="70"/>
      <c r="AY619" s="70"/>
      <c r="AZ619" s="70"/>
      <c r="BA619" s="70"/>
    </row>
    <row r="620" spans="3:53"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  <c r="AN620" s="70"/>
      <c r="AO620" s="70"/>
      <c r="AP620" s="70"/>
      <c r="AQ620" s="70"/>
      <c r="AR620" s="70"/>
      <c r="AS620" s="70"/>
      <c r="AT620" s="70"/>
      <c r="AU620" s="70"/>
      <c r="AV620" s="70"/>
      <c r="AW620" s="70"/>
      <c r="AX620" s="70"/>
      <c r="AY620" s="70"/>
      <c r="AZ620" s="70"/>
      <c r="BA620" s="70"/>
    </row>
    <row r="621" spans="3:53"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  <c r="AN621" s="70"/>
      <c r="AO621" s="70"/>
      <c r="AP621" s="70"/>
      <c r="AQ621" s="70"/>
      <c r="AR621" s="70"/>
      <c r="AS621" s="70"/>
      <c r="AT621" s="70"/>
      <c r="AU621" s="70"/>
      <c r="AV621" s="70"/>
      <c r="AW621" s="70"/>
      <c r="AX621" s="70"/>
      <c r="AY621" s="70"/>
      <c r="AZ621" s="70"/>
      <c r="BA621" s="70"/>
    </row>
    <row r="622" spans="3:53"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  <c r="AN622" s="70"/>
      <c r="AO622" s="70"/>
      <c r="AP622" s="70"/>
      <c r="AQ622" s="70"/>
      <c r="AR622" s="70"/>
      <c r="AS622" s="70"/>
      <c r="AT622" s="70"/>
      <c r="AU622" s="70"/>
      <c r="AV622" s="70"/>
      <c r="AW622" s="70"/>
      <c r="AX622" s="70"/>
      <c r="AY622" s="70"/>
      <c r="AZ622" s="70"/>
      <c r="BA622" s="70"/>
    </row>
    <row r="623" spans="3:53"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  <c r="AN623" s="70"/>
      <c r="AO623" s="70"/>
      <c r="AP623" s="70"/>
      <c r="AQ623" s="70"/>
      <c r="AR623" s="70"/>
      <c r="AS623" s="70"/>
      <c r="AT623" s="70"/>
      <c r="AU623" s="70"/>
      <c r="AV623" s="70"/>
      <c r="AW623" s="70"/>
      <c r="AX623" s="70"/>
      <c r="AY623" s="70"/>
      <c r="AZ623" s="70"/>
      <c r="BA623" s="70"/>
    </row>
    <row r="624" spans="3:53"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  <c r="AQ624" s="70"/>
      <c r="AR624" s="70"/>
      <c r="AS624" s="70"/>
      <c r="AT624" s="70"/>
      <c r="AU624" s="70"/>
      <c r="AV624" s="70"/>
      <c r="AW624" s="70"/>
      <c r="AX624" s="70"/>
      <c r="AY624" s="70"/>
      <c r="AZ624" s="70"/>
      <c r="BA624" s="70"/>
    </row>
    <row r="625" spans="3:53"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  <c r="AN625" s="70"/>
      <c r="AO625" s="70"/>
      <c r="AP625" s="70"/>
      <c r="AQ625" s="70"/>
      <c r="AR625" s="70"/>
      <c r="AS625" s="70"/>
      <c r="AT625" s="70"/>
      <c r="AU625" s="70"/>
      <c r="AV625" s="70"/>
      <c r="AW625" s="70"/>
      <c r="AX625" s="70"/>
      <c r="AY625" s="70"/>
      <c r="AZ625" s="70"/>
      <c r="BA625" s="70"/>
    </row>
    <row r="626" spans="3:53"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  <c r="AN626" s="70"/>
      <c r="AO626" s="70"/>
      <c r="AP626" s="70"/>
      <c r="AQ626" s="70"/>
      <c r="AR626" s="70"/>
      <c r="AS626" s="70"/>
      <c r="AT626" s="70"/>
      <c r="AU626" s="70"/>
      <c r="AV626" s="70"/>
      <c r="AW626" s="70"/>
      <c r="AX626" s="70"/>
      <c r="AY626" s="70"/>
      <c r="AZ626" s="70"/>
      <c r="BA626" s="70"/>
    </row>
    <row r="627" spans="3:53"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  <c r="AN627" s="70"/>
      <c r="AO627" s="70"/>
      <c r="AP627" s="70"/>
      <c r="AQ627" s="70"/>
      <c r="AR627" s="70"/>
      <c r="AS627" s="70"/>
      <c r="AT627" s="70"/>
      <c r="AU627" s="70"/>
      <c r="AV627" s="70"/>
      <c r="AW627" s="70"/>
      <c r="AX627" s="70"/>
      <c r="AY627" s="70"/>
      <c r="AZ627" s="70"/>
      <c r="BA627" s="70"/>
    </row>
    <row r="628" spans="3:53"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  <c r="AN628" s="70"/>
      <c r="AO628" s="70"/>
      <c r="AP628" s="70"/>
      <c r="AQ628" s="70"/>
      <c r="AR628" s="70"/>
      <c r="AS628" s="70"/>
      <c r="AT628" s="70"/>
      <c r="AU628" s="70"/>
      <c r="AV628" s="70"/>
      <c r="AW628" s="70"/>
      <c r="AX628" s="70"/>
      <c r="AY628" s="70"/>
      <c r="AZ628" s="70"/>
      <c r="BA628" s="70"/>
    </row>
    <row r="629" spans="3:53"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  <c r="AN629" s="70"/>
      <c r="AO629" s="70"/>
      <c r="AP629" s="70"/>
      <c r="AQ629" s="70"/>
      <c r="AR629" s="70"/>
      <c r="AS629" s="70"/>
      <c r="AT629" s="70"/>
      <c r="AU629" s="70"/>
      <c r="AV629" s="70"/>
      <c r="AW629" s="70"/>
      <c r="AX629" s="70"/>
      <c r="AY629" s="70"/>
      <c r="AZ629" s="70"/>
      <c r="BA629" s="70"/>
    </row>
    <row r="630" spans="3:53"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  <c r="AQ630" s="70"/>
      <c r="AR630" s="70"/>
      <c r="AS630" s="70"/>
      <c r="AT630" s="70"/>
      <c r="AU630" s="70"/>
      <c r="AV630" s="70"/>
      <c r="AW630" s="70"/>
      <c r="AX630" s="70"/>
      <c r="AY630" s="70"/>
      <c r="AZ630" s="70"/>
      <c r="BA630" s="70"/>
    </row>
    <row r="631" spans="3:53"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  <c r="AQ631" s="70"/>
      <c r="AR631" s="70"/>
      <c r="AS631" s="70"/>
      <c r="AT631" s="70"/>
      <c r="AU631" s="70"/>
      <c r="AV631" s="70"/>
      <c r="AW631" s="70"/>
      <c r="AX631" s="70"/>
      <c r="AY631" s="70"/>
      <c r="AZ631" s="70"/>
      <c r="BA631" s="70"/>
    </row>
    <row r="632" spans="3:53"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  <c r="AN632" s="70"/>
      <c r="AO632" s="70"/>
      <c r="AP632" s="70"/>
      <c r="AQ632" s="70"/>
      <c r="AR632" s="70"/>
      <c r="AS632" s="70"/>
      <c r="AT632" s="70"/>
      <c r="AU632" s="70"/>
      <c r="AV632" s="70"/>
      <c r="AW632" s="70"/>
      <c r="AX632" s="70"/>
      <c r="AY632" s="70"/>
      <c r="AZ632" s="70"/>
      <c r="BA632" s="70"/>
    </row>
    <row r="633" spans="3:53"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  <c r="AN633" s="70"/>
      <c r="AO633" s="70"/>
      <c r="AP633" s="70"/>
      <c r="AQ633" s="70"/>
      <c r="AR633" s="70"/>
      <c r="AS633" s="70"/>
      <c r="AT633" s="70"/>
      <c r="AU633" s="70"/>
      <c r="AV633" s="70"/>
      <c r="AW633" s="70"/>
      <c r="AX633" s="70"/>
      <c r="AY633" s="70"/>
      <c r="AZ633" s="70"/>
      <c r="BA633" s="70"/>
    </row>
    <row r="634" spans="3:53"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  <c r="AN634" s="70"/>
      <c r="AO634" s="70"/>
      <c r="AP634" s="70"/>
      <c r="AQ634" s="70"/>
      <c r="AR634" s="70"/>
      <c r="AS634" s="70"/>
      <c r="AT634" s="70"/>
      <c r="AU634" s="70"/>
      <c r="AV634" s="70"/>
      <c r="AW634" s="70"/>
      <c r="AX634" s="70"/>
      <c r="AY634" s="70"/>
      <c r="AZ634" s="70"/>
      <c r="BA634" s="70"/>
    </row>
    <row r="635" spans="3:53"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  <c r="AN635" s="70"/>
      <c r="AO635" s="70"/>
      <c r="AP635" s="70"/>
      <c r="AQ635" s="70"/>
      <c r="AR635" s="70"/>
      <c r="AS635" s="70"/>
      <c r="AT635" s="70"/>
      <c r="AU635" s="70"/>
      <c r="AV635" s="70"/>
      <c r="AW635" s="70"/>
      <c r="AX635" s="70"/>
      <c r="AY635" s="70"/>
      <c r="AZ635" s="70"/>
      <c r="BA635" s="70"/>
    </row>
    <row r="636" spans="3:53"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  <c r="AN636" s="70"/>
      <c r="AO636" s="70"/>
      <c r="AP636" s="70"/>
      <c r="AQ636" s="70"/>
      <c r="AR636" s="70"/>
      <c r="AS636" s="70"/>
      <c r="AT636" s="70"/>
      <c r="AU636" s="70"/>
      <c r="AV636" s="70"/>
      <c r="AW636" s="70"/>
      <c r="AX636" s="70"/>
      <c r="AY636" s="70"/>
      <c r="AZ636" s="70"/>
      <c r="BA636" s="70"/>
    </row>
    <row r="637" spans="3:53"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  <c r="AN637" s="70"/>
      <c r="AO637" s="70"/>
      <c r="AP637" s="70"/>
      <c r="AQ637" s="70"/>
      <c r="AR637" s="70"/>
      <c r="AS637" s="70"/>
      <c r="AT637" s="70"/>
      <c r="AU637" s="70"/>
      <c r="AV637" s="70"/>
      <c r="AW637" s="70"/>
      <c r="AX637" s="70"/>
      <c r="AY637" s="70"/>
      <c r="AZ637" s="70"/>
      <c r="BA637" s="70"/>
    </row>
    <row r="638" spans="3:53"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  <c r="AN638" s="70"/>
      <c r="AO638" s="70"/>
      <c r="AP638" s="70"/>
      <c r="AQ638" s="70"/>
      <c r="AR638" s="70"/>
      <c r="AS638" s="70"/>
      <c r="AT638" s="70"/>
      <c r="AU638" s="70"/>
      <c r="AV638" s="70"/>
      <c r="AW638" s="70"/>
      <c r="AX638" s="70"/>
      <c r="AY638" s="70"/>
      <c r="AZ638" s="70"/>
      <c r="BA638" s="70"/>
    </row>
    <row r="639" spans="3:53"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  <c r="AN639" s="70"/>
      <c r="AO639" s="70"/>
      <c r="AP639" s="70"/>
      <c r="AQ639" s="70"/>
      <c r="AR639" s="70"/>
      <c r="AS639" s="70"/>
      <c r="AT639" s="70"/>
      <c r="AU639" s="70"/>
      <c r="AV639" s="70"/>
      <c r="AW639" s="70"/>
      <c r="AX639" s="70"/>
      <c r="AY639" s="70"/>
      <c r="AZ639" s="70"/>
      <c r="BA639" s="70"/>
    </row>
    <row r="640" spans="3:53"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  <c r="AN640" s="70"/>
      <c r="AO640" s="70"/>
      <c r="AP640" s="70"/>
      <c r="AQ640" s="70"/>
      <c r="AR640" s="70"/>
      <c r="AS640" s="70"/>
      <c r="AT640" s="70"/>
      <c r="AU640" s="70"/>
      <c r="AV640" s="70"/>
      <c r="AW640" s="70"/>
      <c r="AX640" s="70"/>
      <c r="AY640" s="70"/>
      <c r="AZ640" s="70"/>
      <c r="BA640" s="70"/>
    </row>
    <row r="641" spans="3:53"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  <c r="AN641" s="70"/>
      <c r="AO641" s="70"/>
      <c r="AP641" s="70"/>
      <c r="AQ641" s="70"/>
      <c r="AR641" s="70"/>
      <c r="AS641" s="70"/>
      <c r="AT641" s="70"/>
      <c r="AU641" s="70"/>
      <c r="AV641" s="70"/>
      <c r="AW641" s="70"/>
      <c r="AX641" s="70"/>
      <c r="AY641" s="70"/>
      <c r="AZ641" s="70"/>
      <c r="BA641" s="70"/>
    </row>
    <row r="642" spans="3:53"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  <c r="AN642" s="70"/>
      <c r="AO642" s="70"/>
      <c r="AP642" s="70"/>
      <c r="AQ642" s="70"/>
      <c r="AR642" s="70"/>
      <c r="AS642" s="70"/>
      <c r="AT642" s="70"/>
      <c r="AU642" s="70"/>
      <c r="AV642" s="70"/>
      <c r="AW642" s="70"/>
      <c r="AX642" s="70"/>
      <c r="AY642" s="70"/>
      <c r="AZ642" s="70"/>
      <c r="BA642" s="70"/>
    </row>
    <row r="643" spans="3:53"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  <c r="AN643" s="70"/>
      <c r="AO643" s="70"/>
      <c r="AP643" s="70"/>
      <c r="AQ643" s="70"/>
      <c r="AR643" s="70"/>
      <c r="AS643" s="70"/>
      <c r="AT643" s="70"/>
      <c r="AU643" s="70"/>
      <c r="AV643" s="70"/>
      <c r="AW643" s="70"/>
      <c r="AX643" s="70"/>
      <c r="AY643" s="70"/>
      <c r="AZ643" s="70"/>
      <c r="BA643" s="70"/>
    </row>
    <row r="644" spans="3:53"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  <c r="AN644" s="70"/>
      <c r="AO644" s="70"/>
      <c r="AP644" s="70"/>
      <c r="AQ644" s="70"/>
      <c r="AR644" s="70"/>
      <c r="AS644" s="70"/>
      <c r="AT644" s="70"/>
      <c r="AU644" s="70"/>
      <c r="AV644" s="70"/>
      <c r="AW644" s="70"/>
      <c r="AX644" s="70"/>
      <c r="AY644" s="70"/>
      <c r="AZ644" s="70"/>
      <c r="BA644" s="70"/>
    </row>
    <row r="645" spans="3:53"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  <c r="AN645" s="70"/>
      <c r="AO645" s="70"/>
      <c r="AP645" s="70"/>
      <c r="AQ645" s="70"/>
      <c r="AR645" s="70"/>
      <c r="AS645" s="70"/>
      <c r="AT645" s="70"/>
      <c r="AU645" s="70"/>
      <c r="AV645" s="70"/>
      <c r="AW645" s="70"/>
      <c r="AX645" s="70"/>
      <c r="AY645" s="70"/>
      <c r="AZ645" s="70"/>
      <c r="BA645" s="70"/>
    </row>
    <row r="646" spans="3:53"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  <c r="AN646" s="70"/>
      <c r="AO646" s="70"/>
      <c r="AP646" s="70"/>
      <c r="AQ646" s="70"/>
      <c r="AR646" s="70"/>
      <c r="AS646" s="70"/>
      <c r="AT646" s="70"/>
      <c r="AU646" s="70"/>
      <c r="AV646" s="70"/>
      <c r="AW646" s="70"/>
      <c r="AX646" s="70"/>
      <c r="AY646" s="70"/>
      <c r="AZ646" s="70"/>
      <c r="BA646" s="70"/>
    </row>
    <row r="647" spans="3:53"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  <c r="AN647" s="70"/>
      <c r="AO647" s="70"/>
      <c r="AP647" s="70"/>
      <c r="AQ647" s="70"/>
      <c r="AR647" s="70"/>
      <c r="AS647" s="70"/>
      <c r="AT647" s="70"/>
      <c r="AU647" s="70"/>
      <c r="AV647" s="70"/>
      <c r="AW647" s="70"/>
      <c r="AX647" s="70"/>
      <c r="AY647" s="70"/>
      <c r="AZ647" s="70"/>
      <c r="BA647" s="70"/>
    </row>
    <row r="648" spans="3:53"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  <c r="AN648" s="70"/>
      <c r="AO648" s="70"/>
      <c r="AP648" s="70"/>
      <c r="AQ648" s="70"/>
      <c r="AR648" s="70"/>
      <c r="AS648" s="70"/>
      <c r="AT648" s="70"/>
      <c r="AU648" s="70"/>
      <c r="AV648" s="70"/>
      <c r="AW648" s="70"/>
      <c r="AX648" s="70"/>
      <c r="AY648" s="70"/>
      <c r="AZ648" s="70"/>
      <c r="BA648" s="70"/>
    </row>
    <row r="649" spans="3:53"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  <c r="AN649" s="70"/>
      <c r="AO649" s="70"/>
      <c r="AP649" s="70"/>
      <c r="AQ649" s="70"/>
      <c r="AR649" s="70"/>
      <c r="AS649" s="70"/>
      <c r="AT649" s="70"/>
      <c r="AU649" s="70"/>
      <c r="AV649" s="70"/>
      <c r="AW649" s="70"/>
      <c r="AX649" s="70"/>
      <c r="AY649" s="70"/>
      <c r="AZ649" s="70"/>
      <c r="BA649" s="70"/>
    </row>
    <row r="650" spans="3:53"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  <c r="AN650" s="70"/>
      <c r="AO650" s="70"/>
      <c r="AP650" s="70"/>
      <c r="AQ650" s="70"/>
      <c r="AR650" s="70"/>
      <c r="AS650" s="70"/>
      <c r="AT650" s="70"/>
      <c r="AU650" s="70"/>
      <c r="AV650" s="70"/>
      <c r="AW650" s="70"/>
      <c r="AX650" s="70"/>
      <c r="AY650" s="70"/>
      <c r="AZ650" s="70"/>
      <c r="BA650" s="70"/>
    </row>
    <row r="651" spans="3:53"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  <c r="AN651" s="70"/>
      <c r="AO651" s="70"/>
      <c r="AP651" s="70"/>
      <c r="AQ651" s="70"/>
      <c r="AR651" s="70"/>
      <c r="AS651" s="70"/>
      <c r="AT651" s="70"/>
      <c r="AU651" s="70"/>
      <c r="AV651" s="70"/>
      <c r="AW651" s="70"/>
      <c r="AX651" s="70"/>
      <c r="AY651" s="70"/>
      <c r="AZ651" s="70"/>
      <c r="BA651" s="70"/>
    </row>
    <row r="652" spans="3:53"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  <c r="AN652" s="70"/>
      <c r="AO652" s="70"/>
      <c r="AP652" s="70"/>
      <c r="AQ652" s="70"/>
      <c r="AR652" s="70"/>
      <c r="AS652" s="70"/>
      <c r="AT652" s="70"/>
      <c r="AU652" s="70"/>
      <c r="AV652" s="70"/>
      <c r="AW652" s="70"/>
      <c r="AX652" s="70"/>
      <c r="AY652" s="70"/>
      <c r="AZ652" s="70"/>
      <c r="BA652" s="70"/>
    </row>
    <row r="653" spans="3:53"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  <c r="AN653" s="70"/>
      <c r="AO653" s="70"/>
      <c r="AP653" s="70"/>
      <c r="AQ653" s="70"/>
      <c r="AR653" s="70"/>
      <c r="AS653" s="70"/>
      <c r="AT653" s="70"/>
      <c r="AU653" s="70"/>
      <c r="AV653" s="70"/>
      <c r="AW653" s="70"/>
      <c r="AX653" s="70"/>
      <c r="AY653" s="70"/>
      <c r="AZ653" s="70"/>
      <c r="BA653" s="70"/>
    </row>
    <row r="654" spans="3:53"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  <c r="AN654" s="70"/>
      <c r="AO654" s="70"/>
      <c r="AP654" s="70"/>
      <c r="AQ654" s="70"/>
      <c r="AR654" s="70"/>
      <c r="AS654" s="70"/>
      <c r="AT654" s="70"/>
      <c r="AU654" s="70"/>
      <c r="AV654" s="70"/>
      <c r="AW654" s="70"/>
      <c r="AX654" s="70"/>
      <c r="AY654" s="70"/>
      <c r="AZ654" s="70"/>
      <c r="BA654" s="70"/>
    </row>
    <row r="655" spans="3:53"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  <c r="AN655" s="70"/>
      <c r="AO655" s="70"/>
      <c r="AP655" s="70"/>
      <c r="AQ655" s="70"/>
      <c r="AR655" s="70"/>
      <c r="AS655" s="70"/>
      <c r="AT655" s="70"/>
      <c r="AU655" s="70"/>
      <c r="AV655" s="70"/>
      <c r="AW655" s="70"/>
      <c r="AX655" s="70"/>
      <c r="AY655" s="70"/>
      <c r="AZ655" s="70"/>
      <c r="BA655" s="70"/>
    </row>
    <row r="656" spans="3:53"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  <c r="AN656" s="70"/>
      <c r="AO656" s="70"/>
      <c r="AP656" s="70"/>
      <c r="AQ656" s="70"/>
      <c r="AR656" s="70"/>
      <c r="AS656" s="70"/>
      <c r="AT656" s="70"/>
      <c r="AU656" s="70"/>
      <c r="AV656" s="70"/>
      <c r="AW656" s="70"/>
      <c r="AX656" s="70"/>
      <c r="AY656" s="70"/>
      <c r="AZ656" s="70"/>
      <c r="BA656" s="70"/>
    </row>
    <row r="657" spans="3:53"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  <c r="AN657" s="70"/>
      <c r="AO657" s="70"/>
      <c r="AP657" s="70"/>
      <c r="AQ657" s="70"/>
      <c r="AR657" s="70"/>
      <c r="AS657" s="70"/>
      <c r="AT657" s="70"/>
      <c r="AU657" s="70"/>
      <c r="AV657" s="70"/>
      <c r="AW657" s="70"/>
      <c r="AX657" s="70"/>
      <c r="AY657" s="70"/>
      <c r="AZ657" s="70"/>
      <c r="BA657" s="70"/>
    </row>
    <row r="658" spans="3:53"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  <c r="AN658" s="70"/>
      <c r="AO658" s="70"/>
      <c r="AP658" s="70"/>
      <c r="AQ658" s="70"/>
      <c r="AR658" s="70"/>
      <c r="AS658" s="70"/>
      <c r="AT658" s="70"/>
      <c r="AU658" s="70"/>
      <c r="AV658" s="70"/>
      <c r="AW658" s="70"/>
      <c r="AX658" s="70"/>
      <c r="AY658" s="70"/>
      <c r="AZ658" s="70"/>
      <c r="BA658" s="70"/>
    </row>
    <row r="659" spans="3:53"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  <c r="AN659" s="70"/>
      <c r="AO659" s="70"/>
      <c r="AP659" s="70"/>
      <c r="AQ659" s="70"/>
      <c r="AR659" s="70"/>
      <c r="AS659" s="70"/>
      <c r="AT659" s="70"/>
      <c r="AU659" s="70"/>
      <c r="AV659" s="70"/>
      <c r="AW659" s="70"/>
      <c r="AX659" s="70"/>
      <c r="AY659" s="70"/>
      <c r="AZ659" s="70"/>
      <c r="BA659" s="70"/>
    </row>
    <row r="660" spans="3:53"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  <c r="AN660" s="70"/>
      <c r="AO660" s="70"/>
      <c r="AP660" s="70"/>
      <c r="AQ660" s="70"/>
      <c r="AR660" s="70"/>
      <c r="AS660" s="70"/>
      <c r="AT660" s="70"/>
      <c r="AU660" s="70"/>
      <c r="AV660" s="70"/>
      <c r="AW660" s="70"/>
      <c r="AX660" s="70"/>
      <c r="AY660" s="70"/>
      <c r="AZ660" s="70"/>
      <c r="BA660" s="70"/>
    </row>
    <row r="661" spans="3:53"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  <c r="AN661" s="70"/>
      <c r="AO661" s="70"/>
      <c r="AP661" s="70"/>
      <c r="AQ661" s="70"/>
      <c r="AR661" s="70"/>
      <c r="AS661" s="70"/>
      <c r="AT661" s="70"/>
      <c r="AU661" s="70"/>
      <c r="AV661" s="70"/>
      <c r="AW661" s="70"/>
      <c r="AX661" s="70"/>
      <c r="AY661" s="70"/>
      <c r="AZ661" s="70"/>
      <c r="BA661" s="70"/>
    </row>
    <row r="662" spans="3:53"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  <c r="AN662" s="70"/>
      <c r="AO662" s="70"/>
      <c r="AP662" s="70"/>
      <c r="AQ662" s="70"/>
      <c r="AR662" s="70"/>
      <c r="AS662" s="70"/>
      <c r="AT662" s="70"/>
      <c r="AU662" s="70"/>
      <c r="AV662" s="70"/>
      <c r="AW662" s="70"/>
      <c r="AX662" s="70"/>
      <c r="AY662" s="70"/>
      <c r="AZ662" s="70"/>
      <c r="BA662" s="70"/>
    </row>
    <row r="663" spans="3:53"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  <c r="AN663" s="70"/>
      <c r="AO663" s="70"/>
      <c r="AP663" s="70"/>
      <c r="AQ663" s="70"/>
      <c r="AR663" s="70"/>
      <c r="AS663" s="70"/>
      <c r="AT663" s="70"/>
      <c r="AU663" s="70"/>
      <c r="AV663" s="70"/>
      <c r="AW663" s="70"/>
      <c r="AX663" s="70"/>
      <c r="AY663" s="70"/>
      <c r="AZ663" s="70"/>
      <c r="BA663" s="70"/>
    </row>
    <row r="664" spans="3:53"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0"/>
      <c r="AU664" s="70"/>
      <c r="AV664" s="70"/>
      <c r="AW664" s="70"/>
      <c r="AX664" s="70"/>
      <c r="AY664" s="70"/>
      <c r="AZ664" s="70"/>
      <c r="BA664" s="70"/>
    </row>
    <row r="665" spans="3:53"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  <c r="AN665" s="70"/>
      <c r="AO665" s="70"/>
      <c r="AP665" s="70"/>
      <c r="AQ665" s="70"/>
      <c r="AR665" s="70"/>
      <c r="AS665" s="70"/>
      <c r="AT665" s="70"/>
      <c r="AU665" s="70"/>
      <c r="AV665" s="70"/>
      <c r="AW665" s="70"/>
      <c r="AX665" s="70"/>
      <c r="AY665" s="70"/>
      <c r="AZ665" s="70"/>
      <c r="BA665" s="70"/>
    </row>
    <row r="666" spans="3:53"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  <c r="AQ666" s="70"/>
      <c r="AR666" s="70"/>
      <c r="AS666" s="70"/>
      <c r="AT666" s="70"/>
      <c r="AU666" s="70"/>
      <c r="AV666" s="70"/>
      <c r="AW666" s="70"/>
      <c r="AX666" s="70"/>
      <c r="AY666" s="70"/>
      <c r="AZ666" s="70"/>
      <c r="BA666" s="70"/>
    </row>
    <row r="667" spans="3:53"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  <c r="AN667" s="70"/>
      <c r="AO667" s="70"/>
      <c r="AP667" s="70"/>
      <c r="AQ667" s="70"/>
      <c r="AR667" s="70"/>
      <c r="AS667" s="70"/>
      <c r="AT667" s="70"/>
      <c r="AU667" s="70"/>
      <c r="AV667" s="70"/>
      <c r="AW667" s="70"/>
      <c r="AX667" s="70"/>
      <c r="AY667" s="70"/>
      <c r="AZ667" s="70"/>
      <c r="BA667" s="70"/>
    </row>
    <row r="668" spans="3:53"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  <c r="AN668" s="70"/>
      <c r="AO668" s="70"/>
      <c r="AP668" s="70"/>
      <c r="AQ668" s="70"/>
      <c r="AR668" s="70"/>
      <c r="AS668" s="70"/>
      <c r="AT668" s="70"/>
      <c r="AU668" s="70"/>
      <c r="AV668" s="70"/>
      <c r="AW668" s="70"/>
      <c r="AX668" s="70"/>
      <c r="AY668" s="70"/>
      <c r="AZ668" s="70"/>
      <c r="BA668" s="70"/>
    </row>
    <row r="669" spans="3:53"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  <c r="AN669" s="70"/>
      <c r="AO669" s="70"/>
      <c r="AP669" s="70"/>
      <c r="AQ669" s="70"/>
      <c r="AR669" s="70"/>
      <c r="AS669" s="70"/>
      <c r="AT669" s="70"/>
      <c r="AU669" s="70"/>
      <c r="AV669" s="70"/>
      <c r="AW669" s="70"/>
      <c r="AX669" s="70"/>
      <c r="AY669" s="70"/>
      <c r="AZ669" s="70"/>
      <c r="BA669" s="70"/>
    </row>
    <row r="670" spans="3:53"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  <c r="AN670" s="70"/>
      <c r="AO670" s="70"/>
      <c r="AP670" s="70"/>
      <c r="AQ670" s="70"/>
      <c r="AR670" s="70"/>
      <c r="AS670" s="70"/>
      <c r="AT670" s="70"/>
      <c r="AU670" s="70"/>
      <c r="AV670" s="70"/>
      <c r="AW670" s="70"/>
      <c r="AX670" s="70"/>
      <c r="AY670" s="70"/>
      <c r="AZ670" s="70"/>
      <c r="BA670" s="70"/>
    </row>
    <row r="671" spans="3:53"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  <c r="AN671" s="70"/>
      <c r="AO671" s="70"/>
      <c r="AP671" s="70"/>
      <c r="AQ671" s="70"/>
      <c r="AR671" s="70"/>
      <c r="AS671" s="70"/>
      <c r="AT671" s="70"/>
      <c r="AU671" s="70"/>
      <c r="AV671" s="70"/>
      <c r="AW671" s="70"/>
      <c r="AX671" s="70"/>
      <c r="AY671" s="70"/>
      <c r="AZ671" s="70"/>
      <c r="BA671" s="70"/>
    </row>
    <row r="672" spans="3:53"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  <c r="AN672" s="70"/>
      <c r="AO672" s="70"/>
      <c r="AP672" s="70"/>
      <c r="AQ672" s="70"/>
      <c r="AR672" s="70"/>
      <c r="AS672" s="70"/>
      <c r="AT672" s="70"/>
      <c r="AU672" s="70"/>
      <c r="AV672" s="70"/>
      <c r="AW672" s="70"/>
      <c r="AX672" s="70"/>
      <c r="AY672" s="70"/>
      <c r="AZ672" s="70"/>
      <c r="BA672" s="70"/>
    </row>
    <row r="673" spans="3:53"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  <c r="AN673" s="70"/>
      <c r="AO673" s="70"/>
      <c r="AP673" s="70"/>
      <c r="AQ673" s="70"/>
      <c r="AR673" s="70"/>
      <c r="AS673" s="70"/>
      <c r="AT673" s="70"/>
      <c r="AU673" s="70"/>
      <c r="AV673" s="70"/>
      <c r="AW673" s="70"/>
      <c r="AX673" s="70"/>
      <c r="AY673" s="70"/>
      <c r="AZ673" s="70"/>
      <c r="BA673" s="70"/>
    </row>
    <row r="674" spans="3:53"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  <c r="AN674" s="70"/>
      <c r="AO674" s="70"/>
      <c r="AP674" s="70"/>
      <c r="AQ674" s="70"/>
      <c r="AR674" s="70"/>
      <c r="AS674" s="70"/>
      <c r="AT674" s="70"/>
      <c r="AU674" s="70"/>
      <c r="AV674" s="70"/>
      <c r="AW674" s="70"/>
      <c r="AX674" s="70"/>
      <c r="AY674" s="70"/>
      <c r="AZ674" s="70"/>
      <c r="BA674" s="70"/>
    </row>
    <row r="675" spans="3:53"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  <c r="AN675" s="70"/>
      <c r="AO675" s="70"/>
      <c r="AP675" s="70"/>
      <c r="AQ675" s="70"/>
      <c r="AR675" s="70"/>
      <c r="AS675" s="70"/>
      <c r="AT675" s="70"/>
      <c r="AU675" s="70"/>
      <c r="AV675" s="70"/>
      <c r="AW675" s="70"/>
      <c r="AX675" s="70"/>
      <c r="AY675" s="70"/>
      <c r="AZ675" s="70"/>
      <c r="BA675" s="70"/>
    </row>
    <row r="676" spans="3:53"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  <c r="AN676" s="70"/>
      <c r="AO676" s="70"/>
      <c r="AP676" s="70"/>
      <c r="AQ676" s="70"/>
      <c r="AR676" s="70"/>
      <c r="AS676" s="70"/>
      <c r="AT676" s="70"/>
      <c r="AU676" s="70"/>
      <c r="AV676" s="70"/>
      <c r="AW676" s="70"/>
      <c r="AX676" s="70"/>
      <c r="AY676" s="70"/>
      <c r="AZ676" s="70"/>
      <c r="BA676" s="70"/>
    </row>
    <row r="677" spans="3:53"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  <c r="AN677" s="70"/>
      <c r="AO677" s="70"/>
      <c r="AP677" s="70"/>
      <c r="AQ677" s="70"/>
      <c r="AR677" s="70"/>
      <c r="AS677" s="70"/>
      <c r="AT677" s="70"/>
      <c r="AU677" s="70"/>
      <c r="AV677" s="70"/>
      <c r="AW677" s="70"/>
      <c r="AX677" s="70"/>
      <c r="AY677" s="70"/>
      <c r="AZ677" s="70"/>
      <c r="BA677" s="70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7"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106"/>
  <sheetViews>
    <sheetView zoomScaleNormal="100" workbookViewId="0">
      <selection activeCell="E21" activeCellId="3" sqref="C13:C16 E13:E16 E19 E21"/>
    </sheetView>
  </sheetViews>
  <sheetFormatPr defaultColWidth="11.5" defaultRowHeight="12.75"/>
  <cols>
    <col min="1" max="1" width="8.33203125" style="3" customWidth="1"/>
    <col min="2" max="2" width="46" style="3" customWidth="1"/>
    <col min="3" max="3" width="17.1640625" style="3" customWidth="1"/>
    <col min="4" max="4" width="11.5" style="3" customWidth="1"/>
    <col min="5" max="5" width="14.33203125" style="3" customWidth="1"/>
    <col min="6" max="6" width="13.5" style="3" customWidth="1"/>
    <col min="7" max="7" width="12.83203125" style="3" customWidth="1"/>
    <col min="8" max="8" width="11.83203125" style="3" customWidth="1"/>
    <col min="9" max="253" width="8.83203125" style="3" customWidth="1"/>
    <col min="254" max="16384" width="11.5" style="3"/>
  </cols>
  <sheetData>
    <row r="1" spans="1:7">
      <c r="A1" s="2" t="s">
        <v>1</v>
      </c>
    </row>
    <row r="2" spans="1:7" ht="15.75">
      <c r="A2" s="28"/>
      <c r="B2" s="249" t="s">
        <v>151</v>
      </c>
      <c r="C2" s="153"/>
      <c r="D2" s="153"/>
      <c r="E2" s="153"/>
      <c r="F2" s="153"/>
    </row>
    <row r="3" spans="1:7" ht="15.75">
      <c r="A3" s="28"/>
      <c r="B3" s="249" t="s">
        <v>26</v>
      </c>
      <c r="C3" s="153"/>
      <c r="D3" s="153"/>
      <c r="E3" s="153"/>
      <c r="F3" s="153"/>
    </row>
    <row r="4" spans="1:7" ht="15.75" customHeight="1">
      <c r="B4" s="250" t="str">
        <f>'New Format'!B5</f>
        <v>For The 12 Months Ending December 31, 2022</v>
      </c>
      <c r="C4" s="154"/>
      <c r="D4" s="154"/>
      <c r="E4" s="154"/>
      <c r="F4" s="154"/>
    </row>
    <row r="5" spans="1:7" ht="12.75" customHeight="1">
      <c r="B5" s="4"/>
      <c r="C5" s="4"/>
      <c r="D5" s="5"/>
      <c r="E5" s="5"/>
      <c r="F5" s="5"/>
    </row>
    <row r="6" spans="1:7">
      <c r="A6" s="2" t="s">
        <v>1</v>
      </c>
    </row>
    <row r="7" spans="1:7">
      <c r="A7" s="2" t="s">
        <v>1</v>
      </c>
      <c r="C7" s="3" t="s">
        <v>1</v>
      </c>
    </row>
    <row r="8" spans="1:7">
      <c r="A8" s="2">
        <v>1</v>
      </c>
      <c r="B8" s="57" t="s">
        <v>2</v>
      </c>
      <c r="C8" s="57" t="s">
        <v>19</v>
      </c>
      <c r="D8" s="57" t="s">
        <v>34</v>
      </c>
      <c r="E8" s="57" t="s">
        <v>45</v>
      </c>
      <c r="F8" s="57" t="s">
        <v>46</v>
      </c>
      <c r="G8" s="55"/>
    </row>
    <row r="9" spans="1:7">
      <c r="A9" s="2">
        <f t="shared" ref="A9:A28" si="0">A8+1</f>
        <v>2</v>
      </c>
      <c r="B9" s="56"/>
      <c r="C9" s="57"/>
      <c r="D9" s="56"/>
      <c r="E9" s="56"/>
      <c r="F9" s="56"/>
      <c r="G9" s="55"/>
    </row>
    <row r="10" spans="1:7">
      <c r="A10" s="2">
        <f t="shared" si="0"/>
        <v>3</v>
      </c>
      <c r="B10" s="56"/>
      <c r="C10" s="57" t="s">
        <v>35</v>
      </c>
      <c r="D10" s="57" t="s">
        <v>27</v>
      </c>
      <c r="E10" s="57" t="s">
        <v>15</v>
      </c>
      <c r="F10" s="57" t="s">
        <v>8</v>
      </c>
      <c r="G10" s="55"/>
    </row>
    <row r="11" spans="1:7">
      <c r="A11" s="2">
        <f t="shared" si="0"/>
        <v>4</v>
      </c>
      <c r="B11" s="58" t="s">
        <v>6</v>
      </c>
      <c r="C11" s="58" t="s">
        <v>59</v>
      </c>
      <c r="D11" s="58" t="s">
        <v>16</v>
      </c>
      <c r="E11" s="58" t="s">
        <v>17</v>
      </c>
      <c r="F11" s="58" t="s">
        <v>16</v>
      </c>
      <c r="G11" s="55"/>
    </row>
    <row r="12" spans="1:7">
      <c r="A12" s="2">
        <f t="shared" si="0"/>
        <v>5</v>
      </c>
      <c r="B12" s="59"/>
      <c r="C12" s="60"/>
      <c r="D12" s="60"/>
      <c r="E12" s="61"/>
      <c r="F12" s="60"/>
      <c r="G12" s="55"/>
    </row>
    <row r="13" spans="1:7">
      <c r="A13" s="2">
        <f t="shared" si="0"/>
        <v>6</v>
      </c>
      <c r="B13" s="59" t="s">
        <v>25</v>
      </c>
      <c r="C13" s="367">
        <f>'Pg 4 STD OS &amp; Comm Fees'!C11</f>
        <v>0</v>
      </c>
      <c r="D13" s="161" t="str">
        <f>IF(E13=0,"NA",(E13/C13))</f>
        <v>NA</v>
      </c>
      <c r="E13" s="367">
        <f>'Pg 4 STD OS &amp; Comm Fees'!D11</f>
        <v>0</v>
      </c>
      <c r="F13" s="62"/>
      <c r="G13" s="55"/>
    </row>
    <row r="14" spans="1:7">
      <c r="A14" s="2">
        <f t="shared" si="0"/>
        <v>7</v>
      </c>
      <c r="B14" s="55"/>
      <c r="C14" s="368">
        <f>'Pg 4 STD OS &amp; Comm Fees'!C12</f>
        <v>0</v>
      </c>
      <c r="D14" s="161" t="str">
        <f>IF(E14=0,"NA",(E14/C14))</f>
        <v>NA</v>
      </c>
      <c r="E14" s="367">
        <f>'Pg 4 STD OS &amp; Comm Fees'!D12</f>
        <v>0</v>
      </c>
      <c r="F14" s="62"/>
      <c r="G14" s="55"/>
    </row>
    <row r="15" spans="1:7">
      <c r="A15" s="2">
        <f t="shared" si="0"/>
        <v>8</v>
      </c>
      <c r="B15" s="55"/>
      <c r="C15" s="368">
        <f>'Pg 4 STD OS &amp; Comm Fees'!C13</f>
        <v>0</v>
      </c>
      <c r="D15" s="161" t="str">
        <f>IF(E15=0,"NA",(E15/C15))</f>
        <v>NA</v>
      </c>
      <c r="E15" s="367">
        <f>'Pg 4 STD OS &amp; Comm Fees'!D13</f>
        <v>0</v>
      </c>
      <c r="F15" s="62"/>
      <c r="G15" s="55"/>
    </row>
    <row r="16" spans="1:7">
      <c r="A16" s="2">
        <f t="shared" si="0"/>
        <v>9</v>
      </c>
      <c r="B16" s="343" t="s">
        <v>157</v>
      </c>
      <c r="C16" s="368">
        <f>'Pg 4 STD OS &amp; Comm Fees'!C14</f>
        <v>52406250</v>
      </c>
      <c r="D16" s="161">
        <f>IF(E16=0,"NA",(E16/C16))</f>
        <v>3.2970492450805008E-2</v>
      </c>
      <c r="E16" s="367">
        <f>'Pg 4 STD OS &amp; Comm Fees'!D14</f>
        <v>1727859.87</v>
      </c>
    </row>
    <row r="17" spans="1:7">
      <c r="A17" s="2">
        <f t="shared" si="0"/>
        <v>10</v>
      </c>
      <c r="B17" s="243" t="s">
        <v>116</v>
      </c>
      <c r="C17" s="245">
        <f>SUM(C13:C16)</f>
        <v>52406250</v>
      </c>
      <c r="D17" s="246">
        <f>IF(E17=0,"NA",(E17/C17))</f>
        <v>3.2970492450805008E-2</v>
      </c>
      <c r="E17" s="244">
        <f>SUM(E13:E16)</f>
        <v>1727859.87</v>
      </c>
      <c r="F17" s="62">
        <f>E17/C23</f>
        <v>3.2970492450805008E-2</v>
      </c>
      <c r="G17" s="55"/>
    </row>
    <row r="18" spans="1:7">
      <c r="A18" s="2">
        <f t="shared" si="0"/>
        <v>11</v>
      </c>
      <c r="B18" s="55"/>
      <c r="C18" s="68"/>
      <c r="D18" s="161"/>
      <c r="E18" s="63"/>
      <c r="F18" s="55"/>
      <c r="G18" s="55"/>
    </row>
    <row r="19" spans="1:7">
      <c r="A19" s="2">
        <f t="shared" si="0"/>
        <v>12</v>
      </c>
      <c r="B19" s="59" t="s">
        <v>36</v>
      </c>
      <c r="C19" s="69"/>
      <c r="D19" s="69"/>
      <c r="E19" s="367">
        <f>'Pg 4 STD OS &amp; Comm Fees'!F16</f>
        <v>150667.45000000001</v>
      </c>
      <c r="F19" s="62">
        <f>E19/C23</f>
        <v>2.8749901013714971E-3</v>
      </c>
      <c r="G19" s="146" t="s">
        <v>58</v>
      </c>
    </row>
    <row r="20" spans="1:7">
      <c r="A20" s="2">
        <f t="shared" si="0"/>
        <v>13</v>
      </c>
      <c r="B20" s="59"/>
      <c r="C20" s="64"/>
      <c r="D20" s="64"/>
      <c r="E20" s="67"/>
      <c r="F20" s="62"/>
      <c r="G20" s="55"/>
    </row>
    <row r="21" spans="1:7">
      <c r="A21" s="2">
        <f t="shared" si="0"/>
        <v>14</v>
      </c>
      <c r="B21" s="59" t="s">
        <v>37</v>
      </c>
      <c r="C21" s="64"/>
      <c r="D21" s="64"/>
      <c r="E21" s="367">
        <f>-'Pg 5 STD Amort'!H27</f>
        <v>86553.94</v>
      </c>
      <c r="F21" s="62">
        <f>E21/C23</f>
        <v>1.6515957543231962E-3</v>
      </c>
      <c r="G21" s="146" t="s">
        <v>78</v>
      </c>
    </row>
    <row r="22" spans="1:7" ht="13.5" thickBot="1">
      <c r="A22" s="2">
        <f t="shared" si="0"/>
        <v>15</v>
      </c>
      <c r="B22" s="55"/>
      <c r="C22" s="63"/>
      <c r="D22" s="63"/>
      <c r="E22" s="67"/>
      <c r="G22" s="55"/>
    </row>
    <row r="23" spans="1:7" ht="13.5" thickBot="1">
      <c r="A23" s="2">
        <f t="shared" si="0"/>
        <v>16</v>
      </c>
      <c r="B23" s="65" t="s">
        <v>28</v>
      </c>
      <c r="C23" s="66">
        <f>C17</f>
        <v>52406250</v>
      </c>
      <c r="D23" s="66"/>
      <c r="E23" s="66">
        <f>SUM(E17:E22)</f>
        <v>1965081.26</v>
      </c>
      <c r="F23" s="164">
        <f>E23/C23</f>
        <v>3.7497078306499704E-2</v>
      </c>
      <c r="G23" s="55"/>
    </row>
    <row r="24" spans="1:7">
      <c r="A24" s="2">
        <f t="shared" si="0"/>
        <v>17</v>
      </c>
      <c r="B24" s="55"/>
      <c r="C24" s="55"/>
      <c r="D24" s="55"/>
      <c r="E24" s="55"/>
      <c r="F24" s="55"/>
      <c r="G24" s="55"/>
    </row>
    <row r="25" spans="1:7">
      <c r="A25" s="2">
        <f t="shared" si="0"/>
        <v>18</v>
      </c>
      <c r="F25" s="7"/>
    </row>
    <row r="26" spans="1:7">
      <c r="A26" s="2">
        <f t="shared" si="0"/>
        <v>19</v>
      </c>
      <c r="B26" s="100" t="s">
        <v>129</v>
      </c>
      <c r="C26" s="101"/>
      <c r="D26" s="101"/>
      <c r="E26" s="101"/>
      <c r="F26" s="59"/>
    </row>
    <row r="27" spans="1:7">
      <c r="A27" s="2">
        <f t="shared" si="0"/>
        <v>20</v>
      </c>
      <c r="B27" s="100" t="s">
        <v>110</v>
      </c>
      <c r="C27" s="101"/>
      <c r="D27" s="101"/>
      <c r="E27" s="101"/>
      <c r="F27" s="59"/>
    </row>
    <row r="28" spans="1:7">
      <c r="A28" s="2">
        <f t="shared" si="0"/>
        <v>21</v>
      </c>
      <c r="B28" s="100" t="s">
        <v>128</v>
      </c>
      <c r="C28" s="59"/>
      <c r="D28" s="59"/>
      <c r="E28" s="59"/>
      <c r="F28" s="59"/>
    </row>
    <row r="29" spans="1:7">
      <c r="A29" s="2"/>
      <c r="B29" s="100"/>
    </row>
    <row r="30" spans="1:7">
      <c r="A30" s="2"/>
      <c r="B30" s="6"/>
    </row>
    <row r="31" spans="1:7">
      <c r="A31" s="2"/>
      <c r="B31" s="6"/>
    </row>
    <row r="32" spans="1:7">
      <c r="A32" s="2" t="s">
        <v>1</v>
      </c>
    </row>
    <row r="33" spans="1:6" ht="12.75" customHeight="1">
      <c r="A33" s="2"/>
    </row>
    <row r="34" spans="1:6">
      <c r="A34" s="2" t="s">
        <v>1</v>
      </c>
      <c r="F34" s="7"/>
    </row>
    <row r="35" spans="1:6">
      <c r="A35" s="2" t="s">
        <v>1</v>
      </c>
      <c r="F35" s="7"/>
    </row>
    <row r="36" spans="1:6">
      <c r="F36" s="7"/>
    </row>
    <row r="40" spans="1:6">
      <c r="D40" s="8"/>
      <c r="F40" s="7"/>
    </row>
    <row r="41" spans="1:6">
      <c r="D41" s="8"/>
      <c r="F41" s="7"/>
    </row>
    <row r="42" spans="1:6">
      <c r="D42" s="8"/>
      <c r="F42" s="7"/>
    </row>
    <row r="43" spans="1:6">
      <c r="D43" s="8"/>
      <c r="F43" s="7"/>
    </row>
    <row r="54" spans="2:2">
      <c r="B54" s="8"/>
    </row>
    <row r="55" spans="2:2">
      <c r="B55" s="6"/>
    </row>
    <row r="72" spans="6:6">
      <c r="F72" s="7"/>
    </row>
    <row r="83" spans="4:4">
      <c r="D83" s="8"/>
    </row>
    <row r="85" spans="4:4">
      <c r="D85" s="8"/>
    </row>
    <row r="88" spans="4:4">
      <c r="D88" s="8"/>
    </row>
    <row r="89" spans="4:4">
      <c r="D89" s="8"/>
    </row>
    <row r="94" spans="4:4">
      <c r="D94" s="8"/>
    </row>
    <row r="95" spans="4:4">
      <c r="D95" s="8"/>
    </row>
    <row r="102" spans="3:3">
      <c r="C102" s="9"/>
    </row>
    <row r="103" spans="3:3">
      <c r="C103" s="10"/>
    </row>
    <row r="105" spans="3:3">
      <c r="C105" s="9"/>
    </row>
    <row r="106" spans="3:3">
      <c r="C106" s="7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S40"/>
  <sheetViews>
    <sheetView zoomScaleNormal="100" workbookViewId="0">
      <selection activeCell="C14" activeCellId="2" sqref="M40 F18 C14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29"/>
      <c r="B1" s="30" t="s">
        <v>151</v>
      </c>
      <c r="C1" s="30"/>
      <c r="D1" s="29"/>
      <c r="E1" s="29"/>
      <c r="F1" s="29"/>
      <c r="G1" s="30"/>
      <c r="H1" s="30"/>
      <c r="I1" s="30"/>
      <c r="J1" s="30"/>
      <c r="K1" s="29"/>
      <c r="L1" s="29"/>
      <c r="M1" s="29"/>
      <c r="N1" s="29"/>
      <c r="O1" s="29"/>
    </row>
    <row r="2" spans="1:15" ht="12">
      <c r="A2" s="29"/>
      <c r="B2" s="30" t="s">
        <v>29</v>
      </c>
      <c r="C2" s="30"/>
      <c r="D2" s="29"/>
      <c r="E2" s="29"/>
      <c r="F2" s="29"/>
      <c r="G2" s="30"/>
      <c r="H2" s="30"/>
      <c r="I2" s="30"/>
      <c r="J2" s="30"/>
      <c r="K2" s="31"/>
      <c r="L2" s="29"/>
      <c r="N2" s="29"/>
      <c r="O2" s="29"/>
    </row>
    <row r="3" spans="1:15" ht="12.75">
      <c r="A3" s="29"/>
      <c r="B3" s="201" t="str">
        <f>'New Format'!B5</f>
        <v>For The 12 Months Ending December 31, 2022</v>
      </c>
      <c r="C3" s="193"/>
      <c r="D3" s="194"/>
      <c r="E3" s="194"/>
      <c r="F3" s="194"/>
      <c r="G3" s="195"/>
      <c r="H3" s="195"/>
      <c r="I3" s="195"/>
      <c r="J3" s="195"/>
      <c r="K3" s="29"/>
      <c r="L3" s="29"/>
      <c r="N3" s="29"/>
      <c r="O3" s="29"/>
    </row>
    <row r="4" spans="1:15" ht="12">
      <c r="A4" s="29"/>
      <c r="B4" s="30"/>
      <c r="C4" s="36"/>
      <c r="D4" s="29"/>
      <c r="E4" s="29"/>
      <c r="F4" s="29"/>
      <c r="G4" s="29"/>
      <c r="H4" s="29"/>
      <c r="I4" s="29"/>
      <c r="J4" s="29"/>
      <c r="K4" s="29"/>
      <c r="L4" s="29"/>
      <c r="N4" s="29"/>
      <c r="O4" s="29"/>
    </row>
    <row r="5" spans="1:15" ht="13.5" thickBot="1">
      <c r="A5" s="147">
        <v>1</v>
      </c>
      <c r="B5" s="57" t="s">
        <v>2</v>
      </c>
      <c r="C5" s="57" t="s">
        <v>19</v>
      </c>
      <c r="D5" s="57" t="s">
        <v>34</v>
      </c>
      <c r="E5" s="57" t="s">
        <v>45</v>
      </c>
      <c r="F5" s="57" t="s">
        <v>46</v>
      </c>
      <c r="G5" s="57" t="s">
        <v>47</v>
      </c>
      <c r="H5" s="57" t="s">
        <v>48</v>
      </c>
      <c r="I5" s="57" t="s">
        <v>49</v>
      </c>
      <c r="J5" s="57" t="s">
        <v>50</v>
      </c>
      <c r="K5" s="57"/>
      <c r="L5" s="57"/>
      <c r="N5" s="29"/>
      <c r="O5" s="29"/>
    </row>
    <row r="6" spans="1:15" ht="12">
      <c r="A6" s="147">
        <f>+A5+1</f>
        <v>2</v>
      </c>
      <c r="B6" s="262" t="s">
        <v>98</v>
      </c>
      <c r="C6" s="263"/>
      <c r="D6" s="263"/>
      <c r="E6" s="263"/>
      <c r="F6" s="263"/>
      <c r="G6" s="263"/>
      <c r="H6" s="118"/>
      <c r="I6" s="118"/>
      <c r="J6" s="118"/>
      <c r="K6" s="264"/>
      <c r="M6" s="29"/>
      <c r="N6" s="29"/>
      <c r="O6" s="29"/>
    </row>
    <row r="7" spans="1:15" ht="12">
      <c r="A7" s="147">
        <f>+A6+1</f>
        <v>3</v>
      </c>
      <c r="B7" s="156"/>
      <c r="C7" s="29"/>
      <c r="D7" s="29"/>
      <c r="E7" s="29"/>
      <c r="F7" s="29" t="s">
        <v>1</v>
      </c>
      <c r="G7" s="29" t="s">
        <v>1</v>
      </c>
      <c r="H7" s="29"/>
      <c r="I7" s="29"/>
      <c r="J7" s="29"/>
      <c r="K7" s="265" t="s">
        <v>1</v>
      </c>
      <c r="L7" s="29"/>
      <c r="M7" s="207"/>
      <c r="N7" s="29"/>
      <c r="O7" s="29"/>
    </row>
    <row r="8" spans="1:15" ht="12">
      <c r="A8" s="147">
        <f>A7+1</f>
        <v>4</v>
      </c>
      <c r="B8" s="156"/>
      <c r="C8" s="162" t="s">
        <v>32</v>
      </c>
      <c r="D8" s="162" t="s">
        <v>92</v>
      </c>
      <c r="E8" s="162" t="s">
        <v>32</v>
      </c>
      <c r="F8" s="162" t="s">
        <v>104</v>
      </c>
      <c r="G8" s="29"/>
      <c r="H8" s="29"/>
      <c r="I8" s="29"/>
      <c r="J8" s="29"/>
      <c r="K8" s="265"/>
      <c r="L8" s="155"/>
      <c r="M8" s="29"/>
      <c r="N8" s="29"/>
      <c r="O8" s="29"/>
    </row>
    <row r="9" spans="1:15" ht="12">
      <c r="A9" s="147">
        <f>A8+1</f>
        <v>5</v>
      </c>
      <c r="B9" s="156"/>
      <c r="C9" s="33" t="s">
        <v>111</v>
      </c>
      <c r="D9" s="33" t="s">
        <v>27</v>
      </c>
      <c r="E9" s="33" t="s">
        <v>79</v>
      </c>
      <c r="F9" s="33" t="s">
        <v>112</v>
      </c>
      <c r="G9" s="33"/>
      <c r="H9" s="33"/>
      <c r="I9" s="29"/>
      <c r="J9" s="29"/>
      <c r="K9" s="265"/>
      <c r="L9" s="155"/>
      <c r="M9" s="180"/>
      <c r="N9" s="29"/>
      <c r="O9" s="29"/>
    </row>
    <row r="10" spans="1:15" ht="12">
      <c r="A10" s="147">
        <f>A9+1</f>
        <v>6</v>
      </c>
      <c r="B10" s="156"/>
      <c r="G10" s="29"/>
      <c r="H10" s="29"/>
      <c r="I10" s="29"/>
      <c r="J10" s="29"/>
      <c r="K10" s="265"/>
      <c r="L10" s="29"/>
      <c r="M10" s="29"/>
      <c r="O10" s="29"/>
    </row>
    <row r="11" spans="1:15" ht="12">
      <c r="A11" s="147">
        <f t="shared" ref="A11:A36" si="0">A10+1</f>
        <v>7</v>
      </c>
      <c r="B11" s="156" t="s">
        <v>25</v>
      </c>
      <c r="C11" s="238">
        <v>0</v>
      </c>
      <c r="D11" s="238">
        <v>0</v>
      </c>
      <c r="E11" s="203" t="str">
        <f>IF(C11=0,"NA",(D11/C11))</f>
        <v>NA</v>
      </c>
      <c r="F11" s="280">
        <v>0</v>
      </c>
      <c r="G11" s="259"/>
      <c r="H11" s="338"/>
      <c r="I11" s="29"/>
      <c r="J11" s="29"/>
      <c r="K11" s="265"/>
      <c r="L11" s="29"/>
      <c r="M11" s="272"/>
      <c r="O11" s="29"/>
    </row>
    <row r="12" spans="1:15" ht="12">
      <c r="A12" s="147">
        <f t="shared" si="0"/>
        <v>8</v>
      </c>
      <c r="B12" s="156"/>
      <c r="C12" s="238">
        <v>0</v>
      </c>
      <c r="D12" s="238">
        <v>0</v>
      </c>
      <c r="E12" s="203" t="str">
        <f>IF(C12=0,"NA",(D12/C12))</f>
        <v>NA</v>
      </c>
      <c r="F12" s="280">
        <v>0</v>
      </c>
      <c r="G12" s="259"/>
      <c r="H12" s="239"/>
      <c r="I12" s="29"/>
      <c r="J12" s="29"/>
      <c r="K12" s="265"/>
      <c r="L12" s="29"/>
      <c r="M12" s="350"/>
      <c r="O12" s="29"/>
    </row>
    <row r="13" spans="1:15" ht="12" hidden="1">
      <c r="A13" s="147">
        <v>9</v>
      </c>
      <c r="B13" s="156" t="s">
        <v>133</v>
      </c>
      <c r="C13" s="238">
        <v>0</v>
      </c>
      <c r="D13" s="238">
        <v>0</v>
      </c>
      <c r="E13" s="203" t="str">
        <f>IF(C13=0,"NA",(D13/C13))</f>
        <v>NA</v>
      </c>
      <c r="F13" s="160">
        <f>J26</f>
        <v>0</v>
      </c>
      <c r="G13" s="259"/>
      <c r="H13" s="271"/>
      <c r="I13" s="29"/>
      <c r="J13" s="29"/>
      <c r="K13" s="265"/>
      <c r="L13" s="29"/>
      <c r="M13" s="272"/>
      <c r="O13" s="29"/>
    </row>
    <row r="14" spans="1:15" ht="12">
      <c r="A14" s="147">
        <f>A13+1</f>
        <v>10</v>
      </c>
      <c r="B14" s="156" t="s">
        <v>157</v>
      </c>
      <c r="C14" s="366">
        <f>'Pg 2 CapStructure'!Q9</f>
        <v>52406250</v>
      </c>
      <c r="D14" s="238">
        <v>1727859.87</v>
      </c>
      <c r="E14" s="203">
        <f>IF(C14=0,"NA",(D14/C14))</f>
        <v>3.2970492450805008E-2</v>
      </c>
      <c r="F14" s="160">
        <f>J27</f>
        <v>126389</v>
      </c>
      <c r="G14" s="259"/>
      <c r="H14" s="239"/>
      <c r="I14" s="29"/>
      <c r="J14" s="29"/>
      <c r="K14" s="265"/>
      <c r="L14" s="29"/>
      <c r="M14" s="350" t="s">
        <v>162</v>
      </c>
      <c r="N14" s="29"/>
      <c r="O14" s="29"/>
    </row>
    <row r="15" spans="1:15" ht="12">
      <c r="A15" s="147">
        <f t="shared" si="0"/>
        <v>11</v>
      </c>
      <c r="B15" s="156" t="s">
        <v>117</v>
      </c>
      <c r="C15" s="238">
        <v>2200000</v>
      </c>
      <c r="D15" s="238">
        <v>0</v>
      </c>
      <c r="E15" s="203">
        <f>IF(C15=0,"NA",(D15/C15))</f>
        <v>0</v>
      </c>
      <c r="F15" s="160">
        <f>J33</f>
        <v>24278.45</v>
      </c>
      <c r="G15" s="29"/>
      <c r="H15" s="29"/>
      <c r="I15" s="29"/>
      <c r="J15" s="29"/>
      <c r="K15" s="265"/>
      <c r="L15" s="29"/>
      <c r="M15" s="29"/>
      <c r="N15" s="29"/>
      <c r="O15" s="29"/>
    </row>
    <row r="16" spans="1:15" ht="12.75" thickBot="1">
      <c r="A16" s="147">
        <f t="shared" si="0"/>
        <v>12</v>
      </c>
      <c r="B16" s="248" t="s">
        <v>120</v>
      </c>
      <c r="C16" s="274">
        <f>SUM(C10:C15)</f>
        <v>54606250</v>
      </c>
      <c r="D16" s="276">
        <f>SUM(D10:D15)</f>
        <v>1727859.87</v>
      </c>
      <c r="E16" s="275">
        <f>D16/C16</f>
        <v>3.1642163122353212E-2</v>
      </c>
      <c r="F16" s="276">
        <f>SUM(F10:F15)</f>
        <v>150667.45000000001</v>
      </c>
      <c r="G16" s="29"/>
      <c r="H16" s="29"/>
      <c r="I16" s="29"/>
      <c r="J16" s="29"/>
      <c r="K16" s="265"/>
      <c r="L16" s="29"/>
      <c r="M16" s="29"/>
      <c r="N16" s="29"/>
      <c r="O16" s="29"/>
    </row>
    <row r="17" spans="1:15" ht="12.75" thickTop="1">
      <c r="A17" s="147">
        <f t="shared" si="0"/>
        <v>13</v>
      </c>
      <c r="B17" s="248"/>
      <c r="C17" s="299"/>
      <c r="D17" s="317"/>
      <c r="E17" s="318"/>
      <c r="F17" s="317"/>
      <c r="G17" s="29"/>
      <c r="H17" s="29"/>
      <c r="I17" s="29"/>
      <c r="J17" s="29"/>
      <c r="K17" s="265"/>
      <c r="L17" s="29"/>
      <c r="M17" s="29"/>
      <c r="N17" s="29"/>
      <c r="O17" s="29"/>
    </row>
    <row r="18" spans="1:15" ht="12">
      <c r="A18" s="147">
        <f t="shared" si="0"/>
        <v>14</v>
      </c>
      <c r="B18" s="311" t="s">
        <v>141</v>
      </c>
      <c r="C18" s="157"/>
      <c r="D18" s="158"/>
      <c r="E18" s="29"/>
      <c r="F18" s="365">
        <f>'New Format'!C30</f>
        <v>808685319</v>
      </c>
      <c r="G18" s="29"/>
      <c r="H18" s="29"/>
      <c r="I18" s="29"/>
      <c r="J18" s="29"/>
      <c r="K18" s="265"/>
      <c r="L18" s="29"/>
      <c r="M18" s="29"/>
      <c r="N18" s="29"/>
      <c r="O18" s="29"/>
    </row>
    <row r="19" spans="1:15" ht="12">
      <c r="A19" s="147">
        <f t="shared" si="0"/>
        <v>15</v>
      </c>
      <c r="B19" s="156"/>
      <c r="C19" s="157"/>
      <c r="D19" s="158"/>
      <c r="E19" s="29"/>
      <c r="F19" s="157"/>
      <c r="G19" s="29"/>
      <c r="H19" s="29"/>
      <c r="I19" s="29"/>
      <c r="J19" s="29"/>
      <c r="K19" s="265"/>
      <c r="L19" s="29"/>
      <c r="M19" s="29"/>
      <c r="N19" s="29"/>
      <c r="O19" s="29"/>
    </row>
    <row r="20" spans="1:15" ht="12">
      <c r="A20" s="147">
        <f t="shared" si="0"/>
        <v>16</v>
      </c>
      <c r="B20" s="311" t="s">
        <v>143</v>
      </c>
      <c r="C20" s="157"/>
      <c r="D20" s="158"/>
      <c r="E20" s="29"/>
      <c r="F20" s="307">
        <f>ROUND(F16/F18,4)</f>
        <v>2.0000000000000001E-4</v>
      </c>
      <c r="G20" s="29"/>
      <c r="H20" s="29"/>
      <c r="I20" s="29"/>
      <c r="J20" s="29"/>
      <c r="K20" s="265"/>
      <c r="L20" s="29"/>
      <c r="M20" s="29"/>
      <c r="N20" s="29"/>
      <c r="O20" s="29"/>
    </row>
    <row r="21" spans="1:15" ht="12.75" thickBot="1">
      <c r="A21" s="147">
        <f t="shared" si="0"/>
        <v>17</v>
      </c>
      <c r="B21" s="261"/>
      <c r="C21" s="159"/>
      <c r="D21" s="159"/>
      <c r="E21" s="159"/>
      <c r="F21" s="159"/>
      <c r="G21" s="159"/>
      <c r="H21" s="159"/>
      <c r="I21" s="159"/>
      <c r="J21" s="159"/>
      <c r="K21" s="266"/>
      <c r="L21" s="29"/>
      <c r="M21" s="29"/>
      <c r="N21" s="29"/>
      <c r="O21" s="29"/>
    </row>
    <row r="22" spans="1:15" ht="12">
      <c r="A22" s="147">
        <f t="shared" si="0"/>
        <v>18</v>
      </c>
      <c r="B22" s="378" t="s">
        <v>77</v>
      </c>
      <c r="C22" s="379"/>
      <c r="D22" s="118"/>
      <c r="E22" s="118"/>
      <c r="F22" s="118"/>
      <c r="G22" s="118"/>
      <c r="H22" s="139"/>
      <c r="I22" s="139"/>
      <c r="J22" s="139"/>
      <c r="K22" s="115"/>
      <c r="L22" s="29" t="s">
        <v>1</v>
      </c>
      <c r="M22" s="29"/>
      <c r="N22" s="29"/>
      <c r="O22" s="29"/>
    </row>
    <row r="23" spans="1:15" ht="12">
      <c r="A23" s="147">
        <f t="shared" si="0"/>
        <v>19</v>
      </c>
      <c r="B23" s="376" t="s">
        <v>84</v>
      </c>
      <c r="C23" s="377"/>
      <c r="D23" s="29"/>
      <c r="E23" s="29"/>
      <c r="F23" s="29"/>
      <c r="G23" s="162" t="s">
        <v>134</v>
      </c>
      <c r="H23" s="162" t="s">
        <v>134</v>
      </c>
      <c r="I23" s="35"/>
      <c r="J23" s="35"/>
      <c r="K23" s="120"/>
      <c r="L23" s="29"/>
      <c r="M23" s="29"/>
      <c r="N23" s="29"/>
      <c r="O23" s="29"/>
    </row>
    <row r="24" spans="1:15" ht="12">
      <c r="A24" s="147">
        <f t="shared" si="0"/>
        <v>20</v>
      </c>
      <c r="B24" s="140"/>
      <c r="C24" s="96"/>
      <c r="D24" s="29"/>
      <c r="E24" s="29"/>
      <c r="F24" s="29"/>
      <c r="G24" s="162" t="s">
        <v>114</v>
      </c>
      <c r="H24" s="162" t="s">
        <v>115</v>
      </c>
      <c r="I24" s="35"/>
      <c r="J24" s="35"/>
      <c r="K24" s="120"/>
      <c r="L24" s="29"/>
      <c r="M24" s="29"/>
      <c r="N24" s="29"/>
      <c r="O24" s="29"/>
    </row>
    <row r="25" spans="1:15" ht="12">
      <c r="A25" s="147">
        <f t="shared" si="0"/>
        <v>21</v>
      </c>
      <c r="B25" s="119"/>
      <c r="C25" s="32" t="s">
        <v>30</v>
      </c>
      <c r="D25" s="32" t="s">
        <v>31</v>
      </c>
      <c r="E25" s="33" t="s">
        <v>33</v>
      </c>
      <c r="F25" s="33" t="s">
        <v>104</v>
      </c>
      <c r="G25" s="33" t="s">
        <v>113</v>
      </c>
      <c r="H25" s="33" t="s">
        <v>104</v>
      </c>
      <c r="I25" s="33" t="s">
        <v>41</v>
      </c>
      <c r="J25" s="33" t="s">
        <v>42</v>
      </c>
      <c r="K25" s="141"/>
      <c r="L25" s="29"/>
      <c r="M25" s="29"/>
      <c r="N25" s="29"/>
      <c r="O25" s="29"/>
    </row>
    <row r="26" spans="1:15" ht="12" hidden="1">
      <c r="A26" s="147">
        <f t="shared" si="0"/>
        <v>22</v>
      </c>
      <c r="B26" s="156" t="s">
        <v>133</v>
      </c>
      <c r="C26" s="239"/>
      <c r="D26" s="239"/>
      <c r="E26" s="260">
        <f>D26-C26</f>
        <v>0</v>
      </c>
      <c r="F26" s="273">
        <v>650000000</v>
      </c>
      <c r="G26" s="196">
        <f>C13+H32</f>
        <v>0</v>
      </c>
      <c r="H26" s="196">
        <f>F26-G26</f>
        <v>650000000</v>
      </c>
      <c r="I26" s="281">
        <v>1.75E-3</v>
      </c>
      <c r="J26" s="160">
        <f>ROUND(H26*I26*E26/360,4)</f>
        <v>0</v>
      </c>
      <c r="K26" s="120"/>
      <c r="L26" s="29"/>
      <c r="M26" s="29"/>
      <c r="N26" s="29"/>
      <c r="O26" s="29"/>
    </row>
    <row r="27" spans="1:15" ht="12">
      <c r="A27" s="147">
        <f t="shared" si="0"/>
        <v>23</v>
      </c>
      <c r="B27" s="156" t="s">
        <v>157</v>
      </c>
      <c r="C27" s="239">
        <v>44562</v>
      </c>
      <c r="D27" s="239">
        <v>44926</v>
      </c>
      <c r="E27" s="260">
        <v>360</v>
      </c>
      <c r="F27" s="273">
        <v>100000000</v>
      </c>
      <c r="G27" s="196">
        <f>C14+H33</f>
        <v>52406250</v>
      </c>
      <c r="H27" s="196">
        <f>F27-G27</f>
        <v>47593750</v>
      </c>
      <c r="I27" s="281">
        <v>1.25E-3</v>
      </c>
      <c r="J27" s="207">
        <v>126389</v>
      </c>
      <c r="K27" s="142"/>
      <c r="L27" s="29"/>
      <c r="M27" s="344" t="s">
        <v>161</v>
      </c>
      <c r="N27" s="29"/>
      <c r="O27" s="29"/>
    </row>
    <row r="28" spans="1:15" ht="12.75" thickBot="1">
      <c r="A28" s="147">
        <f t="shared" si="0"/>
        <v>24</v>
      </c>
      <c r="B28" s="200" t="s">
        <v>103</v>
      </c>
      <c r="C28" s="34"/>
      <c r="D28" s="106"/>
      <c r="E28" s="242"/>
      <c r="F28" s="208"/>
      <c r="G28" s="209"/>
      <c r="H28" s="209"/>
      <c r="I28" s="209"/>
      <c r="J28" s="316">
        <f>+J26+J27</f>
        <v>126389</v>
      </c>
      <c r="K28" s="142"/>
      <c r="L28" s="29"/>
      <c r="M28" s="29"/>
      <c r="N28" s="29"/>
      <c r="O28" s="29"/>
    </row>
    <row r="29" spans="1:15" ht="12.75" thickTop="1">
      <c r="A29" s="147">
        <f t="shared" si="0"/>
        <v>25</v>
      </c>
      <c r="B29" s="183"/>
      <c r="C29" s="34"/>
      <c r="D29" s="106"/>
      <c r="E29" s="242"/>
      <c r="F29" s="242"/>
      <c r="G29" s="106"/>
      <c r="H29" s="210"/>
      <c r="I29" s="210"/>
      <c r="J29" s="210"/>
      <c r="K29" s="142"/>
      <c r="L29" s="29"/>
      <c r="M29" s="29"/>
      <c r="N29" s="29"/>
      <c r="O29" s="29"/>
    </row>
    <row r="30" spans="1:15" ht="12">
      <c r="A30" s="147">
        <f t="shared" si="0"/>
        <v>26</v>
      </c>
      <c r="B30" s="199" t="s">
        <v>105</v>
      </c>
      <c r="C30" s="239"/>
      <c r="D30" s="239"/>
      <c r="F30" s="33"/>
      <c r="G30" s="33" t="s">
        <v>33</v>
      </c>
      <c r="H30" s="33" t="s">
        <v>118</v>
      </c>
      <c r="I30" s="106"/>
      <c r="J30" s="210"/>
      <c r="K30" s="142"/>
      <c r="L30" s="29"/>
      <c r="M30" s="29"/>
      <c r="N30" s="29"/>
      <c r="O30" s="29"/>
    </row>
    <row r="31" spans="1:15" ht="12">
      <c r="A31" s="147">
        <f t="shared" si="0"/>
        <v>27</v>
      </c>
      <c r="B31" s="200" t="s">
        <v>170</v>
      </c>
      <c r="C31" s="209"/>
      <c r="F31" s="314"/>
      <c r="G31" s="260">
        <v>365</v>
      </c>
      <c r="H31" s="238">
        <v>2200000</v>
      </c>
      <c r="I31" s="281"/>
      <c r="J31" s="160">
        <v>24278.45</v>
      </c>
      <c r="K31" s="142"/>
      <c r="L31" s="29"/>
      <c r="M31" s="344" t="s">
        <v>171</v>
      </c>
      <c r="N31" s="29"/>
      <c r="O31" s="29"/>
    </row>
    <row r="32" spans="1:15" ht="12.75" customHeight="1">
      <c r="A32" s="147">
        <f t="shared" si="0"/>
        <v>28</v>
      </c>
      <c r="B32" s="200"/>
      <c r="C32" s="209"/>
      <c r="F32" s="314"/>
      <c r="G32" s="260"/>
      <c r="H32" s="238"/>
      <c r="I32" s="281"/>
      <c r="J32" s="160"/>
      <c r="K32" s="120"/>
      <c r="L32" s="29"/>
      <c r="M32" s="29"/>
      <c r="N32" s="29"/>
      <c r="O32" s="29"/>
    </row>
    <row r="33" spans="1:19" ht="12.75" customHeight="1" thickBot="1">
      <c r="A33" s="147">
        <f t="shared" si="0"/>
        <v>29</v>
      </c>
      <c r="B33" s="247" t="s">
        <v>119</v>
      </c>
      <c r="C33" s="209"/>
      <c r="D33" s="209"/>
      <c r="E33" s="315"/>
      <c r="F33" s="273"/>
      <c r="G33" s="260"/>
      <c r="H33" s="35"/>
      <c r="I33" s="35"/>
      <c r="J33" s="316">
        <f>SUM(J31:J32)</f>
        <v>24278.45</v>
      </c>
      <c r="K33" s="120"/>
      <c r="L33" s="29"/>
      <c r="M33" s="29"/>
      <c r="N33" s="29"/>
      <c r="O33" s="29"/>
    </row>
    <row r="34" spans="1:19" ht="12.75" customHeight="1" thickTop="1">
      <c r="A34" s="147">
        <f t="shared" si="0"/>
        <v>30</v>
      </c>
      <c r="B34" s="200"/>
      <c r="C34" s="209"/>
      <c r="D34" s="209"/>
      <c r="E34" s="209"/>
      <c r="F34" s="240"/>
      <c r="G34" s="241"/>
      <c r="H34" s="35"/>
      <c r="I34" s="35"/>
      <c r="J34" s="35"/>
      <c r="K34" s="120"/>
      <c r="L34" s="29"/>
      <c r="M34" s="29"/>
      <c r="N34" s="29"/>
      <c r="O34" s="29"/>
    </row>
    <row r="35" spans="1:19" ht="12">
      <c r="A35" s="147">
        <f t="shared" si="0"/>
        <v>31</v>
      </c>
      <c r="B35" s="140"/>
      <c r="C35" s="96"/>
      <c r="D35" s="96"/>
      <c r="H35" s="116"/>
      <c r="I35" s="116"/>
      <c r="J35" s="116"/>
      <c r="K35" s="120"/>
    </row>
    <row r="36" spans="1:19" ht="12.75" thickBot="1">
      <c r="A36" s="147">
        <f t="shared" si="0"/>
        <v>32</v>
      </c>
      <c r="B36" s="95" t="s">
        <v>64</v>
      </c>
      <c r="C36" s="144"/>
      <c r="D36" s="144"/>
      <c r="E36" s="121"/>
      <c r="F36" s="121"/>
      <c r="G36" s="121"/>
      <c r="H36" s="145"/>
      <c r="I36" s="145"/>
      <c r="J36" s="145"/>
      <c r="K36" s="143"/>
      <c r="S36" s="94"/>
    </row>
    <row r="40" spans="1:19">
      <c r="M40" s="364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5"/>
  <sheetViews>
    <sheetView zoomScaleNormal="100" workbookViewId="0">
      <selection activeCell="H33" sqref="H33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94" customWidth="1"/>
  </cols>
  <sheetData>
    <row r="1" spans="1:9" ht="12">
      <c r="B1" s="30" t="s">
        <v>151</v>
      </c>
    </row>
    <row r="2" spans="1:9" ht="12">
      <c r="B2" s="96" t="s">
        <v>83</v>
      </c>
    </row>
    <row r="3" spans="1:9" ht="12">
      <c r="B3" s="340" t="str">
        <f>'New Format'!B5</f>
        <v>For The 12 Months Ending December 31, 2022</v>
      </c>
    </row>
    <row r="4" spans="1:9" ht="12">
      <c r="A4" s="29"/>
      <c r="B4" s="30"/>
      <c r="C4" s="282"/>
      <c r="D4" s="282"/>
      <c r="E4" s="282"/>
      <c r="F4" s="282"/>
      <c r="G4" s="282"/>
      <c r="H4" s="282"/>
    </row>
    <row r="5" spans="1:9" ht="12">
      <c r="A5" s="283" t="s">
        <v>2</v>
      </c>
      <c r="B5" s="283" t="s">
        <v>19</v>
      </c>
      <c r="C5" s="283" t="s">
        <v>34</v>
      </c>
      <c r="D5" s="283" t="s">
        <v>45</v>
      </c>
      <c r="E5" s="283" t="s">
        <v>46</v>
      </c>
      <c r="F5" s="283" t="s">
        <v>47</v>
      </c>
      <c r="G5" s="283" t="s">
        <v>48</v>
      </c>
      <c r="H5" s="283" t="s">
        <v>49</v>
      </c>
    </row>
    <row r="6" spans="1:9" ht="11.25" customHeight="1">
      <c r="A6" s="282"/>
      <c r="B6" s="284"/>
      <c r="C6" s="284"/>
      <c r="D6" s="284"/>
      <c r="E6" s="284"/>
      <c r="F6" s="284"/>
      <c r="G6" s="284"/>
      <c r="H6" s="284"/>
    </row>
    <row r="7" spans="1:9" ht="11.25" customHeight="1">
      <c r="A7" s="147"/>
      <c r="B7" s="127"/>
      <c r="C7" s="251"/>
      <c r="D7" s="251"/>
      <c r="E7" s="251"/>
      <c r="F7" s="251"/>
      <c r="G7" s="251"/>
    </row>
    <row r="8" spans="1:9" ht="11.25" customHeight="1">
      <c r="A8" s="147">
        <v>1</v>
      </c>
      <c r="B8" s="30" t="s">
        <v>6</v>
      </c>
      <c r="C8" s="285" t="s">
        <v>155</v>
      </c>
      <c r="D8" s="285"/>
      <c r="E8" s="285"/>
      <c r="F8" s="285"/>
      <c r="G8" s="285"/>
      <c r="H8" s="282"/>
    </row>
    <row r="9" spans="1:9" ht="11.25" customHeight="1">
      <c r="A9" s="147">
        <f>A8+1</f>
        <v>2</v>
      </c>
      <c r="B9" s="30"/>
      <c r="C9" s="285" t="s">
        <v>156</v>
      </c>
      <c r="D9" s="285"/>
      <c r="E9" s="285"/>
      <c r="F9" s="285"/>
      <c r="G9" s="285"/>
      <c r="H9" s="285" t="s">
        <v>123</v>
      </c>
    </row>
    <row r="10" spans="1:9" ht="11.25" customHeight="1">
      <c r="A10" s="147">
        <f t="shared" ref="A10:A35" si="0">A9+1</f>
        <v>3</v>
      </c>
      <c r="B10" s="96"/>
      <c r="C10" s="286"/>
      <c r="D10" s="286"/>
      <c r="E10" s="286"/>
      <c r="F10" s="286"/>
      <c r="G10" s="286"/>
      <c r="H10" s="286" t="s">
        <v>124</v>
      </c>
    </row>
    <row r="11" spans="1:9" ht="11.25" customHeight="1">
      <c r="A11" s="147">
        <f t="shared" si="0"/>
        <v>4</v>
      </c>
      <c r="B11" s="96"/>
      <c r="C11" s="282"/>
      <c r="D11" s="282"/>
      <c r="H11" s="282"/>
    </row>
    <row r="12" spans="1:9" ht="12">
      <c r="A12" s="147">
        <f t="shared" si="0"/>
        <v>5</v>
      </c>
      <c r="B12" s="282" t="s">
        <v>43</v>
      </c>
      <c r="C12" s="282"/>
      <c r="D12" s="282"/>
      <c r="E12" s="282"/>
      <c r="F12" s="282"/>
      <c r="G12" s="282"/>
      <c r="H12" s="282"/>
    </row>
    <row r="13" spans="1:9" ht="12">
      <c r="A13" s="147">
        <f t="shared" si="0"/>
        <v>6</v>
      </c>
      <c r="B13" s="306" t="s">
        <v>148</v>
      </c>
      <c r="C13" s="304">
        <v>191274.04</v>
      </c>
      <c r="D13" s="304">
        <v>0</v>
      </c>
      <c r="E13" s="304">
        <v>0</v>
      </c>
      <c r="F13" s="304"/>
      <c r="G13" s="304"/>
      <c r="H13" s="29"/>
    </row>
    <row r="14" spans="1:9" ht="12">
      <c r="A14" s="147">
        <f t="shared" si="0"/>
        <v>7</v>
      </c>
      <c r="B14" s="29"/>
      <c r="C14" s="207"/>
      <c r="D14" s="207"/>
      <c r="E14" s="207"/>
      <c r="F14" s="207"/>
      <c r="G14" s="207"/>
      <c r="H14" s="29"/>
    </row>
    <row r="15" spans="1:9" ht="12">
      <c r="A15" s="147">
        <f t="shared" si="0"/>
        <v>8</v>
      </c>
      <c r="B15" s="293">
        <v>44562</v>
      </c>
      <c r="C15" s="207">
        <v>-6595.65</v>
      </c>
      <c r="D15" s="207"/>
      <c r="E15" s="207"/>
      <c r="F15" s="207"/>
      <c r="G15" s="207"/>
      <c r="H15" s="29"/>
    </row>
    <row r="16" spans="1:9" ht="12">
      <c r="A16" s="147">
        <f t="shared" si="0"/>
        <v>9</v>
      </c>
      <c r="B16" s="293">
        <v>44593</v>
      </c>
      <c r="C16" s="207">
        <v>-6595.65</v>
      </c>
      <c r="D16" s="207"/>
      <c r="E16" s="207"/>
      <c r="F16" s="207"/>
      <c r="G16" s="207"/>
      <c r="H16" s="207"/>
      <c r="I16" s="270"/>
    </row>
    <row r="17" spans="1:11" ht="12">
      <c r="A17" s="147">
        <f t="shared" si="0"/>
        <v>10</v>
      </c>
      <c r="B17" s="293">
        <v>44621</v>
      </c>
      <c r="C17" s="207">
        <v>-6595.65</v>
      </c>
      <c r="D17" s="207"/>
      <c r="E17" s="207"/>
      <c r="F17" s="207"/>
      <c r="G17" s="207"/>
      <c r="H17" s="29"/>
    </row>
    <row r="18" spans="1:11" ht="12">
      <c r="A18" s="147">
        <f t="shared" si="0"/>
        <v>11</v>
      </c>
      <c r="B18" s="293">
        <v>44652</v>
      </c>
      <c r="C18" s="207">
        <v>-6595.65</v>
      </c>
      <c r="D18" s="207"/>
      <c r="E18" s="207"/>
      <c r="F18" s="207"/>
      <c r="G18" s="207"/>
      <c r="H18" s="29"/>
      <c r="K18" s="351" t="s">
        <v>163</v>
      </c>
    </row>
    <row r="19" spans="1:11" ht="12">
      <c r="A19" s="147">
        <f t="shared" si="0"/>
        <v>12</v>
      </c>
      <c r="B19" s="293">
        <v>44682</v>
      </c>
      <c r="C19" s="207">
        <v>-6595.65</v>
      </c>
      <c r="D19" s="207"/>
      <c r="E19" s="207"/>
      <c r="F19" s="207"/>
      <c r="G19" s="207"/>
      <c r="H19" s="29"/>
    </row>
    <row r="20" spans="1:11" ht="12">
      <c r="A20" s="147">
        <f t="shared" si="0"/>
        <v>13</v>
      </c>
      <c r="B20" s="293">
        <v>44713</v>
      </c>
      <c r="C20" s="207">
        <v>-6595.65</v>
      </c>
      <c r="D20" s="207"/>
      <c r="E20" s="207"/>
      <c r="F20" s="207"/>
      <c r="G20" s="207"/>
      <c r="H20" s="29"/>
    </row>
    <row r="21" spans="1:11" ht="12">
      <c r="A21" s="147">
        <f t="shared" si="0"/>
        <v>14</v>
      </c>
      <c r="B21" s="293">
        <v>44743</v>
      </c>
      <c r="C21" s="207">
        <v>-6595.65</v>
      </c>
      <c r="D21" s="207"/>
      <c r="E21" s="207"/>
      <c r="F21" s="207"/>
      <c r="G21" s="207"/>
      <c r="H21" s="29"/>
    </row>
    <row r="22" spans="1:11" ht="12">
      <c r="A22" s="147">
        <f t="shared" si="0"/>
        <v>15</v>
      </c>
      <c r="B22" s="293">
        <v>44774</v>
      </c>
      <c r="C22" s="207">
        <v>-6595.65</v>
      </c>
      <c r="D22" s="207"/>
      <c r="E22" s="207"/>
      <c r="F22" s="207"/>
      <c r="G22" s="207"/>
      <c r="H22" s="29"/>
    </row>
    <row r="23" spans="1:11" ht="12">
      <c r="A23" s="147">
        <f t="shared" si="0"/>
        <v>16</v>
      </c>
      <c r="B23" s="293">
        <v>44805</v>
      </c>
      <c r="C23" s="207">
        <v>-6595.65</v>
      </c>
      <c r="D23" s="207"/>
      <c r="E23" s="207"/>
      <c r="F23" s="207"/>
      <c r="G23" s="207"/>
      <c r="H23" s="29"/>
    </row>
    <row r="24" spans="1:11" ht="12">
      <c r="A24" s="147">
        <f t="shared" si="0"/>
        <v>17</v>
      </c>
      <c r="B24" s="293">
        <v>44835</v>
      </c>
      <c r="C24" s="207">
        <v>-6595.65</v>
      </c>
      <c r="D24" s="207"/>
      <c r="E24" s="207"/>
      <c r="F24" s="207"/>
      <c r="G24" s="207"/>
      <c r="H24" s="29"/>
    </row>
    <row r="25" spans="1:11" ht="12">
      <c r="A25" s="147">
        <f t="shared" si="0"/>
        <v>18</v>
      </c>
      <c r="B25" s="293">
        <v>44866</v>
      </c>
      <c r="C25" s="207">
        <v>-6595.65</v>
      </c>
      <c r="D25" s="207"/>
      <c r="E25" s="207"/>
      <c r="F25" s="207"/>
      <c r="G25" s="207"/>
      <c r="H25" s="29"/>
    </row>
    <row r="26" spans="1:11" ht="12.75" thickBot="1">
      <c r="A26" s="147">
        <f t="shared" si="0"/>
        <v>19</v>
      </c>
      <c r="B26" s="293">
        <v>44896</v>
      </c>
      <c r="C26" s="207">
        <v>-14001.79</v>
      </c>
      <c r="D26" s="207"/>
      <c r="E26" s="207"/>
      <c r="F26" s="207"/>
      <c r="G26" s="207"/>
      <c r="H26" s="29"/>
    </row>
    <row r="27" spans="1:11" ht="12.75" thickBot="1">
      <c r="A27" s="147">
        <f t="shared" si="0"/>
        <v>20</v>
      </c>
      <c r="B27" s="339" t="s">
        <v>150</v>
      </c>
      <c r="C27" s="290">
        <f>SUM(C15:C26)</f>
        <v>-86553.94</v>
      </c>
      <c r="D27" s="290">
        <f>SUM(D15:D26)</f>
        <v>0</v>
      </c>
      <c r="E27" s="290">
        <f>SUM(E15:E26)</f>
        <v>0</v>
      </c>
      <c r="F27" s="290">
        <f>SUM(F15:F26)</f>
        <v>0</v>
      </c>
      <c r="G27" s="290">
        <f>SUM(G15:G26)</f>
        <v>0</v>
      </c>
      <c r="H27" s="291">
        <f>SUM(C27:G27)</f>
        <v>-86553.94</v>
      </c>
    </row>
    <row r="28" spans="1:11" ht="12">
      <c r="A28" s="147">
        <f t="shared" si="0"/>
        <v>21</v>
      </c>
      <c r="B28" s="282"/>
      <c r="C28" s="282"/>
      <c r="D28" s="282"/>
      <c r="E28" s="282"/>
      <c r="F28" s="282"/>
      <c r="G28" s="282"/>
      <c r="H28" s="282"/>
    </row>
    <row r="29" spans="1:11" ht="12">
      <c r="A29" s="147">
        <f t="shared" si="0"/>
        <v>22</v>
      </c>
      <c r="B29" s="287" t="s">
        <v>121</v>
      </c>
      <c r="C29" s="207">
        <v>366604.29</v>
      </c>
      <c r="D29" s="207"/>
      <c r="E29" s="207"/>
      <c r="F29" s="207"/>
      <c r="G29" s="207"/>
      <c r="H29" s="29"/>
    </row>
    <row r="30" spans="1:11" ht="12">
      <c r="A30" s="147">
        <f t="shared" si="0"/>
        <v>23</v>
      </c>
      <c r="B30" s="288" t="s">
        <v>122</v>
      </c>
      <c r="D30" s="207"/>
      <c r="E30" s="207"/>
      <c r="F30" s="207"/>
      <c r="G30" s="207"/>
      <c r="H30" s="29"/>
    </row>
    <row r="31" spans="1:11" ht="12.75" thickBot="1">
      <c r="A31" s="147">
        <f t="shared" si="0"/>
        <v>24</v>
      </c>
      <c r="B31" s="29" t="s">
        <v>44</v>
      </c>
      <c r="C31" s="292">
        <f>C13+C27+C29+C30</f>
        <v>471324.39</v>
      </c>
      <c r="D31" s="292">
        <f>D13+D27+D29+D30</f>
        <v>0</v>
      </c>
      <c r="E31" s="292">
        <f>E13+E27+E29+E30</f>
        <v>0</v>
      </c>
      <c r="F31" s="292">
        <f>F13+F27+F29+F30</f>
        <v>0</v>
      </c>
      <c r="G31" s="292">
        <f>G13+G27+G29+G30</f>
        <v>0</v>
      </c>
      <c r="H31" s="29"/>
    </row>
    <row r="32" spans="1:11" ht="12.75" thickTop="1">
      <c r="A32" s="147">
        <f t="shared" si="0"/>
        <v>25</v>
      </c>
      <c r="B32" s="30"/>
      <c r="C32" s="282"/>
      <c r="D32" s="282"/>
      <c r="E32" s="282"/>
      <c r="F32" s="282"/>
      <c r="G32" s="282"/>
      <c r="H32" s="282"/>
    </row>
    <row r="33" spans="1:9" ht="12">
      <c r="A33" s="147">
        <f t="shared" si="0"/>
        <v>26</v>
      </c>
      <c r="B33" s="30" t="s">
        <v>141</v>
      </c>
      <c r="C33" s="207"/>
      <c r="D33" s="207"/>
      <c r="E33" s="207"/>
      <c r="F33" s="207"/>
      <c r="G33" s="207"/>
      <c r="H33" s="363">
        <f>'New Format'!C30</f>
        <v>808685319</v>
      </c>
    </row>
    <row r="34" spans="1:9" ht="12">
      <c r="A34" s="147">
        <f t="shared" si="0"/>
        <v>27</v>
      </c>
      <c r="B34" s="29"/>
      <c r="C34" s="289"/>
      <c r="D34" s="289"/>
      <c r="E34" s="289"/>
      <c r="F34" s="289"/>
      <c r="G34" s="289"/>
      <c r="H34" s="29"/>
    </row>
    <row r="35" spans="1:9" ht="12">
      <c r="A35" s="147">
        <f t="shared" si="0"/>
        <v>28</v>
      </c>
      <c r="B35" s="30" t="s">
        <v>142</v>
      </c>
      <c r="C35" s="29"/>
      <c r="D35" s="29"/>
      <c r="E35" s="29"/>
      <c r="F35" s="29"/>
      <c r="G35" s="29"/>
      <c r="H35" s="308">
        <f>ROUND(-H27/H33,4)</f>
        <v>1E-4</v>
      </c>
      <c r="I35" s="320"/>
    </row>
    <row r="36" spans="1:9">
      <c r="A36" s="147"/>
    </row>
    <row r="37" spans="1:9">
      <c r="A37" s="147"/>
    </row>
    <row r="38" spans="1:9">
      <c r="A38" s="147"/>
      <c r="B38" s="167"/>
    </row>
    <row r="39" spans="1:9">
      <c r="A39" s="147"/>
    </row>
    <row r="40" spans="1:9">
      <c r="A40" s="147"/>
    </row>
    <row r="41" spans="1:9">
      <c r="A41" s="147"/>
    </row>
    <row r="42" spans="1:9">
      <c r="A42" s="147"/>
    </row>
    <row r="43" spans="1:9">
      <c r="A43" s="147"/>
      <c r="B43" s="106"/>
    </row>
    <row r="44" spans="1:9">
      <c r="A44" s="147"/>
    </row>
    <row r="45" spans="1:9">
      <c r="A45" s="147"/>
    </row>
    <row r="46" spans="1:9">
      <c r="A46" s="147"/>
      <c r="B46" s="127"/>
    </row>
    <row r="47" spans="1:9">
      <c r="A47" s="147"/>
    </row>
    <row r="48" spans="1:9">
      <c r="A48" s="147"/>
    </row>
    <row r="49" spans="1:2">
      <c r="A49" s="147"/>
    </row>
    <row r="50" spans="1:2">
      <c r="A50" s="147"/>
    </row>
    <row r="51" spans="1:2">
      <c r="A51" s="147"/>
    </row>
    <row r="52" spans="1:2">
      <c r="A52" s="147"/>
    </row>
    <row r="53" spans="1:2">
      <c r="A53" s="147"/>
      <c r="B53" s="126"/>
    </row>
    <row r="54" spans="1:2">
      <c r="A54" s="147"/>
      <c r="B54" s="126"/>
    </row>
    <row r="55" spans="1:2">
      <c r="A55" s="147"/>
      <c r="B55" s="127"/>
    </row>
  </sheetData>
  <phoneticPr fontId="24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F32" sqref="F32"/>
      <selection pane="topRight" activeCell="F32" sqref="F32"/>
      <selection pane="bottomLeft" activeCell="F32" sqref="F32"/>
      <selection pane="bottomRight" activeCell="F31" activeCellId="1" sqref="I26 F31:G31"/>
    </sheetView>
  </sheetViews>
  <sheetFormatPr defaultColWidth="8.83203125" defaultRowHeight="12.75" outlineLevelCol="1"/>
  <cols>
    <col min="1" max="1" width="6" style="20" customWidth="1"/>
    <col min="2" max="4" width="12.5" style="18" customWidth="1"/>
    <col min="5" max="5" width="20.1640625" style="18" customWidth="1"/>
    <col min="6" max="6" width="10" style="21" customWidth="1"/>
    <col min="7" max="7" width="9.83203125" style="18" customWidth="1"/>
    <col min="8" max="8" width="8" style="18" customWidth="1"/>
    <col min="9" max="9" width="7.83203125" style="21" customWidth="1"/>
    <col min="10" max="11" width="9.1640625" style="18" customWidth="1"/>
    <col min="12" max="12" width="9.83203125" style="18" customWidth="1"/>
    <col min="13" max="13" width="9.1640625" style="18" customWidth="1"/>
    <col min="14" max="14" width="9.83203125" style="18" customWidth="1"/>
    <col min="15" max="22" width="8.83203125" style="18" customWidth="1"/>
    <col min="23" max="23" width="3.6640625" style="18" customWidth="1"/>
    <col min="24" max="24" width="10.6640625" style="18" customWidth="1" outlineLevel="1"/>
    <col min="25" max="25" width="12.33203125" style="18" customWidth="1" outlineLevel="1"/>
    <col min="26" max="26" width="14.6640625" style="18" customWidth="1" outlineLevel="1"/>
    <col min="27" max="27" width="12.6640625" style="18" customWidth="1"/>
    <col min="28" max="28" width="8.83203125" style="18"/>
    <col min="29" max="30" width="10.83203125" style="18" bestFit="1" customWidth="1"/>
    <col min="31" max="16384" width="8.83203125" style="18"/>
  </cols>
  <sheetData>
    <row r="1" spans="1:26" ht="12.75" customHeight="1">
      <c r="A1" s="175" t="s">
        <v>152</v>
      </c>
      <c r="B1" s="122"/>
      <c r="C1" s="122"/>
      <c r="D1" s="122"/>
      <c r="E1" s="123"/>
      <c r="F1" s="122"/>
      <c r="G1" s="122"/>
      <c r="H1" s="122"/>
      <c r="I1" s="122"/>
    </row>
    <row r="2" spans="1:26" s="336" customFormat="1" ht="12.75" customHeight="1">
      <c r="A2" s="202" t="str">
        <f>'New Format'!B5</f>
        <v>For The 12 Months Ending December 31, 2022</v>
      </c>
      <c r="B2" s="333"/>
      <c r="C2" s="333"/>
      <c r="D2" s="333"/>
      <c r="E2" s="334"/>
      <c r="F2" s="333"/>
      <c r="G2" s="333"/>
      <c r="H2" s="334"/>
      <c r="I2" s="333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</row>
    <row r="3" spans="1:26" s="48" customFormat="1" ht="12.75" customHeight="1">
      <c r="A3" s="202"/>
      <c r="B3" s="124"/>
      <c r="C3" s="124"/>
      <c r="D3" s="124"/>
      <c r="E3" s="125"/>
      <c r="F3" s="124"/>
      <c r="G3" s="124"/>
      <c r="H3" s="125"/>
      <c r="I3" s="124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6" ht="11.1" customHeight="1">
      <c r="A4" s="137" t="s">
        <v>2</v>
      </c>
      <c r="B4" s="137" t="s">
        <v>19</v>
      </c>
      <c r="C4" s="137" t="s">
        <v>34</v>
      </c>
      <c r="D4" s="137" t="s">
        <v>45</v>
      </c>
      <c r="E4" s="137" t="s">
        <v>46</v>
      </c>
      <c r="F4" s="137" t="s">
        <v>47</v>
      </c>
      <c r="G4" s="137" t="s">
        <v>48</v>
      </c>
      <c r="H4" s="137" t="s">
        <v>49</v>
      </c>
      <c r="I4" s="137" t="s">
        <v>50</v>
      </c>
      <c r="J4" s="137" t="s">
        <v>52</v>
      </c>
      <c r="K4" s="137" t="s">
        <v>53</v>
      </c>
      <c r="L4" s="137" t="s">
        <v>54</v>
      </c>
      <c r="M4" s="137" t="s">
        <v>55</v>
      </c>
      <c r="N4" s="137" t="s">
        <v>56</v>
      </c>
      <c r="O4" s="137" t="s">
        <v>57</v>
      </c>
      <c r="P4" s="137" t="s">
        <v>68</v>
      </c>
      <c r="Q4" s="137" t="s">
        <v>69</v>
      </c>
      <c r="R4" s="137" t="s">
        <v>70</v>
      </c>
      <c r="S4" s="137" t="s">
        <v>71</v>
      </c>
      <c r="T4" s="137" t="s">
        <v>72</v>
      </c>
      <c r="U4" s="137" t="s">
        <v>73</v>
      </c>
      <c r="V4" s="137" t="s">
        <v>125</v>
      </c>
      <c r="W4" s="137"/>
      <c r="X4" s="294" t="s">
        <v>131</v>
      </c>
    </row>
    <row r="5" spans="1:26" ht="33.75">
      <c r="A5" s="102">
        <v>1</v>
      </c>
      <c r="B5" s="267" t="s">
        <v>100</v>
      </c>
      <c r="C5" s="267" t="s">
        <v>80</v>
      </c>
      <c r="D5" s="267" t="s">
        <v>38</v>
      </c>
      <c r="E5" s="267" t="s">
        <v>82</v>
      </c>
      <c r="F5" s="267" t="s">
        <v>94</v>
      </c>
      <c r="G5" s="267" t="s">
        <v>65</v>
      </c>
      <c r="H5" s="267" t="s">
        <v>75</v>
      </c>
      <c r="I5" s="267" t="s">
        <v>61</v>
      </c>
      <c r="J5" s="268">
        <f>'Pg 2 CapStructure'!C6</f>
        <v>44561</v>
      </c>
      <c r="K5" s="268">
        <f>'Pg 2 CapStructure'!D6</f>
        <v>44592</v>
      </c>
      <c r="L5" s="268">
        <f>'Pg 2 CapStructure'!E6</f>
        <v>44620</v>
      </c>
      <c r="M5" s="268">
        <f>'Pg 2 CapStructure'!F6</f>
        <v>44651</v>
      </c>
      <c r="N5" s="268">
        <f>'Pg 2 CapStructure'!G6</f>
        <v>44681</v>
      </c>
      <c r="O5" s="268">
        <f>'Pg 2 CapStructure'!H6</f>
        <v>44712</v>
      </c>
      <c r="P5" s="268">
        <f>'Pg 2 CapStructure'!I6</f>
        <v>44742</v>
      </c>
      <c r="Q5" s="268">
        <f>'Pg 2 CapStructure'!J6</f>
        <v>44773</v>
      </c>
      <c r="R5" s="268">
        <f>'Pg 2 CapStructure'!K6</f>
        <v>44804</v>
      </c>
      <c r="S5" s="268">
        <f>'Pg 2 CapStructure'!L6</f>
        <v>44834</v>
      </c>
      <c r="T5" s="268">
        <f>'Pg 2 CapStructure'!M6</f>
        <v>44865</v>
      </c>
      <c r="U5" s="268">
        <f>'Pg 2 CapStructure'!N6</f>
        <v>44895</v>
      </c>
      <c r="V5" s="268">
        <f>'Pg 2 CapStructure'!O6</f>
        <v>44926</v>
      </c>
      <c r="W5" s="268"/>
      <c r="X5" s="295" t="s">
        <v>27</v>
      </c>
      <c r="Y5" s="295" t="s">
        <v>132</v>
      </c>
    </row>
    <row r="6" spans="1:26" s="22" customFormat="1">
      <c r="A6" s="102">
        <v>2</v>
      </c>
      <c r="B6" s="106" t="s">
        <v>154</v>
      </c>
      <c r="C6" s="353">
        <v>7.4800000000000005E-2</v>
      </c>
      <c r="D6" s="354">
        <v>35688</v>
      </c>
      <c r="E6" s="354">
        <v>46645</v>
      </c>
      <c r="F6" s="205">
        <f t="shared" ref="F6:F22" si="0">ROUND(((J6+V6)+(SUM(K6:U6)*2))/24,0)</f>
        <v>20000000</v>
      </c>
      <c r="G6" s="355">
        <v>98.99</v>
      </c>
      <c r="H6" s="138">
        <f>ROUND(YIELD(D6,E6,C6,G6,100,2,2),4)</f>
        <v>7.5700000000000003E-2</v>
      </c>
      <c r="I6" s="205">
        <f>ROUND(+H6*F6,0)</f>
        <v>1514000</v>
      </c>
      <c r="J6" s="352">
        <v>20000000</v>
      </c>
      <c r="K6" s="352">
        <v>20000000</v>
      </c>
      <c r="L6" s="352">
        <v>20000000</v>
      </c>
      <c r="M6" s="352">
        <v>20000000</v>
      </c>
      <c r="N6" s="352">
        <v>20000000</v>
      </c>
      <c r="O6" s="352">
        <v>20000000</v>
      </c>
      <c r="P6" s="352">
        <v>20000000</v>
      </c>
      <c r="Q6" s="352">
        <v>20000000</v>
      </c>
      <c r="R6" s="352">
        <v>20000000</v>
      </c>
      <c r="S6" s="352">
        <v>20000000</v>
      </c>
      <c r="T6" s="352">
        <v>20000000</v>
      </c>
      <c r="U6" s="352">
        <v>20000000</v>
      </c>
      <c r="V6" s="352">
        <v>20000000</v>
      </c>
      <c r="W6" s="205"/>
      <c r="X6" s="205">
        <f>H6*V6</f>
        <v>1514000</v>
      </c>
    </row>
    <row r="7" spans="1:26" s="22" customFormat="1">
      <c r="A7" s="102">
        <v>3</v>
      </c>
      <c r="B7" s="106" t="s">
        <v>154</v>
      </c>
      <c r="C7" s="353">
        <v>7.0980000000000001E-2</v>
      </c>
      <c r="D7" s="354">
        <v>36235</v>
      </c>
      <c r="E7" s="354">
        <v>47193</v>
      </c>
      <c r="F7" s="205">
        <f t="shared" si="0"/>
        <v>15000000</v>
      </c>
      <c r="G7" s="355">
        <v>98.99</v>
      </c>
      <c r="H7" s="138">
        <f>ROUND(YIELD(D7,E7,C7,G7,100,2,2),4)</f>
        <v>7.1800000000000003E-2</v>
      </c>
      <c r="I7" s="205">
        <f>ROUND(+H7*F7,0)</f>
        <v>1077000</v>
      </c>
      <c r="J7" s="352">
        <v>15000000</v>
      </c>
      <c r="K7" s="352">
        <v>15000000</v>
      </c>
      <c r="L7" s="352">
        <v>15000000</v>
      </c>
      <c r="M7" s="352">
        <v>15000000</v>
      </c>
      <c r="N7" s="352">
        <v>15000000</v>
      </c>
      <c r="O7" s="352">
        <v>15000000</v>
      </c>
      <c r="P7" s="352">
        <v>15000000</v>
      </c>
      <c r="Q7" s="352">
        <v>15000000</v>
      </c>
      <c r="R7" s="352">
        <v>15000000</v>
      </c>
      <c r="S7" s="352">
        <v>15000000</v>
      </c>
      <c r="T7" s="352">
        <v>15000000</v>
      </c>
      <c r="U7" s="352">
        <v>15000000</v>
      </c>
      <c r="V7" s="352">
        <v>15000000</v>
      </c>
      <c r="W7" s="205"/>
      <c r="X7" s="205">
        <f t="shared" ref="X7:X22" si="1">H7*V7</f>
        <v>1077000</v>
      </c>
    </row>
    <row r="8" spans="1:26" s="22" customFormat="1">
      <c r="A8" s="102">
        <v>4</v>
      </c>
      <c r="B8" s="106" t="s">
        <v>76</v>
      </c>
      <c r="C8" s="353">
        <v>5.79E-2</v>
      </c>
      <c r="D8" s="354">
        <v>39149</v>
      </c>
      <c r="E8" s="354">
        <v>50107</v>
      </c>
      <c r="F8" s="205">
        <f t="shared" si="0"/>
        <v>40000000</v>
      </c>
      <c r="G8" s="355">
        <v>99.42</v>
      </c>
      <c r="H8" s="138">
        <f>ROUND(YIELD(D8,E8,C8,G8,100,2,2),4)</f>
        <v>5.8299999999999998E-2</v>
      </c>
      <c r="I8" s="205">
        <f>ROUND(+H8*F8,0)</f>
        <v>2332000</v>
      </c>
      <c r="J8" s="352">
        <v>40000000</v>
      </c>
      <c r="K8" s="352">
        <v>40000000</v>
      </c>
      <c r="L8" s="352">
        <v>40000000</v>
      </c>
      <c r="M8" s="352">
        <v>40000000</v>
      </c>
      <c r="N8" s="352">
        <v>40000000</v>
      </c>
      <c r="O8" s="352">
        <v>40000000</v>
      </c>
      <c r="P8" s="352">
        <v>40000000</v>
      </c>
      <c r="Q8" s="352">
        <v>40000000</v>
      </c>
      <c r="R8" s="352">
        <v>40000000</v>
      </c>
      <c r="S8" s="352">
        <v>40000000</v>
      </c>
      <c r="T8" s="352">
        <v>40000000</v>
      </c>
      <c r="U8" s="352">
        <v>40000000</v>
      </c>
      <c r="V8" s="352">
        <v>40000000</v>
      </c>
      <c r="W8" s="205"/>
      <c r="X8" s="205">
        <f t="shared" si="1"/>
        <v>2332000</v>
      </c>
    </row>
    <row r="9" spans="1:26">
      <c r="A9" s="102">
        <v>5</v>
      </c>
      <c r="B9" s="106" t="s">
        <v>76</v>
      </c>
      <c r="C9" s="353">
        <v>4.1099999999999998E-2</v>
      </c>
      <c r="D9" s="354">
        <v>41509</v>
      </c>
      <c r="E9" s="354">
        <v>45892</v>
      </c>
      <c r="F9" s="205">
        <f t="shared" si="0"/>
        <v>25000000</v>
      </c>
      <c r="G9" s="355">
        <v>99.4</v>
      </c>
      <c r="H9" s="138">
        <f>ROUND(YIELD(D9,E9,C9,G9,100,2,2),4)</f>
        <v>4.1700000000000001E-2</v>
      </c>
      <c r="I9" s="205">
        <f>ROUND(+H9*F9,0)</f>
        <v>1042500</v>
      </c>
      <c r="J9" s="352">
        <v>25000000</v>
      </c>
      <c r="K9" s="352">
        <v>25000000</v>
      </c>
      <c r="L9" s="352">
        <v>25000000</v>
      </c>
      <c r="M9" s="352">
        <v>25000000</v>
      </c>
      <c r="N9" s="352">
        <v>25000000</v>
      </c>
      <c r="O9" s="352">
        <v>25000000</v>
      </c>
      <c r="P9" s="352">
        <v>25000000</v>
      </c>
      <c r="Q9" s="352">
        <v>25000000</v>
      </c>
      <c r="R9" s="352">
        <v>25000000</v>
      </c>
      <c r="S9" s="352">
        <v>25000000</v>
      </c>
      <c r="T9" s="352">
        <v>25000000</v>
      </c>
      <c r="U9" s="352">
        <v>25000000</v>
      </c>
      <c r="V9" s="352">
        <v>25000000</v>
      </c>
      <c r="W9" s="205"/>
      <c r="X9" s="205">
        <f t="shared" si="1"/>
        <v>1042500</v>
      </c>
      <c r="Y9" s="22"/>
    </row>
    <row r="10" spans="1:26">
      <c r="A10" s="102">
        <v>6</v>
      </c>
      <c r="B10" s="106" t="s">
        <v>76</v>
      </c>
      <c r="C10" s="353">
        <v>4.36E-2</v>
      </c>
      <c r="D10" s="354">
        <v>41509</v>
      </c>
      <c r="E10" s="354">
        <v>46988</v>
      </c>
      <c r="F10" s="205">
        <f t="shared" si="0"/>
        <v>25000000</v>
      </c>
      <c r="G10" s="355">
        <v>99.4</v>
      </c>
      <c r="H10" s="138">
        <f t="shared" ref="H10:H22" si="2">ROUND(YIELD(D10,E10,C10,G10,100,2,2),4)</f>
        <v>4.4200000000000003E-2</v>
      </c>
      <c r="I10" s="205">
        <f t="shared" ref="I10:I22" si="3">ROUND(+H10*F10,0)</f>
        <v>1105000</v>
      </c>
      <c r="J10" s="352">
        <v>25000000</v>
      </c>
      <c r="K10" s="352">
        <v>25000000</v>
      </c>
      <c r="L10" s="352">
        <v>25000000</v>
      </c>
      <c r="M10" s="352">
        <v>25000000</v>
      </c>
      <c r="N10" s="352">
        <v>25000000</v>
      </c>
      <c r="O10" s="352">
        <v>25000000</v>
      </c>
      <c r="P10" s="352">
        <v>25000000</v>
      </c>
      <c r="Q10" s="352">
        <v>25000000</v>
      </c>
      <c r="R10" s="352">
        <v>25000000</v>
      </c>
      <c r="S10" s="352">
        <v>25000000</v>
      </c>
      <c r="T10" s="352">
        <v>25000000</v>
      </c>
      <c r="U10" s="352">
        <v>25000000</v>
      </c>
      <c r="V10" s="352">
        <v>25000000</v>
      </c>
      <c r="W10" s="205"/>
      <c r="X10" s="205">
        <f t="shared" si="1"/>
        <v>1105000</v>
      </c>
    </row>
    <row r="11" spans="1:26">
      <c r="A11" s="102">
        <v>7</v>
      </c>
      <c r="B11" s="106" t="s">
        <v>76</v>
      </c>
      <c r="C11" s="353">
        <v>4.0899999999999999E-2</v>
      </c>
      <c r="D11" s="354">
        <v>41967</v>
      </c>
      <c r="E11" s="354">
        <v>52925</v>
      </c>
      <c r="F11" s="205">
        <f t="shared" si="0"/>
        <v>12500000</v>
      </c>
      <c r="G11" s="355">
        <v>99.5</v>
      </c>
      <c r="H11" s="138">
        <f t="shared" si="2"/>
        <v>4.1200000000000001E-2</v>
      </c>
      <c r="I11" s="205">
        <f t="shared" si="3"/>
        <v>515000</v>
      </c>
      <c r="J11" s="352">
        <v>12500000</v>
      </c>
      <c r="K11" s="352">
        <v>12500000</v>
      </c>
      <c r="L11" s="352">
        <v>12500000</v>
      </c>
      <c r="M11" s="352">
        <v>12500000</v>
      </c>
      <c r="N11" s="352">
        <v>12500000</v>
      </c>
      <c r="O11" s="352">
        <v>12500000</v>
      </c>
      <c r="P11" s="352">
        <v>12500000</v>
      </c>
      <c r="Q11" s="352">
        <v>12500000</v>
      </c>
      <c r="R11" s="352">
        <v>12500000</v>
      </c>
      <c r="S11" s="352">
        <v>12500000</v>
      </c>
      <c r="T11" s="352">
        <v>12500000</v>
      </c>
      <c r="U11" s="352">
        <v>12500000</v>
      </c>
      <c r="V11" s="352">
        <v>12500000</v>
      </c>
      <c r="W11" s="205"/>
      <c r="X11" s="205">
        <f t="shared" si="1"/>
        <v>515000</v>
      </c>
    </row>
    <row r="12" spans="1:26">
      <c r="A12" s="102">
        <v>8</v>
      </c>
      <c r="B12" s="106" t="s">
        <v>76</v>
      </c>
      <c r="C12" s="353">
        <v>4.24E-2</v>
      </c>
      <c r="D12" s="354">
        <v>41967</v>
      </c>
      <c r="E12" s="354">
        <v>56577</v>
      </c>
      <c r="F12" s="205">
        <f t="shared" si="0"/>
        <v>12500000</v>
      </c>
      <c r="G12" s="355">
        <v>99.51</v>
      </c>
      <c r="H12" s="138">
        <f t="shared" si="2"/>
        <v>4.2700000000000002E-2</v>
      </c>
      <c r="I12" s="205">
        <f t="shared" si="3"/>
        <v>533750</v>
      </c>
      <c r="J12" s="352">
        <v>12500000</v>
      </c>
      <c r="K12" s="352">
        <v>12500000</v>
      </c>
      <c r="L12" s="352">
        <v>12500000</v>
      </c>
      <c r="M12" s="352">
        <v>12500000</v>
      </c>
      <c r="N12" s="352">
        <v>12500000</v>
      </c>
      <c r="O12" s="352">
        <v>12500000</v>
      </c>
      <c r="P12" s="352">
        <v>12500000</v>
      </c>
      <c r="Q12" s="352">
        <v>12500000</v>
      </c>
      <c r="R12" s="352">
        <v>12500000</v>
      </c>
      <c r="S12" s="352">
        <v>12500000</v>
      </c>
      <c r="T12" s="352">
        <v>12500000</v>
      </c>
      <c r="U12" s="352">
        <v>12500000</v>
      </c>
      <c r="V12" s="352">
        <v>12500000</v>
      </c>
      <c r="W12" s="205"/>
      <c r="X12" s="205">
        <f t="shared" si="1"/>
        <v>533750</v>
      </c>
    </row>
    <row r="13" spans="1:26">
      <c r="A13" s="102">
        <v>9</v>
      </c>
      <c r="B13" s="106" t="s">
        <v>76</v>
      </c>
      <c r="C13" s="353">
        <v>4.0899999999999999E-2</v>
      </c>
      <c r="D13" s="354">
        <v>42019</v>
      </c>
      <c r="E13" s="354">
        <v>52977</v>
      </c>
      <c r="F13" s="205">
        <f t="shared" si="0"/>
        <v>12500000</v>
      </c>
      <c r="G13" s="355">
        <v>99.5</v>
      </c>
      <c r="H13" s="138">
        <f t="shared" si="2"/>
        <v>4.1200000000000001E-2</v>
      </c>
      <c r="I13" s="205">
        <f t="shared" si="3"/>
        <v>515000</v>
      </c>
      <c r="J13" s="352">
        <v>12500000</v>
      </c>
      <c r="K13" s="352">
        <v>12500000</v>
      </c>
      <c r="L13" s="352">
        <v>12500000</v>
      </c>
      <c r="M13" s="352">
        <v>12500000</v>
      </c>
      <c r="N13" s="352">
        <v>12500000</v>
      </c>
      <c r="O13" s="352">
        <v>12500000</v>
      </c>
      <c r="P13" s="352">
        <v>12500000</v>
      </c>
      <c r="Q13" s="352">
        <v>12500000</v>
      </c>
      <c r="R13" s="352">
        <v>12500000</v>
      </c>
      <c r="S13" s="352">
        <v>12500000</v>
      </c>
      <c r="T13" s="352">
        <v>12500000</v>
      </c>
      <c r="U13" s="352">
        <v>12500000</v>
      </c>
      <c r="V13" s="352">
        <v>12500000</v>
      </c>
      <c r="W13" s="205"/>
      <c r="X13" s="205">
        <f t="shared" si="1"/>
        <v>515000</v>
      </c>
    </row>
    <row r="14" spans="1:26">
      <c r="A14" s="102">
        <v>10</v>
      </c>
      <c r="B14" s="106" t="s">
        <v>76</v>
      </c>
      <c r="C14" s="353">
        <v>4.24E-2</v>
      </c>
      <c r="D14" s="354">
        <v>42019</v>
      </c>
      <c r="E14" s="354">
        <v>56629</v>
      </c>
      <c r="F14" s="205">
        <f t="shared" si="0"/>
        <v>12500000</v>
      </c>
      <c r="G14" s="355">
        <v>99.51</v>
      </c>
      <c r="H14" s="138">
        <f t="shared" si="2"/>
        <v>4.2700000000000002E-2</v>
      </c>
      <c r="I14" s="205">
        <f t="shared" si="3"/>
        <v>533750</v>
      </c>
      <c r="J14" s="352">
        <v>12500000</v>
      </c>
      <c r="K14" s="352">
        <v>12500000</v>
      </c>
      <c r="L14" s="352">
        <v>12500000</v>
      </c>
      <c r="M14" s="352">
        <v>12500000</v>
      </c>
      <c r="N14" s="352">
        <v>12500000</v>
      </c>
      <c r="O14" s="352">
        <v>12500000</v>
      </c>
      <c r="P14" s="352">
        <v>12500000</v>
      </c>
      <c r="Q14" s="352">
        <v>12500000</v>
      </c>
      <c r="R14" s="352">
        <v>12500000</v>
      </c>
      <c r="S14" s="352">
        <v>12500000</v>
      </c>
      <c r="T14" s="352">
        <v>12500000</v>
      </c>
      <c r="U14" s="352">
        <v>12500000</v>
      </c>
      <c r="V14" s="352">
        <v>12500000</v>
      </c>
      <c r="W14" s="205"/>
      <c r="X14" s="205">
        <f t="shared" si="1"/>
        <v>533750</v>
      </c>
      <c r="Z14" s="356" t="s">
        <v>164</v>
      </c>
    </row>
    <row r="15" spans="1:26">
      <c r="A15" s="102">
        <v>11</v>
      </c>
      <c r="B15" s="106" t="s">
        <v>76</v>
      </c>
      <c r="C15" s="353">
        <v>3.6200000000000003E-2</v>
      </c>
      <c r="D15" s="354">
        <v>43629</v>
      </c>
      <c r="E15" s="354">
        <v>47282</v>
      </c>
      <c r="F15" s="205">
        <f t="shared" si="0"/>
        <v>25000000</v>
      </c>
      <c r="G15" s="355">
        <v>99.49</v>
      </c>
      <c r="H15" s="138">
        <f t="shared" si="2"/>
        <v>3.6799999999999999E-2</v>
      </c>
      <c r="I15" s="205">
        <f t="shared" si="3"/>
        <v>920000</v>
      </c>
      <c r="J15" s="352">
        <v>25000000</v>
      </c>
      <c r="K15" s="352">
        <v>25000000</v>
      </c>
      <c r="L15" s="352">
        <v>25000000</v>
      </c>
      <c r="M15" s="352">
        <v>25000000</v>
      </c>
      <c r="N15" s="352">
        <v>25000000</v>
      </c>
      <c r="O15" s="352">
        <v>25000000</v>
      </c>
      <c r="P15" s="352">
        <v>25000000</v>
      </c>
      <c r="Q15" s="352">
        <v>25000000</v>
      </c>
      <c r="R15" s="352">
        <v>25000000</v>
      </c>
      <c r="S15" s="352">
        <v>25000000</v>
      </c>
      <c r="T15" s="352">
        <v>25000000</v>
      </c>
      <c r="U15" s="352">
        <v>25000000</v>
      </c>
      <c r="V15" s="352">
        <v>25000000</v>
      </c>
      <c r="W15" s="205"/>
      <c r="X15" s="205">
        <f t="shared" si="1"/>
        <v>920000</v>
      </c>
      <c r="Z15" s="356" t="s">
        <v>165</v>
      </c>
    </row>
    <row r="16" spans="1:26">
      <c r="A16" s="102">
        <v>12</v>
      </c>
      <c r="B16" s="106" t="s">
        <v>76</v>
      </c>
      <c r="C16" s="353">
        <v>3.8199999999999998E-2</v>
      </c>
      <c r="D16" s="354">
        <v>43629</v>
      </c>
      <c r="E16" s="354">
        <v>49108</v>
      </c>
      <c r="F16" s="205">
        <f t="shared" si="0"/>
        <v>20000000</v>
      </c>
      <c r="G16" s="355">
        <v>99.49</v>
      </c>
      <c r="H16" s="138">
        <f t="shared" si="2"/>
        <v>3.8699999999999998E-2</v>
      </c>
      <c r="I16" s="205">
        <f t="shared" si="3"/>
        <v>774000</v>
      </c>
      <c r="J16" s="352">
        <v>20000000</v>
      </c>
      <c r="K16" s="352">
        <v>20000000</v>
      </c>
      <c r="L16" s="352">
        <v>20000000</v>
      </c>
      <c r="M16" s="352">
        <v>20000000</v>
      </c>
      <c r="N16" s="352">
        <v>20000000</v>
      </c>
      <c r="O16" s="352">
        <v>20000000</v>
      </c>
      <c r="P16" s="352">
        <v>20000000</v>
      </c>
      <c r="Q16" s="352">
        <v>20000000</v>
      </c>
      <c r="R16" s="352">
        <v>20000000</v>
      </c>
      <c r="S16" s="352">
        <v>20000000</v>
      </c>
      <c r="T16" s="352">
        <v>20000000</v>
      </c>
      <c r="U16" s="352">
        <v>20000000</v>
      </c>
      <c r="V16" s="352">
        <v>20000000</v>
      </c>
      <c r="W16" s="205"/>
      <c r="X16" s="205">
        <f t="shared" si="1"/>
        <v>774000</v>
      </c>
    </row>
    <row r="17" spans="1:25">
      <c r="A17" s="102">
        <v>13</v>
      </c>
      <c r="B17" s="106" t="s">
        <v>76</v>
      </c>
      <c r="C17" s="353">
        <v>4.2599999999999999E-2</v>
      </c>
      <c r="D17" s="354">
        <v>43629</v>
      </c>
      <c r="E17" s="354">
        <v>54587</v>
      </c>
      <c r="F17" s="205">
        <f t="shared" si="0"/>
        <v>30000000</v>
      </c>
      <c r="G17" s="355">
        <v>99.49</v>
      </c>
      <c r="H17" s="138">
        <f t="shared" si="2"/>
        <v>4.2900000000000001E-2</v>
      </c>
      <c r="I17" s="205">
        <f t="shared" si="3"/>
        <v>1287000</v>
      </c>
      <c r="J17" s="352">
        <v>30000000</v>
      </c>
      <c r="K17" s="352">
        <v>30000000</v>
      </c>
      <c r="L17" s="352">
        <v>30000000</v>
      </c>
      <c r="M17" s="352">
        <v>30000000</v>
      </c>
      <c r="N17" s="352">
        <v>30000000</v>
      </c>
      <c r="O17" s="352">
        <v>30000000</v>
      </c>
      <c r="P17" s="352">
        <v>30000000</v>
      </c>
      <c r="Q17" s="352">
        <v>30000000</v>
      </c>
      <c r="R17" s="352">
        <v>30000000</v>
      </c>
      <c r="S17" s="352">
        <v>30000000</v>
      </c>
      <c r="T17" s="352">
        <v>30000000</v>
      </c>
      <c r="U17" s="352">
        <v>30000000</v>
      </c>
      <c r="V17" s="352">
        <v>30000000</v>
      </c>
      <c r="W17" s="205"/>
      <c r="X17" s="205">
        <f t="shared" si="1"/>
        <v>1287000</v>
      </c>
    </row>
    <row r="18" spans="1:25">
      <c r="A18" s="102">
        <v>14</v>
      </c>
      <c r="B18" s="106" t="s">
        <v>76</v>
      </c>
      <c r="C18" s="353">
        <v>3.5799999999999998E-2</v>
      </c>
      <c r="D18" s="354">
        <v>43997</v>
      </c>
      <c r="E18" s="354">
        <v>54954</v>
      </c>
      <c r="F18" s="205">
        <f t="shared" si="0"/>
        <v>30000000</v>
      </c>
      <c r="G18" s="355">
        <v>99.57</v>
      </c>
      <c r="H18" s="138">
        <f t="shared" si="2"/>
        <v>3.5999999999999997E-2</v>
      </c>
      <c r="I18" s="205">
        <f t="shared" si="3"/>
        <v>1080000</v>
      </c>
      <c r="J18" s="352">
        <v>30000000</v>
      </c>
      <c r="K18" s="352">
        <v>30000000</v>
      </c>
      <c r="L18" s="352">
        <v>30000000</v>
      </c>
      <c r="M18" s="352">
        <v>30000000</v>
      </c>
      <c r="N18" s="352">
        <v>30000000</v>
      </c>
      <c r="O18" s="352">
        <v>30000000</v>
      </c>
      <c r="P18" s="352">
        <v>30000000</v>
      </c>
      <c r="Q18" s="352">
        <v>30000000</v>
      </c>
      <c r="R18" s="352">
        <v>30000000</v>
      </c>
      <c r="S18" s="352">
        <v>30000000</v>
      </c>
      <c r="T18" s="352">
        <v>30000000</v>
      </c>
      <c r="U18" s="352">
        <v>30000000</v>
      </c>
      <c r="V18" s="352">
        <v>30000000</v>
      </c>
      <c r="W18" s="205"/>
      <c r="X18" s="205">
        <f t="shared" si="1"/>
        <v>1080000</v>
      </c>
    </row>
    <row r="19" spans="1:25">
      <c r="A19" s="102">
        <v>15</v>
      </c>
      <c r="B19" s="106" t="s">
        <v>76</v>
      </c>
      <c r="C19" s="353">
        <v>3.78E-2</v>
      </c>
      <c r="D19" s="354">
        <v>43997</v>
      </c>
      <c r="E19" s="354">
        <v>58607</v>
      </c>
      <c r="F19" s="205">
        <f t="shared" si="0"/>
        <v>20000000</v>
      </c>
      <c r="G19" s="355">
        <v>99.57</v>
      </c>
      <c r="H19" s="138">
        <f t="shared" si="2"/>
        <v>3.7999999999999999E-2</v>
      </c>
      <c r="I19" s="205">
        <f t="shared" si="3"/>
        <v>760000</v>
      </c>
      <c r="J19" s="352">
        <v>20000000</v>
      </c>
      <c r="K19" s="352">
        <v>20000000</v>
      </c>
      <c r="L19" s="352">
        <v>20000000</v>
      </c>
      <c r="M19" s="352">
        <v>20000000</v>
      </c>
      <c r="N19" s="352">
        <v>20000000</v>
      </c>
      <c r="O19" s="352">
        <v>20000000</v>
      </c>
      <c r="P19" s="352">
        <v>20000000</v>
      </c>
      <c r="Q19" s="352">
        <v>20000000</v>
      </c>
      <c r="R19" s="352">
        <v>20000000</v>
      </c>
      <c r="S19" s="352">
        <v>20000000</v>
      </c>
      <c r="T19" s="352">
        <v>20000000</v>
      </c>
      <c r="U19" s="352">
        <v>20000000</v>
      </c>
      <c r="V19" s="352">
        <v>20000000</v>
      </c>
      <c r="W19" s="205"/>
      <c r="X19" s="205">
        <f t="shared" si="1"/>
        <v>760000</v>
      </c>
    </row>
    <row r="20" spans="1:25">
      <c r="A20" s="102">
        <v>16</v>
      </c>
      <c r="B20" s="106" t="s">
        <v>76</v>
      </c>
      <c r="C20" s="353">
        <v>3.3399999999999999E-2</v>
      </c>
      <c r="D20" s="354">
        <v>44134</v>
      </c>
      <c r="E20" s="354">
        <v>58744</v>
      </c>
      <c r="F20" s="205">
        <f t="shared" si="0"/>
        <v>25000000</v>
      </c>
      <c r="G20" s="355">
        <v>99.41</v>
      </c>
      <c r="H20" s="138">
        <f t="shared" si="2"/>
        <v>3.3700000000000001E-2</v>
      </c>
      <c r="I20" s="205">
        <f t="shared" si="3"/>
        <v>842500</v>
      </c>
      <c r="J20" s="352">
        <v>25000000</v>
      </c>
      <c r="K20" s="352">
        <v>25000000</v>
      </c>
      <c r="L20" s="352">
        <v>25000000</v>
      </c>
      <c r="M20" s="352">
        <v>25000000</v>
      </c>
      <c r="N20" s="352">
        <v>25000000</v>
      </c>
      <c r="O20" s="352">
        <v>25000000</v>
      </c>
      <c r="P20" s="352">
        <v>25000000</v>
      </c>
      <c r="Q20" s="352">
        <v>25000000</v>
      </c>
      <c r="R20" s="352">
        <v>25000000</v>
      </c>
      <c r="S20" s="352">
        <v>25000000</v>
      </c>
      <c r="T20" s="352">
        <v>25000000</v>
      </c>
      <c r="U20" s="352">
        <v>25000000</v>
      </c>
      <c r="V20" s="352">
        <v>25000000</v>
      </c>
      <c r="W20" s="205"/>
      <c r="X20" s="205">
        <f t="shared" si="1"/>
        <v>842500</v>
      </c>
    </row>
    <row r="21" spans="1:25">
      <c r="A21" s="102">
        <v>17</v>
      </c>
      <c r="B21" s="106" t="s">
        <v>76</v>
      </c>
      <c r="C21" s="353">
        <v>4.2599999999999999E-2</v>
      </c>
      <c r="D21" s="354">
        <v>44727</v>
      </c>
      <c r="E21" s="354">
        <v>48380</v>
      </c>
      <c r="F21" s="205">
        <f t="shared" si="0"/>
        <v>15000000</v>
      </c>
      <c r="G21" s="355">
        <v>99.64</v>
      </c>
      <c r="H21" s="138">
        <f t="shared" si="2"/>
        <v>4.2999999999999997E-2</v>
      </c>
      <c r="I21" s="205">
        <f t="shared" si="3"/>
        <v>645000</v>
      </c>
      <c r="J21" s="352">
        <v>15000000</v>
      </c>
      <c r="K21" s="352">
        <v>15000000</v>
      </c>
      <c r="L21" s="352">
        <v>15000000</v>
      </c>
      <c r="M21" s="352">
        <v>15000000</v>
      </c>
      <c r="N21" s="352">
        <v>15000000</v>
      </c>
      <c r="O21" s="352">
        <v>15000000</v>
      </c>
      <c r="P21" s="352">
        <v>15000000</v>
      </c>
      <c r="Q21" s="352">
        <v>15000000</v>
      </c>
      <c r="R21" s="352">
        <v>15000000</v>
      </c>
      <c r="S21" s="352">
        <v>15000000</v>
      </c>
      <c r="T21" s="352">
        <v>15000000</v>
      </c>
      <c r="U21" s="352">
        <v>15000000</v>
      </c>
      <c r="V21" s="352">
        <v>15000000</v>
      </c>
      <c r="W21" s="205"/>
      <c r="X21" s="205">
        <f t="shared" si="1"/>
        <v>645000</v>
      </c>
    </row>
    <row r="22" spans="1:25">
      <c r="A22" s="102">
        <v>18</v>
      </c>
      <c r="B22" s="106" t="s">
        <v>76</v>
      </c>
      <c r="C22" s="353">
        <v>4.5999999999999999E-2</v>
      </c>
      <c r="D22" s="354">
        <v>44727</v>
      </c>
      <c r="E22" s="354">
        <v>55685</v>
      </c>
      <c r="F22" s="205">
        <f t="shared" si="0"/>
        <v>35000000</v>
      </c>
      <c r="G22" s="355">
        <v>99.64</v>
      </c>
      <c r="H22" s="138">
        <f t="shared" si="2"/>
        <v>4.6199999999999998E-2</v>
      </c>
      <c r="I22" s="205">
        <f t="shared" si="3"/>
        <v>1617000</v>
      </c>
      <c r="J22" s="352">
        <v>35000000</v>
      </c>
      <c r="K22" s="352">
        <v>35000000</v>
      </c>
      <c r="L22" s="352">
        <v>35000000</v>
      </c>
      <c r="M22" s="352">
        <v>35000000</v>
      </c>
      <c r="N22" s="352">
        <v>35000000</v>
      </c>
      <c r="O22" s="352">
        <v>35000000</v>
      </c>
      <c r="P22" s="352">
        <v>35000000</v>
      </c>
      <c r="Q22" s="352">
        <v>35000000</v>
      </c>
      <c r="R22" s="352">
        <v>35000000</v>
      </c>
      <c r="S22" s="352">
        <v>35000000</v>
      </c>
      <c r="T22" s="352">
        <v>35000000</v>
      </c>
      <c r="U22" s="352">
        <v>35000000</v>
      </c>
      <c r="V22" s="352">
        <v>35000000</v>
      </c>
      <c r="W22" s="205"/>
      <c r="X22" s="205">
        <f t="shared" si="1"/>
        <v>1617000</v>
      </c>
    </row>
    <row r="23" spans="1:25">
      <c r="A23" s="102">
        <v>19</v>
      </c>
      <c r="B23"/>
      <c r="C23" s="211"/>
      <c r="D23" s="212"/>
      <c r="E23" s="212"/>
      <c r="F23" s="205"/>
      <c r="G23" s="213"/>
      <c r="H23" s="138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</row>
    <row r="24" spans="1:25">
      <c r="A24" s="102">
        <v>20</v>
      </c>
      <c r="B24"/>
      <c r="C24" s="211"/>
      <c r="D24" s="212"/>
      <c r="E24" s="212"/>
      <c r="F24" s="205"/>
      <c r="G24" s="213"/>
      <c r="H24" s="138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</row>
    <row r="25" spans="1:25">
      <c r="A25" s="102">
        <v>21</v>
      </c>
      <c r="B25" s="106"/>
      <c r="C25" s="211"/>
      <c r="D25" s="212"/>
      <c r="E25" s="212"/>
      <c r="F25" s="205"/>
      <c r="G25" s="216"/>
      <c r="H25" s="138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96">
        <f>SUM(X6:X24)</f>
        <v>17093500</v>
      </c>
    </row>
    <row r="26" spans="1:25" ht="13.5" thickBot="1">
      <c r="A26" s="102">
        <v>22</v>
      </c>
      <c r="B26" s="106"/>
      <c r="C26" s="108" t="s">
        <v>93</v>
      </c>
      <c r="D26" s="212"/>
      <c r="E26" s="212"/>
      <c r="F26" s="205"/>
      <c r="G26" s="214"/>
      <c r="H26" s="138"/>
      <c r="I26" s="361">
        <f>'Pg 7 Reacquired Debt'!I13</f>
        <v>59922.720000000001</v>
      </c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205"/>
      <c r="X26" s="296">
        <f>I26</f>
        <v>59922.720000000001</v>
      </c>
    </row>
    <row r="27" spans="1:25" ht="13.5" thickBot="1">
      <c r="A27" s="102">
        <v>23</v>
      </c>
      <c r="B27" s="108" t="s">
        <v>102</v>
      </c>
      <c r="C27" s="211"/>
      <c r="D27" s="212"/>
      <c r="E27" s="212"/>
      <c r="F27" s="215">
        <f>SUM(F6:F26)</f>
        <v>375000000</v>
      </c>
      <c r="G27" s="107"/>
      <c r="H27" s="163">
        <f>ROUND(+I27/F27,4)</f>
        <v>4.5699999999999998E-2</v>
      </c>
      <c r="I27" s="217">
        <f t="shared" ref="I27:V27" si="4">SUM(I6:I26)</f>
        <v>17153422.719999999</v>
      </c>
      <c r="J27" s="217">
        <f t="shared" si="4"/>
        <v>375000000</v>
      </c>
      <c r="K27" s="217">
        <f t="shared" si="4"/>
        <v>375000000</v>
      </c>
      <c r="L27" s="217">
        <f t="shared" si="4"/>
        <v>375000000</v>
      </c>
      <c r="M27" s="217">
        <f t="shared" si="4"/>
        <v>375000000</v>
      </c>
      <c r="N27" s="217">
        <f t="shared" si="4"/>
        <v>375000000</v>
      </c>
      <c r="O27" s="217">
        <f t="shared" si="4"/>
        <v>375000000</v>
      </c>
      <c r="P27" s="217">
        <f t="shared" si="4"/>
        <v>375000000</v>
      </c>
      <c r="Q27" s="217">
        <f t="shared" si="4"/>
        <v>375000000</v>
      </c>
      <c r="R27" s="217">
        <f t="shared" si="4"/>
        <v>375000000</v>
      </c>
      <c r="S27" s="217">
        <f t="shared" si="4"/>
        <v>375000000</v>
      </c>
      <c r="T27" s="217">
        <f t="shared" si="4"/>
        <v>375000000</v>
      </c>
      <c r="U27" s="217">
        <f t="shared" si="4"/>
        <v>375000000</v>
      </c>
      <c r="V27" s="217">
        <f t="shared" si="4"/>
        <v>375000000</v>
      </c>
      <c r="W27" s="206"/>
      <c r="X27" s="217">
        <f>SUM(X25:X26)</f>
        <v>17153422.719999999</v>
      </c>
      <c r="Y27" s="297">
        <f>X27/V27</f>
        <v>4.5742460586666665E-2</v>
      </c>
    </row>
    <row r="28" spans="1:25" ht="13.5" thickBot="1">
      <c r="A28" s="102">
        <v>24</v>
      </c>
      <c r="B28" s="106"/>
      <c r="C28" s="211"/>
      <c r="D28" s="212"/>
      <c r="E28" s="212"/>
      <c r="F28" s="206"/>
      <c r="G28" s="214"/>
      <c r="H28" s="184"/>
      <c r="I28" s="206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06">
        <f>H28*S28</f>
        <v>0</v>
      </c>
    </row>
    <row r="29" spans="1:25" ht="13.5" thickBot="1">
      <c r="A29" s="102">
        <v>25</v>
      </c>
      <c r="B29" s="108" t="s">
        <v>145</v>
      </c>
      <c r="C29" s="211"/>
      <c r="D29" s="212"/>
      <c r="E29" s="212"/>
      <c r="F29" s="206">
        <f>F27</f>
        <v>375000000</v>
      </c>
      <c r="G29" s="206">
        <f>SUM(I6:I24)</f>
        <v>17093500</v>
      </c>
      <c r="H29" s="163">
        <f>ROUND(+G29/F29,4)</f>
        <v>4.5600000000000002E-2</v>
      </c>
      <c r="J29" s="337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06"/>
    </row>
    <row r="30" spans="1:25">
      <c r="A30" s="102">
        <v>26</v>
      </c>
      <c r="B30" s="106"/>
      <c r="C30" s="211"/>
      <c r="D30" s="212"/>
      <c r="E30" s="212"/>
      <c r="F30" s="206"/>
      <c r="G30" s="214"/>
      <c r="H30" s="184"/>
      <c r="I30" s="206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06"/>
    </row>
    <row r="31" spans="1:25">
      <c r="A31" s="102">
        <v>27</v>
      </c>
      <c r="B31" t="s">
        <v>135</v>
      </c>
      <c r="C31" s="211"/>
      <c r="D31" s="212"/>
      <c r="E31" s="212"/>
      <c r="F31" s="362">
        <f>'Pg 3 STD Cost Rate'!C17</f>
        <v>52406250</v>
      </c>
      <c r="G31" s="362">
        <f>'Pg 3 STD Cost Rate'!E17</f>
        <v>1727859.87</v>
      </c>
      <c r="H31" s="312">
        <f>ROUND(G31/F31,4)</f>
        <v>3.3000000000000002E-2</v>
      </c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06"/>
    </row>
    <row r="32" spans="1:25">
      <c r="A32" s="102">
        <v>28</v>
      </c>
      <c r="B32" s="106"/>
      <c r="C32" s="211"/>
      <c r="D32" s="212"/>
      <c r="E32" s="212"/>
      <c r="F32" s="206"/>
      <c r="G32" s="214"/>
      <c r="H32" s="184"/>
      <c r="I32" s="206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06"/>
    </row>
    <row r="33" spans="1:55">
      <c r="A33" s="102">
        <v>29</v>
      </c>
      <c r="B33" s="313" t="s">
        <v>136</v>
      </c>
      <c r="C33" s="211"/>
      <c r="D33" s="212"/>
      <c r="E33" s="212"/>
      <c r="F33" s="206">
        <f>F31+F27</f>
        <v>427406250</v>
      </c>
      <c r="G33" s="206">
        <f>G31+G29</f>
        <v>18821359.870000001</v>
      </c>
      <c r="H33" s="312">
        <f>ROUND(G33/F33,4)</f>
        <v>4.3999999999999997E-2</v>
      </c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06"/>
    </row>
    <row r="34" spans="1:55">
      <c r="A34" s="102">
        <v>30</v>
      </c>
      <c r="B34" s="106"/>
      <c r="C34" s="211"/>
      <c r="D34" s="212"/>
      <c r="E34" s="212"/>
      <c r="F34" s="206"/>
      <c r="G34" s="214"/>
      <c r="H34" s="184"/>
      <c r="I34" s="206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06"/>
    </row>
    <row r="35" spans="1:55">
      <c r="A35" s="102">
        <v>31</v>
      </c>
      <c r="B35" s="104" t="s">
        <v>66</v>
      </c>
      <c r="C35" s="105"/>
      <c r="D35" s="105"/>
      <c r="E35" s="105"/>
      <c r="F35" s="105"/>
      <c r="G35" s="105"/>
      <c r="H35" s="105"/>
      <c r="I35" s="105"/>
      <c r="X35" s="206"/>
      <c r="Y35" s="184"/>
    </row>
    <row r="36" spans="1:55">
      <c r="A36" s="102">
        <v>32</v>
      </c>
      <c r="B36" s="104" t="s">
        <v>74</v>
      </c>
      <c r="C36" s="105"/>
      <c r="D36" s="105"/>
      <c r="E36" s="105"/>
      <c r="F36" s="105"/>
      <c r="G36" s="107"/>
      <c r="H36" s="105"/>
      <c r="I36" s="105"/>
    </row>
    <row r="37" spans="1:55">
      <c r="A37" s="102"/>
      <c r="B37" s="104"/>
      <c r="C37" s="105"/>
      <c r="D37" s="105"/>
      <c r="E37" s="105"/>
      <c r="F37" s="105"/>
      <c r="G37" s="107"/>
      <c r="H37" s="105"/>
      <c r="I37" s="105"/>
    </row>
    <row r="38" spans="1:55">
      <c r="A38" s="102"/>
      <c r="B38" s="104"/>
      <c r="C38" s="105"/>
      <c r="D38" s="105"/>
      <c r="E38" s="105"/>
      <c r="F38" s="105"/>
      <c r="G38" s="107"/>
      <c r="H38" s="105"/>
      <c r="I38" s="105"/>
    </row>
    <row r="39" spans="1:55">
      <c r="A39" s="102"/>
      <c r="B39" s="103"/>
      <c r="C39" s="103"/>
      <c r="D39" s="103"/>
      <c r="E39" s="237"/>
      <c r="G39" s="103"/>
      <c r="H39" s="218"/>
      <c r="I39" s="219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</row>
    <row r="40" spans="1:55">
      <c r="A40" s="37"/>
      <c r="H40" s="105"/>
      <c r="I40" s="13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55">
      <c r="A41" s="37"/>
      <c r="F41" s="204"/>
      <c r="H41" s="103"/>
      <c r="I41" s="219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</row>
    <row r="42" spans="1:55">
      <c r="A42" s="37"/>
      <c r="B42" s="22"/>
      <c r="C42" s="22"/>
      <c r="D42" s="22"/>
      <c r="E42" s="22"/>
      <c r="G42" s="22"/>
      <c r="H42" s="22"/>
      <c r="I42" s="38"/>
      <c r="J42" s="37" t="str">
        <f t="shared" ref="J42:S42" si="5">IF(J41&lt;&gt;0,"ERROR","")</f>
        <v/>
      </c>
      <c r="K42" s="37" t="str">
        <f t="shared" si="5"/>
        <v/>
      </c>
      <c r="L42" s="37" t="str">
        <f t="shared" si="5"/>
        <v/>
      </c>
      <c r="M42" s="37" t="str">
        <f t="shared" si="5"/>
        <v/>
      </c>
      <c r="N42" s="37" t="str">
        <f t="shared" si="5"/>
        <v/>
      </c>
      <c r="O42" s="37" t="str">
        <f t="shared" si="5"/>
        <v/>
      </c>
      <c r="P42" s="37" t="str">
        <f t="shared" si="5"/>
        <v/>
      </c>
      <c r="Q42" s="37" t="str">
        <f t="shared" si="5"/>
        <v/>
      </c>
      <c r="R42" s="37" t="str">
        <f t="shared" si="5"/>
        <v/>
      </c>
      <c r="S42" s="37" t="str">
        <f t="shared" si="5"/>
        <v/>
      </c>
      <c r="T42" s="37"/>
      <c r="U42" s="37"/>
      <c r="V42" s="37"/>
      <c r="W42" s="37"/>
    </row>
    <row r="43" spans="1:55">
      <c r="A43" s="37"/>
      <c r="B43" s="22"/>
      <c r="C43" s="22"/>
      <c r="D43" s="22"/>
      <c r="E43" s="332"/>
      <c r="F43" s="38"/>
      <c r="G43" s="22"/>
      <c r="H43" s="138"/>
      <c r="Y43" s="322"/>
    </row>
    <row r="44" spans="1:55">
      <c r="A44" s="39"/>
      <c r="B44" s="40"/>
      <c r="C44" s="41"/>
      <c r="D44" s="42"/>
      <c r="E44" s="42"/>
      <c r="F44" s="197"/>
      <c r="G44" s="44"/>
      <c r="H44" s="138"/>
      <c r="I44" s="74"/>
      <c r="Y44" s="322"/>
    </row>
    <row r="45" spans="1:55">
      <c r="A45" s="39"/>
      <c r="B45" s="40"/>
      <c r="C45" s="41"/>
      <c r="D45" s="42"/>
      <c r="E45" s="42"/>
      <c r="F45" s="43"/>
      <c r="G45" s="44"/>
      <c r="H45" s="45"/>
      <c r="I45" s="38"/>
      <c r="Y45" s="322"/>
    </row>
    <row r="46" spans="1:55">
      <c r="A46" s="39"/>
      <c r="B46" s="40"/>
      <c r="C46" s="41"/>
      <c r="D46" s="42"/>
      <c r="E46" s="42"/>
      <c r="F46" s="43"/>
      <c r="G46" s="44"/>
      <c r="H46" s="45"/>
      <c r="I46" s="38"/>
      <c r="Y46" s="322"/>
    </row>
    <row r="47" spans="1:55" hidden="1">
      <c r="A47" s="37"/>
      <c r="B47" s="22"/>
      <c r="C47" s="22"/>
      <c r="D47" s="22"/>
      <c r="E47" s="22"/>
      <c r="F47" s="38"/>
      <c r="G47" s="22"/>
      <c r="H47" s="46"/>
      <c r="I47" s="38"/>
      <c r="Y47" s="322"/>
    </row>
    <row r="48" spans="1:55" hidden="1">
      <c r="A48" s="37"/>
      <c r="B48" s="22"/>
      <c r="C48" s="22"/>
      <c r="D48" s="22"/>
      <c r="E48" s="22"/>
      <c r="F48" s="38"/>
      <c r="G48" s="22"/>
      <c r="H48" s="47"/>
      <c r="I48" s="38"/>
      <c r="Y48" s="322"/>
    </row>
    <row r="49" spans="1:25" hidden="1">
      <c r="A49" s="37"/>
      <c r="B49" s="22"/>
      <c r="C49" s="22"/>
      <c r="D49" s="22"/>
      <c r="E49" s="22"/>
      <c r="F49" s="38"/>
      <c r="G49" s="22"/>
      <c r="H49" s="22"/>
      <c r="I49" s="38"/>
      <c r="Y49" s="322"/>
    </row>
    <row r="50" spans="1:25">
      <c r="A50" s="39"/>
      <c r="B50" s="40"/>
      <c r="C50" s="41"/>
      <c r="D50" s="42"/>
      <c r="E50" s="42"/>
      <c r="F50" s="43"/>
      <c r="G50" s="44"/>
      <c r="H50" s="45"/>
      <c r="I50" s="38"/>
      <c r="Y50" s="322"/>
    </row>
    <row r="51" spans="1:25">
      <c r="A51" s="39"/>
      <c r="B51" s="40"/>
      <c r="C51" s="41"/>
      <c r="D51" s="42"/>
      <c r="E51" s="42"/>
      <c r="F51" s="43"/>
      <c r="G51" s="44"/>
      <c r="H51" s="45"/>
      <c r="I51" s="38"/>
      <c r="Y51" s="322"/>
    </row>
    <row r="52" spans="1:25">
      <c r="A52" s="37"/>
      <c r="B52" s="22"/>
      <c r="C52" s="22"/>
      <c r="D52" s="22"/>
      <c r="E52" s="22"/>
      <c r="F52" s="38"/>
      <c r="G52" s="22"/>
      <c r="H52" s="22"/>
      <c r="I52" s="38"/>
      <c r="Y52" s="322"/>
    </row>
    <row r="53" spans="1:25">
      <c r="A53" s="37"/>
      <c r="B53" s="22"/>
      <c r="C53" s="22"/>
      <c r="D53" s="22"/>
      <c r="E53" s="22"/>
      <c r="F53" s="38"/>
      <c r="G53" s="22"/>
      <c r="H53" s="22"/>
      <c r="I53" s="38"/>
      <c r="Y53" s="322"/>
    </row>
    <row r="54" spans="1:25">
      <c r="A54" s="37"/>
      <c r="B54" s="22"/>
      <c r="C54" s="22"/>
      <c r="D54" s="22"/>
      <c r="E54" s="22"/>
      <c r="F54" s="38"/>
      <c r="G54" s="22"/>
      <c r="H54" s="22"/>
      <c r="I54" s="38"/>
      <c r="Y54" s="322"/>
    </row>
    <row r="55" spans="1:25">
      <c r="A55" s="37"/>
      <c r="B55" s="22"/>
      <c r="C55" s="22"/>
      <c r="D55" s="22"/>
      <c r="E55" s="22"/>
      <c r="F55" s="38"/>
      <c r="G55" s="22"/>
      <c r="H55" s="22"/>
      <c r="I55" s="38"/>
      <c r="Y55" s="322"/>
    </row>
    <row r="56" spans="1:25">
      <c r="A56" s="37"/>
      <c r="B56" s="22"/>
      <c r="C56" s="22"/>
      <c r="D56" s="22"/>
      <c r="E56" s="22"/>
      <c r="F56" s="38"/>
      <c r="G56" s="22"/>
      <c r="H56" s="22"/>
      <c r="I56" s="38"/>
      <c r="Y56" s="322"/>
    </row>
    <row r="57" spans="1:25">
      <c r="A57" s="37"/>
      <c r="B57" s="22"/>
      <c r="C57" s="22"/>
      <c r="D57" s="22"/>
      <c r="E57" s="22"/>
      <c r="F57" s="38"/>
      <c r="G57" s="22"/>
      <c r="H57" s="22"/>
      <c r="I57" s="38"/>
      <c r="Y57" s="322"/>
    </row>
    <row r="58" spans="1:25">
      <c r="A58" s="37"/>
      <c r="B58" s="22"/>
      <c r="C58" s="22"/>
      <c r="D58" s="22"/>
      <c r="E58" s="22"/>
      <c r="F58" s="38"/>
      <c r="G58" s="22"/>
      <c r="H58" s="22"/>
      <c r="I58" s="38"/>
      <c r="Y58" s="322"/>
    </row>
    <row r="59" spans="1:25">
      <c r="A59" s="37"/>
      <c r="B59" s="22"/>
      <c r="C59" s="22"/>
      <c r="D59" s="22"/>
      <c r="E59" s="22"/>
      <c r="F59" s="38"/>
      <c r="G59" s="22"/>
      <c r="H59" s="22"/>
      <c r="I59" s="38"/>
      <c r="Y59" s="322"/>
    </row>
    <row r="60" spans="1:25">
      <c r="A60" s="37"/>
      <c r="B60" s="22"/>
      <c r="C60" s="22"/>
      <c r="D60" s="22"/>
      <c r="E60" s="22"/>
      <c r="F60" s="38"/>
      <c r="G60" s="22"/>
      <c r="H60" s="22"/>
      <c r="I60" s="38"/>
      <c r="Y60" s="322"/>
    </row>
    <row r="61" spans="1:25">
      <c r="A61" s="37"/>
      <c r="B61" s="22"/>
      <c r="C61" s="40"/>
      <c r="D61" s="22"/>
      <c r="E61" s="22"/>
      <c r="F61" s="38"/>
      <c r="G61" s="22"/>
      <c r="H61" s="22"/>
      <c r="I61" s="38"/>
      <c r="Y61" s="322"/>
    </row>
    <row r="62" spans="1:25">
      <c r="C62" s="19"/>
      <c r="E62" s="24"/>
      <c r="Y62" s="322"/>
    </row>
    <row r="63" spans="1:25">
      <c r="C63" s="23"/>
      <c r="Y63" s="322"/>
    </row>
    <row r="64" spans="1:25">
      <c r="Y64" s="322"/>
    </row>
    <row r="65" spans="25:25">
      <c r="Y65" s="322"/>
    </row>
    <row r="66" spans="25:25">
      <c r="Y66" s="322"/>
    </row>
    <row r="67" spans="25:25">
      <c r="Y67" s="322"/>
    </row>
    <row r="68" spans="25:25">
      <c r="Y68" s="322"/>
    </row>
    <row r="69" spans="25:25">
      <c r="Y69" s="322"/>
    </row>
    <row r="70" spans="25:25">
      <c r="Y70" s="322"/>
    </row>
    <row r="71" spans="25:25">
      <c r="Y71" s="322"/>
    </row>
    <row r="72" spans="25:25">
      <c r="Y72" s="322"/>
    </row>
    <row r="73" spans="25:25">
      <c r="Y73" s="322"/>
    </row>
    <row r="74" spans="25:25">
      <c r="Y74" s="322"/>
    </row>
    <row r="75" spans="25:25">
      <c r="Y75" s="322"/>
    </row>
    <row r="76" spans="25:25">
      <c r="Y76" s="322"/>
    </row>
    <row r="77" spans="25:25">
      <c r="Y77" s="322"/>
    </row>
    <row r="78" spans="25:25">
      <c r="Y78" s="322"/>
    </row>
    <row r="79" spans="25:25">
      <c r="Y79" s="322"/>
    </row>
    <row r="80" spans="25:25">
      <c r="Y80" s="322"/>
    </row>
    <row r="81" spans="25:25">
      <c r="Y81" s="322"/>
    </row>
    <row r="82" spans="25:25">
      <c r="Y82" s="322"/>
    </row>
    <row r="83" spans="25:25">
      <c r="Y83" s="322"/>
    </row>
    <row r="84" spans="25:25">
      <c r="Y84" s="322"/>
    </row>
    <row r="85" spans="25:25">
      <c r="Y85" s="322"/>
    </row>
    <row r="86" spans="25:25">
      <c r="Y86" s="322"/>
    </row>
    <row r="87" spans="25:25">
      <c r="Y87" s="322"/>
    </row>
    <row r="88" spans="25:25">
      <c r="Y88" s="322"/>
    </row>
    <row r="89" spans="25:25">
      <c r="Y89" s="322"/>
    </row>
    <row r="90" spans="25:25">
      <c r="Y90" s="322"/>
    </row>
    <row r="91" spans="25:25">
      <c r="Y91" s="322"/>
    </row>
    <row r="92" spans="25:25">
      <c r="Y92" s="322"/>
    </row>
    <row r="93" spans="25:25">
      <c r="Y93" s="322"/>
    </row>
    <row r="94" spans="25:25">
      <c r="Y94" s="322"/>
    </row>
    <row r="95" spans="25:25">
      <c r="Y95" s="322"/>
    </row>
    <row r="96" spans="25:25">
      <c r="Y96" s="322"/>
    </row>
    <row r="97" spans="25:25">
      <c r="Y97" s="322"/>
    </row>
    <row r="98" spans="25:25">
      <c r="Y98" s="322"/>
    </row>
    <row r="99" spans="25:25">
      <c r="Y99" s="322"/>
    </row>
    <row r="100" spans="25:25">
      <c r="Y100" s="322"/>
    </row>
    <row r="101" spans="25:25">
      <c r="Y101" s="322"/>
    </row>
    <row r="102" spans="25:25">
      <c r="Y102" s="322"/>
    </row>
    <row r="103" spans="25:25">
      <c r="Y103" s="322"/>
    </row>
    <row r="106" spans="25:25">
      <c r="Y106" s="322"/>
    </row>
    <row r="107" spans="25:25">
      <c r="Y107" s="322"/>
    </row>
    <row r="108" spans="25:25">
      <c r="Y108" s="322"/>
    </row>
    <row r="109" spans="25:25">
      <c r="Y109" s="322"/>
    </row>
    <row r="110" spans="25:25">
      <c r="Y110" s="322"/>
    </row>
    <row r="111" spans="25:25">
      <c r="Y111" s="322"/>
    </row>
    <row r="112" spans="25:25">
      <c r="Y112" s="322"/>
    </row>
    <row r="113" spans="25:25">
      <c r="Y113" s="322"/>
    </row>
    <row r="114" spans="25:25">
      <c r="Y114" s="322"/>
    </row>
    <row r="115" spans="25:25">
      <c r="Y115" s="322"/>
    </row>
    <row r="116" spans="25:25">
      <c r="Y116" s="322"/>
    </row>
    <row r="117" spans="25:25">
      <c r="Y117" s="322"/>
    </row>
    <row r="118" spans="25:25">
      <c r="Y118" s="322"/>
    </row>
    <row r="119" spans="25:25">
      <c r="Y119" s="322"/>
    </row>
    <row r="120" spans="25:25">
      <c r="Y120" s="322"/>
    </row>
    <row r="121" spans="25:25">
      <c r="Y121" s="322"/>
    </row>
    <row r="122" spans="25:25">
      <c r="Y122" s="322"/>
    </row>
    <row r="123" spans="25:25">
      <c r="Y123" s="322"/>
    </row>
    <row r="124" spans="25:25">
      <c r="Y124" s="322"/>
    </row>
    <row r="125" spans="25:25">
      <c r="Y125" s="322"/>
    </row>
    <row r="126" spans="25:25">
      <c r="Y126" s="322"/>
    </row>
    <row r="127" spans="25:25">
      <c r="Y127" s="322"/>
    </row>
    <row r="128" spans="25:25">
      <c r="Y128" s="322"/>
    </row>
    <row r="129" spans="25:25">
      <c r="Y129" s="322"/>
    </row>
    <row r="130" spans="25:25">
      <c r="Y130" s="322"/>
    </row>
    <row r="131" spans="25:25">
      <c r="Y131" s="322"/>
    </row>
    <row r="132" spans="25:25">
      <c r="Y132" s="322"/>
    </row>
    <row r="133" spans="25:25">
      <c r="Y133" s="322"/>
    </row>
    <row r="134" spans="25:25">
      <c r="Y134" s="322"/>
    </row>
    <row r="135" spans="25:25">
      <c r="Y135" s="322"/>
    </row>
    <row r="137" spans="25:25">
      <c r="Y137" s="322"/>
    </row>
    <row r="138" spans="25:25">
      <c r="Y138" s="322"/>
    </row>
    <row r="139" spans="25:25">
      <c r="Y139" s="322"/>
    </row>
    <row r="140" spans="25:25">
      <c r="Y140" s="322"/>
    </row>
    <row r="141" spans="25:25">
      <c r="Y141" s="322"/>
    </row>
    <row r="142" spans="25:25">
      <c r="Y142" s="322"/>
    </row>
    <row r="143" spans="25:25">
      <c r="Y143" s="322"/>
    </row>
    <row r="144" spans="25:25">
      <c r="Y144" s="322"/>
    </row>
    <row r="145" spans="25:25">
      <c r="Y145" s="322"/>
    </row>
    <row r="146" spans="25:25">
      <c r="Y146" s="322"/>
    </row>
    <row r="147" spans="25:25">
      <c r="Y147" s="322"/>
    </row>
    <row r="148" spans="25:25">
      <c r="Y148" s="322"/>
    </row>
    <row r="149" spans="25:25">
      <c r="Y149" s="322"/>
    </row>
    <row r="150" spans="25:25">
      <c r="Y150" s="322"/>
    </row>
    <row r="151" spans="25:25">
      <c r="Y151" s="322"/>
    </row>
    <row r="152" spans="25:25">
      <c r="Y152" s="322"/>
    </row>
    <row r="153" spans="25:25">
      <c r="Y153" s="322"/>
    </row>
    <row r="154" spans="25:25">
      <c r="Y154" s="322"/>
    </row>
    <row r="155" spans="25:25">
      <c r="Y155" s="322"/>
    </row>
    <row r="156" spans="25:25">
      <c r="Y156" s="322"/>
    </row>
    <row r="157" spans="25:25">
      <c r="Y157" s="322"/>
    </row>
    <row r="158" spans="25:25">
      <c r="Y158" s="322"/>
    </row>
    <row r="159" spans="25:25">
      <c r="Y159" s="322"/>
    </row>
    <row r="160" spans="25:25">
      <c r="Y160" s="322"/>
    </row>
    <row r="161" spans="25:25">
      <c r="Y161" s="322"/>
    </row>
    <row r="162" spans="25:25">
      <c r="Y162" s="322"/>
    </row>
    <row r="163" spans="25:25">
      <c r="Y163" s="322"/>
    </row>
    <row r="164" spans="25:25">
      <c r="Y164" s="322"/>
    </row>
    <row r="165" spans="25:25">
      <c r="Y165" s="322"/>
    </row>
    <row r="166" spans="25:25">
      <c r="Y166" s="322"/>
    </row>
  </sheetData>
  <phoneticPr fontId="24" type="noConversion"/>
  <printOptions horizontalCentered="1"/>
  <pageMargins left="0.2" right="0.2" top="0.41" bottom="0.35" header="0.17" footer="0.17"/>
  <pageSetup scale="7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1">
    <pageSetUpPr fitToPage="1"/>
  </sheetPr>
  <dimension ref="A1:S65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I27" sqref="I27"/>
    </sheetView>
  </sheetViews>
  <sheetFormatPr defaultColWidth="8.83203125" defaultRowHeight="15"/>
  <cols>
    <col min="1" max="1" width="4.6640625" style="25" customWidth="1"/>
    <col min="2" max="2" width="46" style="25" customWidth="1"/>
    <col min="3" max="3" width="10.83203125" style="25" customWidth="1"/>
    <col min="4" max="4" width="11.83203125" style="25" customWidth="1"/>
    <col min="5" max="5" width="12.83203125" style="25" customWidth="1"/>
    <col min="6" max="7" width="8.5" style="25" customWidth="1"/>
    <col min="8" max="8" width="13.83203125" style="25" customWidth="1"/>
    <col min="9" max="9" width="18" style="25" customWidth="1"/>
    <col min="10" max="10" width="15.6640625" style="25" customWidth="1"/>
    <col min="11" max="11" width="12" customWidth="1"/>
    <col min="12" max="12" width="14.6640625" customWidth="1"/>
    <col min="13" max="13" width="15.1640625" customWidth="1"/>
    <col min="14" max="14" width="11.6640625" bestFit="1" customWidth="1"/>
    <col min="15" max="15" width="2.5" customWidth="1"/>
    <col min="16" max="17" width="13.5" bestFit="1" customWidth="1"/>
    <col min="18" max="18" width="12.83203125" customWidth="1"/>
    <col min="20" max="16384" width="8.83203125" style="25"/>
  </cols>
  <sheetData>
    <row r="1" spans="1:19" ht="12.75" customHeight="1">
      <c r="B1" s="54" t="s">
        <v>151</v>
      </c>
      <c r="C1" s="50"/>
      <c r="D1" s="50"/>
      <c r="E1" s="50"/>
      <c r="F1" s="50"/>
      <c r="G1" s="50"/>
      <c r="H1" s="50"/>
      <c r="I1" s="50"/>
      <c r="J1" s="49"/>
    </row>
    <row r="2" spans="1:19" s="26" customFormat="1" ht="12.75" customHeight="1">
      <c r="B2" s="54" t="s">
        <v>18</v>
      </c>
      <c r="C2" s="50"/>
      <c r="D2" s="50"/>
      <c r="E2" s="50"/>
      <c r="F2" s="50"/>
      <c r="G2" s="50"/>
      <c r="H2" s="50"/>
      <c r="I2" s="50"/>
      <c r="J2" s="49"/>
      <c r="K2"/>
      <c r="L2"/>
      <c r="M2"/>
      <c r="N2"/>
      <c r="O2"/>
      <c r="P2"/>
      <c r="Q2"/>
      <c r="R2"/>
      <c r="S2"/>
    </row>
    <row r="3" spans="1:19" s="26" customFormat="1" ht="12.75" customHeight="1">
      <c r="B3" s="380" t="str">
        <f>'New Format'!B5</f>
        <v>For The 12 Months Ending December 31, 2022</v>
      </c>
      <c r="C3" s="380"/>
      <c r="D3" s="380"/>
      <c r="E3" s="50"/>
      <c r="F3" s="50"/>
      <c r="G3" s="50"/>
      <c r="H3" s="50"/>
      <c r="I3" s="50"/>
      <c r="J3" s="49"/>
      <c r="K3"/>
      <c r="L3"/>
      <c r="M3"/>
      <c r="N3"/>
      <c r="O3"/>
      <c r="P3"/>
      <c r="Q3"/>
      <c r="R3"/>
      <c r="S3"/>
    </row>
    <row r="4" spans="1:19" s="26" customFormat="1" ht="12.75" customHeight="1">
      <c r="B4" s="93"/>
      <c r="C4" s="93"/>
      <c r="D4" s="93"/>
      <c r="E4" s="50"/>
      <c r="F4" s="50"/>
      <c r="G4" s="50"/>
      <c r="H4" s="50"/>
      <c r="I4" s="50"/>
      <c r="J4" s="49"/>
      <c r="K4"/>
      <c r="L4"/>
      <c r="M4"/>
      <c r="N4"/>
      <c r="O4"/>
      <c r="P4"/>
      <c r="Q4"/>
      <c r="R4"/>
      <c r="S4"/>
    </row>
    <row r="5" spans="1:19" s="26" customFormat="1" ht="12.75" customHeight="1">
      <c r="A5" s="177">
        <v>1</v>
      </c>
      <c r="B5" s="97" t="s">
        <v>2</v>
      </c>
      <c r="C5" s="97" t="s">
        <v>19</v>
      </c>
      <c r="D5" s="97" t="s">
        <v>34</v>
      </c>
      <c r="E5" s="97" t="s">
        <v>45</v>
      </c>
      <c r="F5" s="97" t="s">
        <v>46</v>
      </c>
      <c r="G5" s="198" t="s">
        <v>47</v>
      </c>
      <c r="H5" s="97" t="s">
        <v>48</v>
      </c>
      <c r="I5" s="97" t="s">
        <v>49</v>
      </c>
      <c r="J5" s="49"/>
      <c r="K5"/>
      <c r="L5"/>
      <c r="M5"/>
      <c r="N5"/>
      <c r="O5"/>
      <c r="P5"/>
      <c r="Q5"/>
      <c r="R5"/>
      <c r="S5"/>
    </row>
    <row r="6" spans="1:19" s="26" customFormat="1" ht="12.75" customHeight="1">
      <c r="A6" s="177">
        <f t="shared" ref="A6:A20" si="0">A5+1</f>
        <v>2</v>
      </c>
      <c r="B6" s="51" t="s">
        <v>1</v>
      </c>
      <c r="C6" s="187" t="s">
        <v>14</v>
      </c>
      <c r="D6" s="187" t="s">
        <v>85</v>
      </c>
      <c r="E6" s="168" t="s">
        <v>108</v>
      </c>
      <c r="F6" s="168"/>
      <c r="G6" s="168"/>
      <c r="H6" s="168" t="s">
        <v>51</v>
      </c>
      <c r="I6" s="187" t="s">
        <v>15</v>
      </c>
      <c r="J6" s="49"/>
      <c r="K6"/>
      <c r="L6"/>
      <c r="M6"/>
      <c r="N6"/>
      <c r="O6"/>
      <c r="P6"/>
      <c r="Q6"/>
      <c r="R6"/>
      <c r="S6"/>
    </row>
    <row r="7" spans="1:19" s="26" customFormat="1" ht="12.75" customHeight="1">
      <c r="A7" s="177">
        <f t="shared" si="0"/>
        <v>3</v>
      </c>
      <c r="B7" s="86" t="s">
        <v>14</v>
      </c>
      <c r="C7" s="52" t="s">
        <v>86</v>
      </c>
      <c r="D7" s="52" t="s">
        <v>86</v>
      </c>
      <c r="E7" s="52" t="s">
        <v>86</v>
      </c>
      <c r="F7" s="52"/>
      <c r="G7" s="52"/>
      <c r="H7" s="52" t="s">
        <v>109</v>
      </c>
      <c r="I7" s="52" t="s">
        <v>107</v>
      </c>
      <c r="J7" s="49"/>
      <c r="K7"/>
      <c r="L7"/>
      <c r="M7"/>
      <c r="N7"/>
      <c r="O7"/>
      <c r="P7"/>
      <c r="Q7"/>
      <c r="R7"/>
      <c r="S7"/>
    </row>
    <row r="8" spans="1:19" s="26" customFormat="1" ht="12.75" customHeight="1">
      <c r="A8" s="177">
        <f t="shared" si="0"/>
        <v>4</v>
      </c>
      <c r="B8" s="87"/>
      <c r="C8" s="88"/>
      <c r="D8" s="88"/>
      <c r="E8" s="88"/>
      <c r="F8" s="88"/>
      <c r="G8" s="88"/>
      <c r="H8" s="221"/>
      <c r="I8" s="53"/>
      <c r="K8"/>
      <c r="L8"/>
      <c r="M8"/>
      <c r="N8"/>
      <c r="O8"/>
      <c r="P8"/>
      <c r="Q8"/>
      <c r="R8"/>
      <c r="S8"/>
    </row>
    <row r="9" spans="1:19" s="26" customFormat="1" ht="12.75" customHeight="1">
      <c r="A9" s="177">
        <v>5</v>
      </c>
      <c r="B9" s="87" t="s">
        <v>168</v>
      </c>
      <c r="C9" s="357">
        <v>37210</v>
      </c>
      <c r="D9" s="357">
        <v>48167</v>
      </c>
      <c r="E9" s="357">
        <v>39148</v>
      </c>
      <c r="F9" s="357"/>
      <c r="G9" s="357"/>
      <c r="H9" s="358">
        <v>50107</v>
      </c>
      <c r="I9" s="359">
        <f>3414.22*12</f>
        <v>40970.639999999999</v>
      </c>
      <c r="J9" s="329"/>
      <c r="K9"/>
      <c r="L9"/>
      <c r="M9"/>
      <c r="N9"/>
      <c r="O9"/>
      <c r="P9"/>
      <c r="Q9"/>
      <c r="R9"/>
      <c r="S9"/>
    </row>
    <row r="10" spans="1:19" s="26" customFormat="1" ht="12.75" customHeight="1">
      <c r="A10" s="177">
        <v>6</v>
      </c>
      <c r="B10" s="87" t="s">
        <v>153</v>
      </c>
      <c r="C10" s="357">
        <v>38019</v>
      </c>
      <c r="D10" s="357">
        <v>49341</v>
      </c>
      <c r="E10" s="357">
        <v>44134</v>
      </c>
      <c r="F10" s="357"/>
      <c r="G10" s="357"/>
      <c r="H10" s="358">
        <v>22219</v>
      </c>
      <c r="I10" s="359">
        <f>1579.34*12</f>
        <v>18952.079999999998</v>
      </c>
      <c r="J10" s="329"/>
      <c r="K10" s="351" t="s">
        <v>166</v>
      </c>
      <c r="L10"/>
      <c r="M10"/>
      <c r="N10"/>
      <c r="O10"/>
      <c r="P10"/>
      <c r="Q10"/>
      <c r="R10"/>
      <c r="S10"/>
    </row>
    <row r="11" spans="1:19" s="26" customFormat="1" ht="12.75" customHeight="1">
      <c r="A11" s="177">
        <f t="shared" si="0"/>
        <v>7</v>
      </c>
      <c r="B11" s="87"/>
      <c r="C11" s="88"/>
      <c r="D11" s="88"/>
      <c r="E11" s="88"/>
      <c r="F11" s="88"/>
      <c r="G11" s="88"/>
      <c r="H11" s="221"/>
      <c r="I11" s="117"/>
      <c r="J11" s="329"/>
      <c r="K11"/>
      <c r="L11"/>
      <c r="M11"/>
      <c r="N11"/>
      <c r="O11"/>
      <c r="P11"/>
      <c r="Q11"/>
      <c r="R11"/>
      <c r="S11"/>
    </row>
    <row r="12" spans="1:19" s="26" customFormat="1" ht="12.75" customHeight="1">
      <c r="A12" s="177">
        <v>7</v>
      </c>
      <c r="B12" s="87"/>
      <c r="C12" s="88"/>
      <c r="D12" s="88"/>
      <c r="E12" s="88"/>
      <c r="F12" s="88"/>
      <c r="G12" s="88"/>
      <c r="H12" s="221"/>
      <c r="I12" s="222"/>
      <c r="K12"/>
      <c r="L12"/>
      <c r="M12"/>
      <c r="N12"/>
      <c r="O12"/>
      <c r="P12"/>
      <c r="Q12"/>
      <c r="R12"/>
      <c r="S12"/>
    </row>
    <row r="13" spans="1:19" s="26" customFormat="1" ht="15" customHeight="1" thickBot="1">
      <c r="A13" s="177">
        <v>8</v>
      </c>
      <c r="B13" s="54" t="s">
        <v>20</v>
      </c>
      <c r="C13" s="89"/>
      <c r="D13" s="89"/>
      <c r="E13" s="89"/>
      <c r="F13" s="89"/>
      <c r="G13" s="89"/>
      <c r="H13" s="89"/>
      <c r="I13" s="223">
        <f>SUM(I8:I12)</f>
        <v>59922.720000000001</v>
      </c>
      <c r="K13"/>
      <c r="L13"/>
      <c r="M13"/>
      <c r="N13"/>
      <c r="O13"/>
      <c r="P13"/>
      <c r="Q13"/>
      <c r="R13"/>
      <c r="S13"/>
    </row>
    <row r="14" spans="1:19" s="26" customFormat="1" ht="12.75" customHeight="1" thickTop="1">
      <c r="A14" s="177">
        <f t="shared" si="0"/>
        <v>9</v>
      </c>
      <c r="B14" s="90"/>
      <c r="C14" s="91"/>
      <c r="D14" s="91"/>
      <c r="E14" s="91"/>
      <c r="F14" s="91"/>
      <c r="G14" s="91"/>
      <c r="H14" s="91"/>
      <c r="I14" s="53"/>
      <c r="K14"/>
      <c r="L14"/>
      <c r="M14"/>
      <c r="N14"/>
      <c r="O14"/>
      <c r="P14"/>
      <c r="Q14"/>
      <c r="R14"/>
      <c r="S14"/>
    </row>
    <row r="15" spans="1:19" s="26" customFormat="1" ht="12.75" customHeight="1">
      <c r="A15" s="177">
        <v>9</v>
      </c>
      <c r="B15" s="90" t="s">
        <v>141</v>
      </c>
      <c r="C15" s="91"/>
      <c r="D15" s="91"/>
      <c r="E15" s="91"/>
      <c r="F15" s="91"/>
      <c r="G15" s="91"/>
      <c r="H15" s="91"/>
      <c r="I15" s="360">
        <f>'New Format'!C30</f>
        <v>808685319</v>
      </c>
      <c r="K15"/>
      <c r="L15"/>
      <c r="M15"/>
      <c r="N15"/>
      <c r="O15"/>
      <c r="P15"/>
      <c r="Q15"/>
      <c r="R15"/>
      <c r="S15"/>
    </row>
    <row r="16" spans="1:19" s="26" customFormat="1" ht="12.75" customHeight="1">
      <c r="A16" s="177">
        <v>10</v>
      </c>
      <c r="B16" s="90"/>
      <c r="C16" s="91"/>
      <c r="D16" s="91"/>
      <c r="E16" s="91"/>
      <c r="F16" s="91"/>
      <c r="G16" s="91"/>
      <c r="H16" s="91"/>
      <c r="I16" s="53"/>
      <c r="K16"/>
      <c r="L16"/>
      <c r="M16"/>
      <c r="N16"/>
      <c r="O16"/>
      <c r="P16"/>
      <c r="Q16"/>
      <c r="R16"/>
      <c r="S16"/>
    </row>
    <row r="17" spans="1:19" s="26" customFormat="1" ht="12.75" customHeight="1">
      <c r="A17" s="177">
        <f t="shared" si="0"/>
        <v>11</v>
      </c>
      <c r="B17" s="90" t="s">
        <v>144</v>
      </c>
      <c r="C17" s="91"/>
      <c r="D17" s="91"/>
      <c r="E17" s="91"/>
      <c r="F17" s="91"/>
      <c r="G17" s="91"/>
      <c r="H17" s="91"/>
      <c r="I17" s="309">
        <f>ROUND(I13/I15,4)</f>
        <v>1E-4</v>
      </c>
      <c r="K17"/>
      <c r="L17"/>
      <c r="M17"/>
      <c r="N17"/>
      <c r="O17"/>
      <c r="P17"/>
      <c r="Q17"/>
      <c r="R17"/>
      <c r="S17"/>
    </row>
    <row r="18" spans="1:19" s="26" customFormat="1" ht="12.75" customHeight="1">
      <c r="A18" s="177">
        <v>11</v>
      </c>
      <c r="B18" s="90"/>
      <c r="C18" s="91"/>
      <c r="D18" s="91"/>
      <c r="E18" s="91"/>
      <c r="F18" s="91"/>
      <c r="G18" s="91"/>
      <c r="H18" s="91"/>
      <c r="I18" s="53"/>
      <c r="K18"/>
      <c r="L18"/>
      <c r="M18"/>
      <c r="N18"/>
      <c r="O18"/>
      <c r="P18"/>
      <c r="Q18"/>
      <c r="R18"/>
      <c r="S18"/>
    </row>
    <row r="19" spans="1:19" s="26" customFormat="1" ht="12.75" customHeight="1">
      <c r="A19" s="177">
        <v>12</v>
      </c>
      <c r="C19" s="49"/>
      <c r="D19" s="49"/>
      <c r="E19" s="49"/>
      <c r="F19" s="49"/>
      <c r="G19" s="49"/>
      <c r="H19" s="117"/>
      <c r="I19" s="53"/>
      <c r="K19"/>
      <c r="L19"/>
      <c r="M19"/>
      <c r="N19"/>
      <c r="O19"/>
      <c r="P19"/>
      <c r="Q19"/>
      <c r="R19"/>
      <c r="S19"/>
    </row>
    <row r="20" spans="1:19" s="26" customFormat="1" ht="12.75" customHeight="1">
      <c r="A20" s="177">
        <f t="shared" si="0"/>
        <v>13</v>
      </c>
      <c r="B20" s="176"/>
      <c r="H20" s="27"/>
      <c r="I20" s="53"/>
      <c r="K20"/>
      <c r="L20"/>
      <c r="M20"/>
      <c r="N20"/>
      <c r="O20"/>
      <c r="P20"/>
      <c r="Q20"/>
      <c r="R20"/>
      <c r="S20"/>
    </row>
    <row r="21" spans="1:19" s="26" customFormat="1" ht="12.75" customHeight="1">
      <c r="A21" s="177">
        <v>13</v>
      </c>
      <c r="B21" s="49" t="s">
        <v>106</v>
      </c>
      <c r="H21" s="27"/>
      <c r="I21" s="53"/>
      <c r="K21"/>
      <c r="L21"/>
      <c r="M21"/>
      <c r="N21"/>
      <c r="O21"/>
      <c r="P21"/>
      <c r="Q21"/>
      <c r="R21"/>
      <c r="S21"/>
    </row>
    <row r="22" spans="1:19" s="26" customFormat="1" ht="12.75" customHeight="1">
      <c r="A22" s="177">
        <v>14</v>
      </c>
      <c r="B22" s="176" t="s">
        <v>169</v>
      </c>
      <c r="H22" s="27"/>
      <c r="I22" s="27"/>
      <c r="K22"/>
      <c r="L22"/>
      <c r="M22"/>
      <c r="N22"/>
      <c r="O22"/>
      <c r="P22"/>
      <c r="Q22"/>
      <c r="R22"/>
      <c r="S22"/>
    </row>
    <row r="23" spans="1:19" s="26" customFormat="1" ht="12.75" customHeight="1">
      <c r="A23" s="178"/>
      <c r="H23" s="27"/>
      <c r="I23" s="27"/>
      <c r="K23"/>
      <c r="L23"/>
      <c r="M23"/>
      <c r="N23"/>
      <c r="O23"/>
      <c r="P23"/>
      <c r="Q23"/>
      <c r="R23"/>
      <c r="S23"/>
    </row>
    <row r="24" spans="1:19" s="26" customFormat="1" ht="12.75" customHeight="1">
      <c r="H24" s="27"/>
      <c r="I24" s="27"/>
      <c r="K24"/>
      <c r="L24"/>
      <c r="M24"/>
      <c r="N24"/>
      <c r="O24"/>
      <c r="P24"/>
      <c r="Q24"/>
      <c r="R24"/>
      <c r="S24"/>
    </row>
    <row r="25" spans="1:19" s="26" customFormat="1" ht="12.75" customHeight="1">
      <c r="H25" s="27"/>
      <c r="I25" s="169"/>
      <c r="K25"/>
      <c r="L25"/>
      <c r="M25"/>
      <c r="N25"/>
      <c r="O25"/>
      <c r="P25"/>
      <c r="Q25"/>
      <c r="R25"/>
      <c r="S25"/>
    </row>
    <row r="26" spans="1:19" s="26" customFormat="1" ht="12.75" customHeight="1">
      <c r="H26" s="27"/>
      <c r="I26" s="27"/>
      <c r="K26"/>
      <c r="L26"/>
      <c r="M26"/>
      <c r="N26"/>
      <c r="O26"/>
      <c r="P26"/>
      <c r="Q26"/>
      <c r="R26"/>
      <c r="S26"/>
    </row>
    <row r="27" spans="1:19" s="26" customFormat="1" ht="12.75" customHeight="1">
      <c r="H27" s="27"/>
      <c r="I27" s="27"/>
      <c r="K27"/>
      <c r="L27"/>
      <c r="M27"/>
      <c r="N27"/>
      <c r="O27"/>
      <c r="P27"/>
      <c r="Q27"/>
      <c r="R27"/>
      <c r="S27"/>
    </row>
    <row r="28" spans="1:19" s="26" customFormat="1" ht="12.75" customHeight="1">
      <c r="H28" s="27"/>
      <c r="I28" s="27"/>
      <c r="K28"/>
      <c r="L28"/>
      <c r="M28"/>
      <c r="N28"/>
      <c r="O28"/>
      <c r="P28"/>
      <c r="Q28"/>
      <c r="R28"/>
      <c r="S28"/>
    </row>
    <row r="29" spans="1:19" s="26" customFormat="1" ht="12.75" customHeight="1">
      <c r="H29" s="27"/>
      <c r="I29" s="27"/>
      <c r="K29"/>
      <c r="L29"/>
      <c r="M29"/>
      <c r="N29"/>
      <c r="O29"/>
      <c r="P29"/>
      <c r="Q29"/>
      <c r="R29"/>
      <c r="S29"/>
    </row>
    <row r="30" spans="1:19" s="26" customFormat="1" ht="12.75" customHeight="1">
      <c r="H30" s="27"/>
      <c r="I30" s="27"/>
      <c r="K30"/>
      <c r="L30"/>
      <c r="M30"/>
      <c r="N30"/>
      <c r="O30"/>
      <c r="P30"/>
      <c r="Q30"/>
      <c r="R30"/>
      <c r="S30"/>
    </row>
    <row r="31" spans="1:19" s="26" customFormat="1" ht="12.75" customHeight="1">
      <c r="H31" s="27"/>
      <c r="I31" s="27"/>
      <c r="K31"/>
      <c r="L31"/>
      <c r="M31"/>
      <c r="N31"/>
      <c r="O31"/>
      <c r="P31"/>
      <c r="Q31"/>
      <c r="R31"/>
      <c r="S31"/>
    </row>
    <row r="32" spans="1:19" s="26" customFormat="1" ht="12.75" customHeight="1">
      <c r="H32" s="27"/>
      <c r="I32" s="27"/>
      <c r="K32"/>
      <c r="L32"/>
      <c r="M32"/>
      <c r="N32"/>
      <c r="O32"/>
      <c r="P32"/>
      <c r="Q32"/>
      <c r="R32"/>
      <c r="S32"/>
    </row>
    <row r="33" spans="8:19" s="26" customFormat="1" ht="12.75" customHeight="1">
      <c r="H33" s="27"/>
      <c r="I33" s="27"/>
      <c r="K33"/>
      <c r="L33"/>
      <c r="M33"/>
      <c r="N33"/>
      <c r="O33"/>
      <c r="P33"/>
      <c r="Q33"/>
      <c r="R33"/>
      <c r="S33"/>
    </row>
    <row r="34" spans="8:19" s="26" customFormat="1" ht="12.75" customHeight="1">
      <c r="K34"/>
      <c r="L34"/>
      <c r="M34"/>
      <c r="N34"/>
      <c r="O34"/>
      <c r="P34"/>
      <c r="Q34"/>
      <c r="R34"/>
      <c r="S34"/>
    </row>
    <row r="35" spans="8:19" s="26" customFormat="1" ht="12.75" customHeight="1">
      <c r="K35"/>
      <c r="L35"/>
      <c r="M35"/>
      <c r="N35"/>
      <c r="O35"/>
      <c r="P35"/>
      <c r="Q35"/>
      <c r="R35"/>
      <c r="S35"/>
    </row>
    <row r="36" spans="8:19" s="26" customFormat="1" ht="12.75" customHeight="1">
      <c r="K36"/>
      <c r="L36"/>
      <c r="M36"/>
      <c r="N36"/>
      <c r="O36"/>
      <c r="P36"/>
      <c r="Q36"/>
      <c r="R36"/>
      <c r="S36"/>
    </row>
    <row r="37" spans="8:19" s="26" customFormat="1" ht="12.75" customHeight="1">
      <c r="K37"/>
      <c r="L37"/>
      <c r="M37"/>
      <c r="N37"/>
      <c r="O37"/>
      <c r="P37"/>
      <c r="Q37"/>
      <c r="R37"/>
      <c r="S37"/>
    </row>
    <row r="38" spans="8:19" s="26" customFormat="1" ht="12.75" customHeight="1">
      <c r="K38"/>
      <c r="L38"/>
      <c r="M38"/>
      <c r="N38"/>
      <c r="O38"/>
      <c r="P38"/>
      <c r="Q38"/>
      <c r="R38"/>
      <c r="S38"/>
    </row>
    <row r="39" spans="8:19" s="26" customFormat="1" ht="12.75" customHeight="1">
      <c r="K39"/>
      <c r="L39"/>
      <c r="M39"/>
      <c r="N39"/>
      <c r="O39"/>
      <c r="P39"/>
      <c r="Q39"/>
      <c r="R39"/>
      <c r="S39"/>
    </row>
    <row r="40" spans="8:19" s="26" customFormat="1" ht="12.75" customHeight="1">
      <c r="K40"/>
      <c r="L40"/>
      <c r="M40"/>
      <c r="N40"/>
      <c r="O40"/>
      <c r="P40"/>
      <c r="Q40"/>
      <c r="R40"/>
      <c r="S40"/>
    </row>
    <row r="41" spans="8:19" s="26" customFormat="1" ht="15.75">
      <c r="K41"/>
      <c r="L41"/>
      <c r="M41"/>
      <c r="N41"/>
      <c r="O41"/>
      <c r="P41"/>
      <c r="Q41"/>
      <c r="R41"/>
      <c r="S41"/>
    </row>
    <row r="42" spans="8:19" s="26" customFormat="1" ht="15.75">
      <c r="K42"/>
      <c r="L42"/>
      <c r="M42"/>
      <c r="N42"/>
      <c r="O42"/>
      <c r="P42"/>
      <c r="Q42"/>
      <c r="R42"/>
      <c r="S42"/>
    </row>
    <row r="43" spans="8:19" s="26" customFormat="1" ht="15.75">
      <c r="K43"/>
      <c r="L43"/>
      <c r="M43"/>
      <c r="N43"/>
      <c r="O43"/>
      <c r="P43"/>
      <c r="Q43"/>
      <c r="R43"/>
      <c r="S43"/>
    </row>
    <row r="44" spans="8:19" s="26" customFormat="1" ht="15.75">
      <c r="K44"/>
      <c r="L44"/>
      <c r="M44"/>
      <c r="N44"/>
      <c r="O44"/>
      <c r="P44"/>
      <c r="Q44"/>
      <c r="R44"/>
      <c r="S44"/>
    </row>
    <row r="45" spans="8:19" s="26" customFormat="1" ht="15.75">
      <c r="K45"/>
      <c r="L45"/>
      <c r="M45"/>
      <c r="N45"/>
      <c r="O45"/>
      <c r="P45"/>
      <c r="Q45"/>
      <c r="R45"/>
      <c r="S45"/>
    </row>
    <row r="46" spans="8:19" s="26" customFormat="1" ht="15.75">
      <c r="K46"/>
      <c r="L46"/>
      <c r="M46"/>
      <c r="N46"/>
      <c r="O46"/>
      <c r="P46"/>
      <c r="Q46"/>
      <c r="R46"/>
      <c r="S46"/>
    </row>
    <row r="47" spans="8:19" s="26" customFormat="1" ht="15.75">
      <c r="K47"/>
      <c r="L47"/>
      <c r="M47"/>
      <c r="N47"/>
      <c r="O47"/>
      <c r="P47"/>
      <c r="Q47"/>
      <c r="R47"/>
      <c r="S47"/>
    </row>
    <row r="48" spans="8:19" s="26" customFormat="1" ht="15.75">
      <c r="K48"/>
      <c r="L48"/>
      <c r="M48"/>
      <c r="N48"/>
      <c r="O48"/>
      <c r="P48"/>
      <c r="Q48"/>
      <c r="R48"/>
      <c r="S48"/>
    </row>
    <row r="49" spans="11:19" s="26" customFormat="1" ht="15.75">
      <c r="K49"/>
      <c r="L49"/>
      <c r="M49"/>
      <c r="N49"/>
      <c r="O49"/>
      <c r="P49"/>
      <c r="Q49"/>
      <c r="R49"/>
      <c r="S49"/>
    </row>
    <row r="50" spans="11:19" s="26" customFormat="1" ht="15.75">
      <c r="K50"/>
      <c r="L50"/>
      <c r="M50"/>
      <c r="N50"/>
      <c r="O50"/>
      <c r="P50"/>
      <c r="Q50"/>
      <c r="R50"/>
      <c r="S50"/>
    </row>
    <row r="51" spans="11:19" s="26" customFormat="1" ht="15.75">
      <c r="K51"/>
      <c r="L51"/>
      <c r="M51"/>
      <c r="N51"/>
      <c r="O51"/>
      <c r="P51"/>
      <c r="Q51"/>
      <c r="R51"/>
      <c r="S51"/>
    </row>
    <row r="52" spans="11:19" s="26" customFormat="1" ht="15.75">
      <c r="K52"/>
      <c r="L52"/>
      <c r="M52"/>
      <c r="N52"/>
      <c r="O52"/>
      <c r="P52"/>
      <c r="Q52"/>
      <c r="R52"/>
      <c r="S52"/>
    </row>
    <row r="53" spans="11:19" s="26" customFormat="1" ht="15.75">
      <c r="K53"/>
      <c r="L53"/>
      <c r="M53"/>
      <c r="N53"/>
      <c r="O53"/>
      <c r="P53"/>
      <c r="Q53"/>
      <c r="R53"/>
      <c r="S53"/>
    </row>
    <row r="54" spans="11:19" s="26" customFormat="1" ht="15.75">
      <c r="K54"/>
      <c r="L54"/>
      <c r="M54"/>
      <c r="N54"/>
      <c r="O54"/>
      <c r="P54"/>
      <c r="Q54"/>
      <c r="R54"/>
      <c r="S54"/>
    </row>
    <row r="55" spans="11:19" s="26" customFormat="1" ht="15.75">
      <c r="K55"/>
      <c r="L55"/>
      <c r="M55"/>
      <c r="N55"/>
      <c r="O55"/>
      <c r="P55"/>
      <c r="Q55"/>
      <c r="R55"/>
      <c r="S55"/>
    </row>
    <row r="56" spans="11:19" s="26" customFormat="1" ht="15.75">
      <c r="K56"/>
      <c r="L56"/>
      <c r="M56"/>
      <c r="N56"/>
      <c r="O56"/>
      <c r="P56"/>
      <c r="Q56"/>
      <c r="R56"/>
      <c r="S56"/>
    </row>
    <row r="57" spans="11:19" s="26" customFormat="1" ht="15.75">
      <c r="K57"/>
      <c r="L57"/>
      <c r="M57"/>
      <c r="N57"/>
      <c r="O57"/>
      <c r="P57"/>
      <c r="Q57"/>
      <c r="R57"/>
      <c r="S57"/>
    </row>
    <row r="58" spans="11:19" s="26" customFormat="1" ht="15.75">
      <c r="K58"/>
      <c r="L58"/>
      <c r="M58"/>
      <c r="N58"/>
      <c r="O58"/>
      <c r="P58"/>
      <c r="Q58"/>
      <c r="R58"/>
      <c r="S58"/>
    </row>
    <row r="59" spans="11:19" s="26" customFormat="1" ht="15.75">
      <c r="K59"/>
      <c r="L59"/>
      <c r="M59"/>
      <c r="N59"/>
      <c r="O59"/>
      <c r="P59"/>
      <c r="Q59"/>
      <c r="R59"/>
      <c r="S59"/>
    </row>
    <row r="60" spans="11:19" s="26" customFormat="1" ht="15.75">
      <c r="K60"/>
      <c r="L60"/>
      <c r="M60"/>
      <c r="N60"/>
      <c r="O60"/>
      <c r="P60"/>
      <c r="Q60"/>
      <c r="R60"/>
      <c r="S60"/>
    </row>
    <row r="61" spans="11:19" s="26" customFormat="1" ht="15.75">
      <c r="K61"/>
      <c r="L61"/>
      <c r="M61"/>
      <c r="N61"/>
      <c r="O61"/>
      <c r="P61"/>
      <c r="Q61"/>
      <c r="R61"/>
      <c r="S61"/>
    </row>
    <row r="62" spans="11:19" s="26" customFormat="1" ht="15.75">
      <c r="K62"/>
      <c r="L62"/>
      <c r="M62"/>
      <c r="N62"/>
      <c r="O62"/>
      <c r="P62"/>
      <c r="Q62"/>
      <c r="R62"/>
      <c r="S62"/>
    </row>
    <row r="63" spans="11:19" s="26" customFormat="1" ht="15.75">
      <c r="K63"/>
      <c r="L63"/>
      <c r="M63"/>
      <c r="N63"/>
      <c r="O63"/>
      <c r="P63"/>
      <c r="Q63"/>
      <c r="R63"/>
      <c r="S63"/>
    </row>
    <row r="64" spans="11:19" s="26" customFormat="1" ht="15.75">
      <c r="K64"/>
      <c r="L64"/>
      <c r="M64"/>
      <c r="N64"/>
      <c r="O64"/>
      <c r="P64"/>
      <c r="Q64"/>
      <c r="R64"/>
      <c r="S64"/>
    </row>
    <row r="65" spans="11:19" s="26" customFormat="1" ht="15.75">
      <c r="K65"/>
      <c r="L65"/>
      <c r="M65"/>
      <c r="N65"/>
      <c r="O65"/>
      <c r="P65"/>
      <c r="Q65"/>
      <c r="R65"/>
      <c r="S65"/>
    </row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2022-12-09T08:00:00+00:00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220912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511FFD853AE44DB75AA72664887198" ma:contentTypeVersion="28" ma:contentTypeDescription="" ma:contentTypeScope="" ma:versionID="f719f8c32aba81c0e7a9f5f213f5ef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9C95F-84FE-46F6-8D6B-BE843EA0D7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306426-6D4C-4A33-9702-DF1123567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3518D-D8FB-4198-92FD-FEA905FB8FB4}"/>
</file>

<file path=customXml/itemProps4.xml><?xml version="1.0" encoding="utf-8"?>
<ds:datastoreItem xmlns:ds="http://schemas.openxmlformats.org/officeDocument/2006/customXml" ds:itemID="{B305D398-507F-4B45-AA09-2104476BE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Booth, Avery (UTC)</cp:lastModifiedBy>
  <cp:lastPrinted>2023-05-17T16:29:33Z</cp:lastPrinted>
  <dcterms:created xsi:type="dcterms:W3CDTF">2001-12-28T16:42:36Z</dcterms:created>
  <dcterms:modified xsi:type="dcterms:W3CDTF">2023-06-01T23:57:13Z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0x0101006E56B4D1795A2E4DB2F0B01679ED314A00B2511FFD853AE44DB75AA72664887198</vt:lpwstr>
  </property>
  <property fmtid="{D5CDD505-2E9C-101B-9397-08002B2CF9AE}" pid="3" name="_docset_NoMedatataSyncRequired">
    <vt:lpwstr>False</vt:lpwstr>
  </property>
</Properties>
</file>