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D53AE0F2-2737-4776-B111-53C07DF82C1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ummary 2012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F5" i="4" l="1"/>
  <c r="F6" i="4"/>
  <c r="F7" i="4"/>
  <c r="F4" i="4"/>
  <c r="D5" i="4"/>
  <c r="D6" i="4"/>
  <c r="D7" i="4"/>
  <c r="D4" i="4"/>
  <c r="D3" i="4"/>
  <c r="I1" i="3" l="1"/>
  <c r="B35" i="3" l="1"/>
  <c r="C35" i="3"/>
  <c r="C44" i="4"/>
  <c r="F44" i="4" s="1"/>
  <c r="C36" i="4"/>
  <c r="F36" i="4" s="1"/>
  <c r="C40" i="4"/>
  <c r="C13" i="3" l="1"/>
  <c r="C6" i="3"/>
  <c r="D13" i="3" l="1"/>
  <c r="E13" i="3" s="1"/>
  <c r="D6" i="3"/>
  <c r="E6" i="3" s="1"/>
  <c r="H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C7" i="3" l="1"/>
  <c r="D7" i="3" l="1"/>
  <c r="E7" i="3" s="1"/>
  <c r="C10" i="4"/>
  <c r="C9" i="4"/>
  <c r="C8" i="4"/>
  <c r="C6" i="4"/>
  <c r="C5" i="4"/>
  <c r="C4" i="4"/>
  <c r="C10" i="3"/>
  <c r="D10" i="3" s="1"/>
  <c r="C11" i="3"/>
  <c r="C12" i="3"/>
  <c r="C14" i="3"/>
  <c r="D14" i="3" s="1"/>
  <c r="E14" i="3" s="1"/>
  <c r="C9" i="3"/>
  <c r="C8" i="3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F35" i="4" s="1"/>
  <c r="C37" i="4"/>
  <c r="F37" i="4" s="1"/>
  <c r="C38" i="4"/>
  <c r="C39" i="4"/>
  <c r="F40" i="4"/>
  <c r="C41" i="4"/>
  <c r="C42" i="4"/>
  <c r="C43" i="4"/>
  <c r="C3" i="4"/>
  <c r="G33" i="3" l="1"/>
  <c r="C4" i="3"/>
  <c r="C5" i="3"/>
  <c r="H45" i="4"/>
  <c r="C7" i="4"/>
  <c r="C33" i="3" l="1"/>
  <c r="F38" i="4" l="1"/>
  <c r="F39" i="4"/>
  <c r="F41" i="4"/>
  <c r="F42" i="4"/>
  <c r="F43" i="4"/>
  <c r="F11" i="4"/>
  <c r="F12" i="4"/>
  <c r="F13" i="4"/>
  <c r="F14" i="4"/>
  <c r="F15" i="4"/>
  <c r="F16" i="4"/>
  <c r="F17" i="4"/>
  <c r="F18" i="4"/>
  <c r="F19" i="4"/>
  <c r="F20" i="4"/>
  <c r="D8" i="3"/>
  <c r="E8" i="3" s="1"/>
  <c r="D9" i="3"/>
  <c r="E9" i="3" s="1"/>
  <c r="E10" i="3"/>
  <c r="D11" i="3"/>
  <c r="E11" i="3" s="1"/>
  <c r="D12" i="3"/>
  <c r="E12" i="3" s="1"/>
  <c r="F22" i="4" l="1"/>
  <c r="F10" i="4"/>
  <c r="F9" i="4"/>
  <c r="F8" i="4"/>
  <c r="C45" i="4" l="1"/>
  <c r="H12" i="1"/>
  <c r="H13" i="1"/>
  <c r="H14" i="1"/>
  <c r="H24" i="1" l="1"/>
  <c r="F14" i="1"/>
  <c r="F13" i="1"/>
  <c r="C3" i="3" l="1"/>
  <c r="C1" i="3"/>
  <c r="C1" i="4"/>
  <c r="E2" i="4"/>
  <c r="E22" i="1"/>
  <c r="H11" i="1"/>
  <c r="H10" i="1"/>
  <c r="E5" i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4" i="3"/>
  <c r="D5" i="3"/>
  <c r="F10" i="1" l="1"/>
  <c r="F12" i="1"/>
  <c r="F11" i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4" i="3"/>
  <c r="E5" i="3"/>
  <c r="F34" i="4"/>
  <c r="F33" i="4"/>
  <c r="F32" i="4"/>
  <c r="F31" i="4"/>
  <c r="F30" i="4"/>
  <c r="F29" i="4"/>
  <c r="F28" i="4"/>
  <c r="F27" i="4"/>
  <c r="F26" i="4"/>
  <c r="F25" i="4"/>
  <c r="F24" i="4"/>
  <c r="F23" i="4"/>
  <c r="E33" i="3" l="1"/>
  <c r="G21" i="1" s="1"/>
  <c r="E21" i="1"/>
  <c r="E20" i="1"/>
  <c r="F45" i="4"/>
  <c r="G20" i="1" s="1"/>
  <c r="I20" i="1" s="1"/>
  <c r="I22" i="1" s="1"/>
  <c r="F20" i="1" l="1"/>
  <c r="F21" i="1"/>
  <c r="G22" i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<sst xmlns="http://schemas.openxmlformats.org/spreadsheetml/2006/main" count="230" uniqueCount="144">
  <si>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</si>
  <si>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</si>
  <si>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</si>
  <si>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</si>
  <si>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</si>
  <si>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</si>
  <si>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</si>
  <si>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</si>
  <si>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</si>
  <si>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</si>
  <si>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</si>
  <si>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</si>
  <si>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</si>
  <si>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</si>
  <si>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</si>
  <si>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</si>
  <si>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</si>
  <si>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</si>
  <si>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</si>
  <si>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</si>
  <si>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</si>
  <si>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</si>
  <si>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</si>
  <si>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</si>
  <si>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</si>
  <si>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</si>
  <si>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</si>
  <si>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</si>
  <si>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</si>
  <si>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</si>
  <si>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</si>
  <si>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</si>
  <si>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</si>
  <si>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</si>
  <si>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</si>
  <si>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</si>
  <si>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</si>
  <si>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</si>
  <si>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</si>
  <si>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</si>
  <si>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</si>
  <si>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</si>
  <si>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</si>
  <si>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</si>
  <si>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</si>
  <si>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</si>
  <si>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</si>
  <si>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</si>
  <si>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</si>
  <si>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</si>
  <si>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</si>
  <si>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</si>
  <si>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</si>
  <si>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</si>
  <si>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</si>
  <si>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</si>
  <si>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</si>
  <si>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</si>
  <si>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</si>
  <si>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</si>
  <si>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</si>
  <si>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</si>
  <si>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</si>
  <si>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</si>
  <si>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</si>
  <si>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</si>
  <si>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</si>
  <si>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</si>
  <si>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</si>
  <si>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</si>
  <si>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</si>
  <si>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</si>
  <si>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</si>
  <si>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</si>
  <si>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</si>
  <si>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</si>
  <si>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</si>
  <si>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</si>
  <si>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</si>
  <si>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</si>
  <si>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</si>
  <si>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</si>
  <si>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</si>
  <si>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</si>
  <si>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</si>
  <si>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</si>
  <si>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</si>
  <si>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</si>
  <si>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</si>
  <si>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</si>
  <si>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</si>
  <si>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</si>
  <si>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</si>
  <si>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</si>
  <si>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</si>
  <si>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</si>
  <si>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</si>
  <si>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</si>
  <si>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</si>
  <si>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</si>
  <si>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</si>
  <si>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</si>
  <si>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</si>
  <si>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</si>
  <si>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</si>
  <si>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</si>
  <si>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</si>
  <si>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</si>
  <si>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</si>
  <si>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</si>
  <si>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</si>
  <si>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</si>
  <si>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</si>
  <si>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</si>
  <si>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</si>
  <si>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</si>
  <si>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</si>
  <si>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</si>
  <si>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</si>
  <si>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</si>
  <si>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</si>
  <si>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</si>
  <si>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</si>
  <si>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</si>
  <si>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</si>
  <si>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</si>
  <si>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</si>
  <si>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</si>
  <si>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</si>
  <si>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</si>
  <si>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- 2012</t>
  </si>
  <si>
    <t xml:space="preserve">Walla Walla Hydro </t>
  </si>
  <si>
    <t>2012 Washington - WCA Allocation Factor</t>
  </si>
  <si>
    <t>Grant County 10 aMW</t>
  </si>
  <si>
    <t>Annual (Unallocated) MWh 2012</t>
  </si>
  <si>
    <t xml:space="preserve">              </t>
  </si>
  <si>
    <t>Small Purchases West - Warm Springs Forest Products</t>
  </si>
  <si>
    <t xml:space="preserve">Hermiston Owned 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</si>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</sst>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3" fillId="2" borderId="5" xfId="0" applyFont="1" applyFill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0" fillId="0" borderId="21" xfId="0" applyNumberFormat="1" applyBorder="1"/>
    <xf numFmtId="165" fontId="33" fillId="2" borderId="5" xfId="1" applyNumberFormat="1" applyFont="1" applyFill="1" applyBorder="1"/>
    <xf numFmtId="165" fontId="33" fillId="2" borderId="10" xfId="1" applyNumberFormat="1" applyFont="1" applyFill="1" applyBorder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0" fontId="55" fillId="0" borderId="0" xfId="0" applyFont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65" fontId="0" fillId="0" borderId="51" xfId="1" applyNumberFormat="1" applyFont="1" applyBorder="1" applyAlignment="1">
      <alignment horizontal="center"/>
    </xf>
    <xf numFmtId="165" fontId="2" fillId="0" borderId="51" xfId="1" applyNumberFormat="1" applyFont="1" applyBorder="1" applyAlignment="1">
      <alignment horizontal="center"/>
    </xf>
    <xf numFmtId="165" fontId="2" fillId="0" borderId="52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workbookViewId="0">
      <selection activeCell="I18" sqref="I18:I22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5"/>
      <c r="C3" s="46" t="s">
        <v>13</v>
      </c>
      <c r="D3" s="138" t="s">
        <v>41</v>
      </c>
      <c r="E3" s="139"/>
      <c r="F3" s="47"/>
    </row>
    <row r="4" spans="2:8">
      <c r="B4" s="159" t="s">
        <v>14</v>
      </c>
      <c r="C4" s="161"/>
      <c r="D4" s="28">
        <v>2012</v>
      </c>
      <c r="E4" s="51" t="s">
        <v>37</v>
      </c>
      <c r="F4" s="48"/>
    </row>
    <row r="5" spans="2:8" ht="15.75" thickBot="1">
      <c r="B5" s="162" t="s">
        <v>19</v>
      </c>
      <c r="C5" s="163"/>
      <c r="D5" s="140">
        <v>301385</v>
      </c>
      <c r="E5" s="141">
        <f>+E15/D5</f>
        <v>14.879706522409569</v>
      </c>
    </row>
    <row r="6" spans="2:8">
      <c r="B6" s="5"/>
      <c r="C6" s="5"/>
      <c r="D6" s="14"/>
      <c r="F6" s="13"/>
    </row>
    <row r="7" spans="2:8" ht="19.5" thickBot="1">
      <c r="B7" s="5"/>
      <c r="C7" s="43" t="s">
        <v>34</v>
      </c>
      <c r="D7" s="14"/>
      <c r="F7" s="13"/>
    </row>
    <row r="8" spans="2:8">
      <c r="B8" s="31"/>
      <c r="C8" s="32"/>
      <c r="D8" s="32"/>
      <c r="E8" s="32"/>
      <c r="F8" s="32"/>
      <c r="G8" s="33" t="s">
        <v>18</v>
      </c>
      <c r="H8" s="64" t="s">
        <v>38</v>
      </c>
    </row>
    <row r="9" spans="2:8">
      <c r="B9" s="34"/>
      <c r="C9" s="9"/>
      <c r="D9" s="9"/>
      <c r="E9" s="11" t="s">
        <v>12</v>
      </c>
      <c r="F9" s="23" t="s">
        <v>26</v>
      </c>
      <c r="G9" s="16" t="s">
        <v>33</v>
      </c>
      <c r="H9" s="65" t="s">
        <v>18</v>
      </c>
    </row>
    <row r="10" spans="2:8">
      <c r="B10" s="159" t="s">
        <v>10</v>
      </c>
      <c r="C10" s="160"/>
      <c r="D10" s="161"/>
      <c r="E10" s="49">
        <v>1771081.9238524521</v>
      </c>
      <c r="F10" s="10">
        <f>+E10/E15</f>
        <v>0.39493229721907458</v>
      </c>
      <c r="G10" s="60">
        <v>104224.41666666701</v>
      </c>
      <c r="H10" s="66">
        <f>+E10/G10</f>
        <v>16.992965568872101</v>
      </c>
    </row>
    <row r="11" spans="2:8">
      <c r="B11" s="159" t="s">
        <v>15</v>
      </c>
      <c r="C11" s="160"/>
      <c r="D11" s="161"/>
      <c r="E11" s="49">
        <v>1605987.1669514379</v>
      </c>
      <c r="F11" s="10">
        <f>+E11/E15</f>
        <v>0.35811793492243016</v>
      </c>
      <c r="G11" s="61">
        <v>17667.583333333299</v>
      </c>
      <c r="H11" s="66">
        <f>+E11/G11</f>
        <v>90.900217457666315</v>
      </c>
    </row>
    <row r="12" spans="2:8">
      <c r="B12" s="159" t="s">
        <v>16</v>
      </c>
      <c r="C12" s="160"/>
      <c r="D12" s="161"/>
      <c r="E12" s="49">
        <v>922398.66554009542</v>
      </c>
      <c r="F12" s="10">
        <f>+E12/E15</f>
        <v>0.20568502169632394</v>
      </c>
      <c r="G12" s="62">
        <v>585.16666666666697</v>
      </c>
      <c r="H12" s="66">
        <f>+E12/G12</f>
        <v>1576.3007670864624</v>
      </c>
    </row>
    <row r="13" spans="2:8">
      <c r="B13" s="159" t="s">
        <v>39</v>
      </c>
      <c r="C13" s="160"/>
      <c r="D13" s="161"/>
      <c r="E13" s="56">
        <v>173837.84428191758</v>
      </c>
      <c r="F13" s="10">
        <f>+E13/E15</f>
        <v>3.8763977126779724E-2</v>
      </c>
      <c r="G13" s="62">
        <v>5164.1666666666697</v>
      </c>
      <c r="H13" s="66">
        <f>+E13/G13</f>
        <v>33.662322597757139</v>
      </c>
    </row>
    <row r="14" spans="2:8">
      <c r="B14" s="164" t="s">
        <v>40</v>
      </c>
      <c r="C14" s="165"/>
      <c r="D14" s="166"/>
      <c r="E14" s="56">
        <v>11214.749630505021</v>
      </c>
      <c r="F14" s="10">
        <f>+E14/E15</f>
        <v>2.5007690353916678E-3</v>
      </c>
      <c r="G14" s="62">
        <v>253.166666666667</v>
      </c>
      <c r="H14" s="66">
        <f>+E14/G14</f>
        <v>44.297891891395679</v>
      </c>
    </row>
    <row r="15" spans="2:8" ht="15.75" thickBot="1">
      <c r="B15" s="36"/>
      <c r="C15" s="57" t="s">
        <v>11</v>
      </c>
      <c r="D15" s="58"/>
      <c r="E15" s="50">
        <f>SUM(E10:E14)</f>
        <v>4484520.3502564076</v>
      </c>
      <c r="F15" s="59"/>
      <c r="G15" s="63"/>
      <c r="H15" s="67"/>
    </row>
    <row r="17" spans="2:9" ht="19.5" thickBot="1">
      <c r="C17" s="44" t="s">
        <v>35</v>
      </c>
    </row>
    <row r="18" spans="2:9">
      <c r="B18" s="31"/>
      <c r="C18" s="32"/>
      <c r="D18" s="32"/>
      <c r="E18" s="32"/>
      <c r="F18" s="33" t="s">
        <v>27</v>
      </c>
      <c r="G18" s="38" t="s">
        <v>4</v>
      </c>
      <c r="H18" s="39"/>
      <c r="I18" s="154" t="s">
        <v>142</v>
      </c>
    </row>
    <row r="19" spans="2:9" ht="18">
      <c r="B19" s="40"/>
      <c r="C19" s="5"/>
      <c r="D19" s="5"/>
      <c r="E19" s="23" t="s">
        <v>17</v>
      </c>
      <c r="F19" s="16" t="s">
        <v>28</v>
      </c>
      <c r="G19" s="12" t="s">
        <v>143</v>
      </c>
      <c r="H19" s="35"/>
      <c r="I19" s="155" t="s">
        <v>143</v>
      </c>
    </row>
    <row r="20" spans="2:9" ht="15.75" thickBot="1">
      <c r="B20" s="159" t="s">
        <v>31</v>
      </c>
      <c r="C20" s="160"/>
      <c r="D20" s="161"/>
      <c r="E20" s="142">
        <f>+'Known Resources'!C45</f>
        <v>4075040.0704575549</v>
      </c>
      <c r="F20" s="10">
        <f>+E20/(E20+E21)</f>
        <v>0.91680031055857725</v>
      </c>
      <c r="G20" s="142">
        <f>+'Known Resources'!F45</f>
        <v>2772191.6585833612</v>
      </c>
      <c r="H20" s="143"/>
      <c r="I20" s="156">
        <f>G20*0.907185</f>
        <v>2514890.6897919467</v>
      </c>
    </row>
    <row r="21" spans="2:9" ht="18">
      <c r="B21" s="159" t="s">
        <v>32</v>
      </c>
      <c r="C21" s="160"/>
      <c r="D21" s="161"/>
      <c r="E21" s="144">
        <f>+'Unknown Resources'!C33</f>
        <v>369810.15867768967</v>
      </c>
      <c r="F21" s="42">
        <f>+E21/(E20+E21)</f>
        <v>8.3199689441422892E-2</v>
      </c>
      <c r="G21" s="145">
        <f>+'Unknown Resources'!E33</f>
        <v>178141.05553724588</v>
      </c>
      <c r="H21" s="54" t="s">
        <v>36</v>
      </c>
      <c r="I21" s="157">
        <f>G21*0.907185</f>
        <v>161606.89346755639</v>
      </c>
    </row>
    <row r="22" spans="2:9" ht="18.75" thickBot="1">
      <c r="B22" s="36"/>
      <c r="C22" s="37"/>
      <c r="D22" s="37"/>
      <c r="E22" s="52">
        <f>+D4</f>
        <v>2012</v>
      </c>
      <c r="F22" s="41" t="s">
        <v>3</v>
      </c>
      <c r="G22" s="53">
        <f>SUM(G20:G21)</f>
        <v>2950332.7141206069</v>
      </c>
      <c r="H22" s="55">
        <f>+G22/H24</f>
        <v>1.2297777371642802</v>
      </c>
      <c r="I22" s="158">
        <f>SUM(I20:I21)</f>
        <v>2676497.5832595029</v>
      </c>
    </row>
    <row r="24" spans="2:9" ht="18">
      <c r="G24" s="15" t="s">
        <v>25</v>
      </c>
      <c r="H24" s="24">
        <f>H30</f>
        <v>2399078</v>
      </c>
      <c r="I24" s="22"/>
    </row>
    <row r="26" spans="2:9">
      <c r="F26" s="22" t="s">
        <v>20</v>
      </c>
      <c r="G26" s="17"/>
      <c r="H26" s="17"/>
    </row>
    <row r="27" spans="2:9">
      <c r="F27" s="17"/>
      <c r="G27" s="17"/>
      <c r="H27" s="20" t="s">
        <v>24</v>
      </c>
    </row>
    <row r="28" spans="2:9" ht="18">
      <c r="F28" s="17"/>
      <c r="G28" s="17"/>
      <c r="H28" s="21" t="s">
        <v>2</v>
      </c>
    </row>
    <row r="29" spans="2:9">
      <c r="F29" s="17"/>
      <c r="G29" s="18" t="s">
        <v>21</v>
      </c>
      <c r="H29" s="19">
        <v>1131957</v>
      </c>
    </row>
    <row r="30" spans="2:9">
      <c r="F30" s="17"/>
      <c r="G30" s="18" t="s">
        <v>22</v>
      </c>
      <c r="H30" s="19">
        <v>2399078</v>
      </c>
    </row>
    <row r="31" spans="2:9">
      <c r="F31" s="17"/>
      <c r="G31" s="18" t="s">
        <v>23</v>
      </c>
      <c r="H31" s="19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activeCell="E8" sqref="E8"/>
    </sheetView>
  </sheetViews>
  <sheetFormatPr defaultRowHeight="15"/>
  <cols>
    <col min="1" max="1" width="4.28515625" style="92" customWidth="1"/>
    <col min="2" max="2" width="47.5703125" customWidth="1"/>
    <col min="3" max="3" width="14.85546875" customWidth="1"/>
    <col min="4" max="4" width="14.85546875" style="92" customWidth="1"/>
    <col min="5" max="6" width="14.85546875" customWidth="1"/>
    <col min="7" max="7" width="23.85546875" style="3" customWidth="1"/>
    <col min="8" max="8" width="31.42578125" style="3" customWidth="1"/>
    <col min="9" max="9" width="18.28515625" customWidth="1"/>
    <col min="10" max="10" width="9.7109375" customWidth="1"/>
    <col min="11" max="11" width="10.5703125" customWidth="1"/>
  </cols>
  <sheetData>
    <row r="1" spans="1:9" ht="18.75">
      <c r="B1" s="2" t="s">
        <v>9</v>
      </c>
      <c r="C1" s="27">
        <f>+'Summary 2012'!D4</f>
        <v>2012</v>
      </c>
      <c r="E1" s="1"/>
      <c r="F1" s="1"/>
      <c r="G1" s="75"/>
      <c r="H1" s="75"/>
    </row>
    <row r="2" spans="1:9" ht="30.75">
      <c r="B2" s="2"/>
      <c r="C2" s="7" t="s">
        <v>29</v>
      </c>
      <c r="D2" s="152" t="s">
        <v>141</v>
      </c>
      <c r="E2" s="7">
        <f>+'Summary 2012'!D4</f>
        <v>2012</v>
      </c>
      <c r="F2" s="7" t="s">
        <v>4</v>
      </c>
      <c r="G2" s="75"/>
      <c r="H2" s="75"/>
    </row>
    <row r="3" spans="1:9" ht="19.5">
      <c r="B3" s="4" t="s">
        <v>0</v>
      </c>
      <c r="C3" s="8">
        <f>+'Summary 2012'!D4</f>
        <v>2012</v>
      </c>
      <c r="D3" s="153">
        <f>3.503%</f>
        <v>3.5029999999999999E-2</v>
      </c>
      <c r="E3" s="8" t="s">
        <v>6</v>
      </c>
      <c r="F3" s="8" t="s">
        <v>7</v>
      </c>
      <c r="G3" s="6"/>
      <c r="H3" s="75" t="s">
        <v>134</v>
      </c>
    </row>
    <row r="4" spans="1:9">
      <c r="A4" s="136"/>
      <c r="B4" s="71" t="s">
        <v>46</v>
      </c>
      <c r="C4" s="72">
        <f t="shared" ref="C4:C43" si="0">H4*$C$47</f>
        <v>123931.48148507456</v>
      </c>
      <c r="D4" s="72">
        <f>C4*(1+$D$3)</f>
        <v>128272.80128149671</v>
      </c>
      <c r="E4" s="72">
        <v>2429.6575943171861</v>
      </c>
      <c r="F4" s="93">
        <f>(+D4*E4)/2000</f>
        <v>155829.49288896387</v>
      </c>
      <c r="G4" s="75" t="s">
        <v>83</v>
      </c>
      <c r="H4" s="77">
        <v>552422.11215498904</v>
      </c>
    </row>
    <row r="5" spans="1:9">
      <c r="A5" s="136"/>
      <c r="B5" s="71" t="s">
        <v>45</v>
      </c>
      <c r="C5" s="72">
        <f t="shared" si="0"/>
        <v>1990786.3196274803</v>
      </c>
      <c r="D5" s="72">
        <f t="shared" ref="D5:D7" si="1">C5*(1+$D$3)</f>
        <v>2060523.5644040308</v>
      </c>
      <c r="E5" s="72">
        <v>2218.4542420323305</v>
      </c>
      <c r="F5" s="93">
        <f t="shared" ref="F5:F7" si="2">(+D5*E5)/2000</f>
        <v>2285588.6211298499</v>
      </c>
      <c r="G5" s="75" t="s">
        <v>83</v>
      </c>
      <c r="H5" s="77">
        <v>8873890.3978188671</v>
      </c>
      <c r="I5" s="70"/>
    </row>
    <row r="6" spans="1:9">
      <c r="A6" s="136"/>
      <c r="B6" s="71" t="s">
        <v>44</v>
      </c>
      <c r="C6" s="72">
        <f t="shared" si="0"/>
        <v>190676.79079600002</v>
      </c>
      <c r="D6" s="72">
        <f t="shared" si="1"/>
        <v>197356.19877758386</v>
      </c>
      <c r="E6" s="72">
        <v>961.36496846598982</v>
      </c>
      <c r="F6" s="93">
        <f t="shared" si="2"/>
        <v>94865.667907189767</v>
      </c>
      <c r="G6" s="75" t="s">
        <v>84</v>
      </c>
      <c r="H6" s="77">
        <v>849938</v>
      </c>
      <c r="I6" s="68"/>
    </row>
    <row r="7" spans="1:9">
      <c r="A7" s="136"/>
      <c r="B7" s="71" t="s">
        <v>137</v>
      </c>
      <c r="C7" s="72">
        <f t="shared" si="0"/>
        <v>515227.53884300002</v>
      </c>
      <c r="D7" s="72">
        <f t="shared" si="1"/>
        <v>533275.9595286703</v>
      </c>
      <c r="E7" s="72">
        <v>884.74971519759583</v>
      </c>
      <c r="F7" s="93">
        <f t="shared" si="2"/>
        <v>235907.87665735785</v>
      </c>
      <c r="G7" s="75" t="s">
        <v>84</v>
      </c>
      <c r="H7" s="77">
        <v>2296616.5</v>
      </c>
    </row>
    <row r="8" spans="1:9">
      <c r="A8" s="136"/>
      <c r="B8" s="71" t="s">
        <v>42</v>
      </c>
      <c r="C8" s="72">
        <f t="shared" si="0"/>
        <v>49614.579352000001</v>
      </c>
      <c r="D8" s="72"/>
      <c r="E8" s="72">
        <v>0</v>
      </c>
      <c r="F8" s="93">
        <f t="shared" ref="F8:F20" si="3">(+C8*E8)/2000</f>
        <v>0</v>
      </c>
      <c r="G8" s="89" t="s">
        <v>85</v>
      </c>
      <c r="H8" s="77">
        <v>221156</v>
      </c>
    </row>
    <row r="9" spans="1:9">
      <c r="A9" s="136"/>
      <c r="B9" s="71" t="s">
        <v>43</v>
      </c>
      <c r="C9" s="72">
        <f t="shared" si="0"/>
        <v>42828.009510000004</v>
      </c>
      <c r="D9" s="72"/>
      <c r="E9" s="72">
        <v>0</v>
      </c>
      <c r="F9" s="93">
        <f t="shared" si="3"/>
        <v>0</v>
      </c>
      <c r="G9" s="89" t="s">
        <v>85</v>
      </c>
      <c r="H9" s="77">
        <v>190905</v>
      </c>
      <c r="I9" s="134"/>
    </row>
    <row r="10" spans="1:9">
      <c r="A10" s="136"/>
      <c r="B10" s="71" t="s">
        <v>47</v>
      </c>
      <c r="C10" s="72">
        <f t="shared" si="0"/>
        <v>120296.89158200001</v>
      </c>
      <c r="D10" s="72"/>
      <c r="E10" s="72">
        <v>0</v>
      </c>
      <c r="F10" s="93">
        <f t="shared" si="3"/>
        <v>0</v>
      </c>
      <c r="G10" s="89" t="s">
        <v>85</v>
      </c>
      <c r="H10" s="77">
        <v>536221</v>
      </c>
      <c r="I10" s="134"/>
    </row>
    <row r="11" spans="1:9" s="69" customFormat="1">
      <c r="A11" s="136"/>
      <c r="B11" s="71" t="s">
        <v>54</v>
      </c>
      <c r="C11" s="72">
        <f t="shared" si="0"/>
        <v>750.19964800000002</v>
      </c>
      <c r="D11" s="72"/>
      <c r="E11" s="72">
        <v>0</v>
      </c>
      <c r="F11" s="93">
        <f t="shared" si="3"/>
        <v>0</v>
      </c>
      <c r="G11" s="89" t="s">
        <v>86</v>
      </c>
      <c r="H11" s="77">
        <v>3344</v>
      </c>
      <c r="I11" s="134"/>
    </row>
    <row r="12" spans="1:9" s="69" customFormat="1">
      <c r="A12" s="136"/>
      <c r="B12" s="71" t="s">
        <v>55</v>
      </c>
      <c r="C12" s="72">
        <f t="shared" si="0"/>
        <v>11374.363742000001</v>
      </c>
      <c r="D12" s="72"/>
      <c r="E12" s="72">
        <v>0</v>
      </c>
      <c r="F12" s="93">
        <f t="shared" si="3"/>
        <v>0</v>
      </c>
      <c r="G12" s="89" t="s">
        <v>86</v>
      </c>
      <c r="H12" s="77">
        <v>50701</v>
      </c>
    </row>
    <row r="13" spans="1:9" s="69" customFormat="1">
      <c r="A13" s="136"/>
      <c r="B13" s="71" t="s">
        <v>56</v>
      </c>
      <c r="C13" s="72">
        <f t="shared" si="0"/>
        <v>12148.792326000001</v>
      </c>
      <c r="D13" s="72"/>
      <c r="E13" s="72">
        <v>0</v>
      </c>
      <c r="F13" s="93">
        <f t="shared" si="3"/>
        <v>0</v>
      </c>
      <c r="G13" s="89" t="s">
        <v>86</v>
      </c>
      <c r="H13" s="77">
        <v>54153</v>
      </c>
    </row>
    <row r="14" spans="1:9" s="69" customFormat="1">
      <c r="A14" s="136"/>
      <c r="B14" s="71" t="s">
        <v>57</v>
      </c>
      <c r="C14" s="72">
        <f t="shared" si="0"/>
        <v>19148.038383999999</v>
      </c>
      <c r="D14" s="72"/>
      <c r="E14" s="72">
        <v>0</v>
      </c>
      <c r="F14" s="93">
        <f t="shared" si="3"/>
        <v>0</v>
      </c>
      <c r="G14" s="89" t="s">
        <v>86</v>
      </c>
      <c r="H14" s="77">
        <v>85352</v>
      </c>
    </row>
    <row r="15" spans="1:9" s="69" customFormat="1">
      <c r="A15" s="136"/>
      <c r="B15" s="71" t="s">
        <v>58</v>
      </c>
      <c r="C15" s="72">
        <f t="shared" si="0"/>
        <v>24546.604272</v>
      </c>
      <c r="D15" s="72"/>
      <c r="E15" s="72">
        <v>0</v>
      </c>
      <c r="F15" s="93">
        <f t="shared" si="3"/>
        <v>0</v>
      </c>
      <c r="G15" s="89" t="s">
        <v>86</v>
      </c>
      <c r="H15" s="77">
        <v>109416</v>
      </c>
    </row>
    <row r="16" spans="1:9" s="69" customFormat="1">
      <c r="A16" s="136"/>
      <c r="B16" s="71" t="s">
        <v>59</v>
      </c>
      <c r="C16" s="72">
        <f t="shared" si="0"/>
        <v>4015.0487740000003</v>
      </c>
      <c r="D16" s="72"/>
      <c r="E16" s="72">
        <v>0</v>
      </c>
      <c r="F16" s="93">
        <f t="shared" si="3"/>
        <v>0</v>
      </c>
      <c r="G16" s="89" t="s">
        <v>86</v>
      </c>
      <c r="H16" s="77">
        <v>17897</v>
      </c>
    </row>
    <row r="17" spans="1:8" s="69" customFormat="1">
      <c r="A17" s="136"/>
      <c r="B17" s="71" t="s">
        <v>60</v>
      </c>
      <c r="C17" s="72">
        <f t="shared" si="0"/>
        <v>2340.335744</v>
      </c>
      <c r="D17" s="72"/>
      <c r="E17" s="72">
        <v>0</v>
      </c>
      <c r="F17" s="93">
        <f t="shared" si="3"/>
        <v>0</v>
      </c>
      <c r="G17" s="89" t="s">
        <v>86</v>
      </c>
      <c r="H17" s="77">
        <v>10432</v>
      </c>
    </row>
    <row r="18" spans="1:8" s="69" customFormat="1">
      <c r="A18" s="136"/>
      <c r="B18" s="71" t="s">
        <v>61</v>
      </c>
      <c r="C18" s="72">
        <f t="shared" si="0"/>
        <v>9624.9448260000008</v>
      </c>
      <c r="D18" s="72"/>
      <c r="E18" s="72">
        <v>0</v>
      </c>
      <c r="F18" s="93">
        <f t="shared" si="3"/>
        <v>0</v>
      </c>
      <c r="G18" s="89" t="s">
        <v>86</v>
      </c>
      <c r="H18" s="77">
        <v>42903</v>
      </c>
    </row>
    <row r="19" spans="1:8" s="69" customFormat="1">
      <c r="A19" s="136"/>
      <c r="B19" s="71" t="s">
        <v>62</v>
      </c>
      <c r="C19" s="72">
        <f t="shared" si="0"/>
        <v>22604.026894000002</v>
      </c>
      <c r="D19" s="72"/>
      <c r="E19" s="72">
        <v>0</v>
      </c>
      <c r="F19" s="93">
        <f t="shared" si="3"/>
        <v>0</v>
      </c>
      <c r="G19" s="89" t="s">
        <v>86</v>
      </c>
      <c r="H19" s="77">
        <v>100757</v>
      </c>
    </row>
    <row r="20" spans="1:8" s="69" customFormat="1">
      <c r="A20" s="136"/>
      <c r="B20" s="71" t="s">
        <v>63</v>
      </c>
      <c r="C20" s="72">
        <f t="shared" si="0"/>
        <v>53939.893112000005</v>
      </c>
      <c r="D20" s="72"/>
      <c r="E20" s="72">
        <v>0</v>
      </c>
      <c r="F20" s="93">
        <f t="shared" si="3"/>
        <v>0</v>
      </c>
      <c r="G20" s="89" t="s">
        <v>86</v>
      </c>
      <c r="H20" s="77">
        <v>240436</v>
      </c>
    </row>
    <row r="21" spans="1:8" s="69" customFormat="1">
      <c r="A21" s="136"/>
      <c r="B21" s="71" t="s">
        <v>64</v>
      </c>
      <c r="C21" s="72">
        <f t="shared" si="0"/>
        <v>37363.262732000003</v>
      </c>
      <c r="D21" s="72"/>
      <c r="E21" s="72">
        <v>0</v>
      </c>
      <c r="F21" s="93"/>
      <c r="G21" s="89" t="s">
        <v>86</v>
      </c>
      <c r="H21" s="77">
        <v>166546</v>
      </c>
    </row>
    <row r="22" spans="1:8">
      <c r="A22" s="136"/>
      <c r="B22" s="71" t="s">
        <v>65</v>
      </c>
      <c r="C22" s="72">
        <f t="shared" si="0"/>
        <v>46447.094654</v>
      </c>
      <c r="D22" s="72"/>
      <c r="E22" s="72">
        <v>0</v>
      </c>
      <c r="F22" s="93">
        <f t="shared" ref="F22:F37" si="4">(+C22*E22)/2000</f>
        <v>0</v>
      </c>
      <c r="G22" s="89" t="s">
        <v>86</v>
      </c>
      <c r="H22" s="77">
        <v>207037</v>
      </c>
    </row>
    <row r="23" spans="1:8">
      <c r="A23" s="136"/>
      <c r="B23" s="71" t="s">
        <v>66</v>
      </c>
      <c r="C23" s="72">
        <f t="shared" si="0"/>
        <v>147518.10117800001</v>
      </c>
      <c r="D23" s="72"/>
      <c r="E23" s="72">
        <v>0</v>
      </c>
      <c r="F23" s="93">
        <f t="shared" si="4"/>
        <v>0</v>
      </c>
      <c r="G23" s="89" t="s">
        <v>86</v>
      </c>
      <c r="H23" s="77">
        <v>657559</v>
      </c>
    </row>
    <row r="24" spans="1:8">
      <c r="A24" s="136"/>
      <c r="B24" s="71" t="s">
        <v>67</v>
      </c>
      <c r="C24" s="72">
        <f t="shared" si="0"/>
        <v>4575.0064060000004</v>
      </c>
      <c r="D24" s="72"/>
      <c r="E24" s="72">
        <v>0</v>
      </c>
      <c r="F24" s="93">
        <f t="shared" si="4"/>
        <v>0</v>
      </c>
      <c r="G24" s="89" t="s">
        <v>86</v>
      </c>
      <c r="H24" s="77">
        <v>20393</v>
      </c>
    </row>
    <row r="25" spans="1:8">
      <c r="A25" s="136"/>
      <c r="B25" s="71" t="s">
        <v>77</v>
      </c>
      <c r="C25" s="72">
        <f t="shared" si="0"/>
        <v>53403.940074000006</v>
      </c>
      <c r="D25" s="72"/>
      <c r="E25" s="72">
        <v>0</v>
      </c>
      <c r="F25" s="93">
        <f t="shared" si="4"/>
        <v>0</v>
      </c>
      <c r="G25" s="89" t="s">
        <v>86</v>
      </c>
      <c r="H25" s="77">
        <v>238047</v>
      </c>
    </row>
    <row r="26" spans="1:8">
      <c r="A26" s="136"/>
      <c r="B26" s="71" t="s">
        <v>76</v>
      </c>
      <c r="C26" s="72">
        <f t="shared" si="0"/>
        <v>8416.8631560000013</v>
      </c>
      <c r="D26" s="72"/>
      <c r="E26" s="72">
        <v>0</v>
      </c>
      <c r="F26" s="93">
        <f t="shared" si="4"/>
        <v>0</v>
      </c>
      <c r="G26" s="89" t="s">
        <v>86</v>
      </c>
      <c r="H26" s="77">
        <v>37518</v>
      </c>
    </row>
    <row r="27" spans="1:8">
      <c r="A27" s="136"/>
      <c r="B27" s="71" t="s">
        <v>75</v>
      </c>
      <c r="C27" s="72">
        <f t="shared" si="0"/>
        <v>859.90288600000008</v>
      </c>
      <c r="D27" s="72"/>
      <c r="E27" s="72">
        <v>0</v>
      </c>
      <c r="F27" s="93">
        <f t="shared" si="4"/>
        <v>0</v>
      </c>
      <c r="G27" s="89" t="s">
        <v>86</v>
      </c>
      <c r="H27" s="77">
        <v>3833</v>
      </c>
    </row>
    <row r="28" spans="1:8">
      <c r="A28" s="136"/>
      <c r="B28" s="71" t="s">
        <v>74</v>
      </c>
      <c r="C28" s="72">
        <f t="shared" si="0"/>
        <v>21677.494434</v>
      </c>
      <c r="D28" s="72"/>
      <c r="E28" s="72">
        <v>0</v>
      </c>
      <c r="F28" s="93">
        <f t="shared" si="4"/>
        <v>0</v>
      </c>
      <c r="G28" s="89" t="s">
        <v>86</v>
      </c>
      <c r="H28" s="77">
        <v>96627</v>
      </c>
    </row>
    <row r="29" spans="1:8">
      <c r="A29" s="136"/>
      <c r="B29" s="71" t="s">
        <v>73</v>
      </c>
      <c r="C29" s="72">
        <f t="shared" si="0"/>
        <v>11338.469022000001</v>
      </c>
      <c r="D29" s="72"/>
      <c r="E29" s="72">
        <v>0</v>
      </c>
      <c r="F29" s="93">
        <f t="shared" si="4"/>
        <v>0</v>
      </c>
      <c r="G29" s="89" t="s">
        <v>86</v>
      </c>
      <c r="H29" s="77">
        <v>50541</v>
      </c>
    </row>
    <row r="30" spans="1:8">
      <c r="A30" s="136"/>
      <c r="B30" s="71" t="s">
        <v>72</v>
      </c>
      <c r="C30" s="72">
        <f t="shared" si="0"/>
        <v>181597.670056</v>
      </c>
      <c r="D30" s="72"/>
      <c r="E30" s="72">
        <v>0</v>
      </c>
      <c r="F30" s="93">
        <f t="shared" si="4"/>
        <v>0</v>
      </c>
      <c r="G30" s="89" t="s">
        <v>86</v>
      </c>
      <c r="H30" s="77">
        <v>809468</v>
      </c>
    </row>
    <row r="31" spans="1:8">
      <c r="A31" s="136"/>
      <c r="B31" s="71" t="s">
        <v>71</v>
      </c>
      <c r="C31" s="72">
        <f t="shared" si="0"/>
        <v>59178.727496000007</v>
      </c>
      <c r="D31" s="72"/>
      <c r="E31" s="72">
        <v>0</v>
      </c>
      <c r="F31" s="93">
        <f t="shared" si="4"/>
        <v>0</v>
      </c>
      <c r="G31" s="89" t="s">
        <v>86</v>
      </c>
      <c r="H31" s="77">
        <v>263788</v>
      </c>
    </row>
    <row r="32" spans="1:8">
      <c r="A32" s="136"/>
      <c r="B32" s="71" t="s">
        <v>70</v>
      </c>
      <c r="C32" s="72">
        <f t="shared" si="0"/>
        <v>1259.007304</v>
      </c>
      <c r="D32" s="72"/>
      <c r="E32" s="72">
        <v>0</v>
      </c>
      <c r="F32" s="93">
        <f t="shared" si="4"/>
        <v>0</v>
      </c>
      <c r="G32" s="89" t="s">
        <v>86</v>
      </c>
      <c r="H32" s="77">
        <v>5612</v>
      </c>
    </row>
    <row r="33" spans="1:8">
      <c r="A33" s="136"/>
      <c r="B33" s="71" t="s">
        <v>69</v>
      </c>
      <c r="C33" s="72">
        <f t="shared" si="0"/>
        <v>406.05902000000003</v>
      </c>
      <c r="D33" s="72"/>
      <c r="E33" s="72">
        <v>0</v>
      </c>
      <c r="F33" s="93">
        <f t="shared" si="4"/>
        <v>0</v>
      </c>
      <c r="G33" s="89" t="s">
        <v>86</v>
      </c>
      <c r="H33" s="77">
        <v>1810</v>
      </c>
    </row>
    <row r="34" spans="1:8">
      <c r="A34" s="136"/>
      <c r="B34" s="71" t="s">
        <v>68</v>
      </c>
      <c r="C34" s="72">
        <f t="shared" si="0"/>
        <v>157654.99444800001</v>
      </c>
      <c r="D34" s="72"/>
      <c r="E34" s="72">
        <v>0</v>
      </c>
      <c r="F34" s="93">
        <f t="shared" si="4"/>
        <v>0</v>
      </c>
      <c r="G34" s="89" t="s">
        <v>86</v>
      </c>
      <c r="H34" s="77">
        <v>702744</v>
      </c>
    </row>
    <row r="35" spans="1:8" s="70" customFormat="1">
      <c r="A35" s="136"/>
      <c r="B35" s="71" t="s">
        <v>82</v>
      </c>
      <c r="C35" s="72">
        <f t="shared" si="0"/>
        <v>1539.8834880000002</v>
      </c>
      <c r="D35" s="72"/>
      <c r="E35" s="72">
        <v>0</v>
      </c>
      <c r="F35" s="93">
        <f t="shared" si="4"/>
        <v>0</v>
      </c>
      <c r="G35" s="89" t="s">
        <v>86</v>
      </c>
      <c r="H35" s="77">
        <v>6864</v>
      </c>
    </row>
    <row r="36" spans="1:8" s="92" customFormat="1">
      <c r="A36" s="136"/>
      <c r="B36" s="71" t="s">
        <v>131</v>
      </c>
      <c r="C36" s="72">
        <f t="shared" si="0"/>
        <v>3059.351854</v>
      </c>
      <c r="D36" s="72"/>
      <c r="E36" s="72">
        <v>0</v>
      </c>
      <c r="F36" s="93">
        <f t="shared" ref="F36" si="5">(+C36*E36)/2000</f>
        <v>0</v>
      </c>
      <c r="G36" s="89" t="s">
        <v>86</v>
      </c>
      <c r="H36" s="77">
        <v>13637</v>
      </c>
    </row>
    <row r="37" spans="1:8" s="70" customFormat="1">
      <c r="A37" s="136"/>
      <c r="B37" s="71" t="s">
        <v>78</v>
      </c>
      <c r="C37" s="72">
        <f t="shared" si="0"/>
        <v>1505.33482</v>
      </c>
      <c r="D37" s="72"/>
      <c r="E37" s="72">
        <v>0</v>
      </c>
      <c r="F37" s="93">
        <f t="shared" si="4"/>
        <v>0</v>
      </c>
      <c r="G37" s="89" t="s">
        <v>88</v>
      </c>
      <c r="H37" s="77">
        <v>6710</v>
      </c>
    </row>
    <row r="38" spans="1:8" s="70" customFormat="1">
      <c r="A38" s="136"/>
      <c r="B38" s="71" t="s">
        <v>79</v>
      </c>
      <c r="C38" s="72">
        <f t="shared" si="0"/>
        <v>55077.980078000001</v>
      </c>
      <c r="D38" s="72"/>
      <c r="E38" s="72">
        <v>0</v>
      </c>
      <c r="F38" s="93">
        <f t="shared" ref="F38:F43" si="6">(+C38*E38)/2000</f>
        <v>0</v>
      </c>
      <c r="G38" s="89" t="s">
        <v>86</v>
      </c>
      <c r="H38" s="77">
        <v>245509</v>
      </c>
    </row>
    <row r="39" spans="1:8" s="70" customFormat="1">
      <c r="A39" s="136"/>
      <c r="B39" s="71" t="s">
        <v>80</v>
      </c>
      <c r="C39" s="72">
        <f t="shared" si="0"/>
        <v>14960.246270000001</v>
      </c>
      <c r="D39" s="72"/>
      <c r="E39" s="72">
        <v>0</v>
      </c>
      <c r="F39" s="93">
        <f t="shared" si="6"/>
        <v>0</v>
      </c>
      <c r="G39" s="89" t="s">
        <v>86</v>
      </c>
      <c r="H39" s="77">
        <v>66685</v>
      </c>
    </row>
    <row r="40" spans="1:8" s="73" customFormat="1">
      <c r="A40" s="136"/>
      <c r="B40" s="71" t="s">
        <v>81</v>
      </c>
      <c r="C40" s="72">
        <f t="shared" si="0"/>
        <v>15548.919678</v>
      </c>
      <c r="D40" s="72"/>
      <c r="E40" s="72">
        <v>0</v>
      </c>
      <c r="F40" s="93">
        <f t="shared" si="6"/>
        <v>0</v>
      </c>
      <c r="G40" s="89" t="s">
        <v>86</v>
      </c>
      <c r="H40" s="77">
        <v>69309</v>
      </c>
    </row>
    <row r="41" spans="1:8" s="70" customFormat="1">
      <c r="A41" s="136"/>
      <c r="B41" s="71" t="s">
        <v>50</v>
      </c>
      <c r="C41" s="72">
        <f t="shared" si="0"/>
        <v>24390.686582000002</v>
      </c>
      <c r="D41" s="72"/>
      <c r="E41" s="72">
        <v>0</v>
      </c>
      <c r="F41" s="93">
        <f t="shared" si="6"/>
        <v>0</v>
      </c>
      <c r="G41" s="89" t="s">
        <v>86</v>
      </c>
      <c r="H41" s="77">
        <v>108721</v>
      </c>
    </row>
    <row r="42" spans="1:8" s="70" customFormat="1">
      <c r="A42" s="136"/>
      <c r="B42" s="71" t="s">
        <v>52</v>
      </c>
      <c r="C42" s="72">
        <f t="shared" si="0"/>
        <v>17506.752312000001</v>
      </c>
      <c r="D42" s="72"/>
      <c r="E42" s="72">
        <v>0</v>
      </c>
      <c r="F42" s="93">
        <f t="shared" si="6"/>
        <v>0</v>
      </c>
      <c r="G42" s="89" t="s">
        <v>87</v>
      </c>
      <c r="H42" s="77">
        <v>78036</v>
      </c>
    </row>
    <row r="43" spans="1:8" s="70" customFormat="1">
      <c r="A43" s="136"/>
      <c r="B43" s="71" t="s">
        <v>53</v>
      </c>
      <c r="C43" s="72">
        <f t="shared" si="0"/>
        <v>2697.4882080000002</v>
      </c>
      <c r="D43" s="92"/>
      <c r="E43" s="72">
        <v>0</v>
      </c>
      <c r="F43" s="93">
        <f t="shared" si="6"/>
        <v>0</v>
      </c>
      <c r="G43" s="89" t="s">
        <v>86</v>
      </c>
      <c r="H43" s="77">
        <v>12024</v>
      </c>
    </row>
    <row r="44" spans="1:8" ht="15.75" thickBot="1">
      <c r="A44" s="136"/>
      <c r="B44" s="94" t="s">
        <v>133</v>
      </c>
      <c r="C44" s="72">
        <f t="shared" ref="C44" si="7">H44*$C$47</f>
        <v>13202.975384000001</v>
      </c>
      <c r="E44" s="72">
        <v>0</v>
      </c>
      <c r="F44" s="93">
        <f t="shared" ref="F44" si="8">(+C44*E44)/2000</f>
        <v>0</v>
      </c>
      <c r="G44" s="89" t="s">
        <v>86</v>
      </c>
      <c r="H44" s="149">
        <v>58852</v>
      </c>
    </row>
    <row r="45" spans="1:8" ht="16.5" thickTop="1" thickBot="1">
      <c r="B45" s="88"/>
      <c r="C45" s="90">
        <f>SUM(C4:C44)</f>
        <v>4075040.0704575549</v>
      </c>
      <c r="E45" s="88"/>
      <c r="F45" s="90">
        <f>SUM(F4:F44)</f>
        <v>2772191.6585833612</v>
      </c>
      <c r="G45" s="88"/>
      <c r="H45" s="150">
        <f>SUM(H4:H44)</f>
        <v>18164410.009973854</v>
      </c>
    </row>
    <row r="46" spans="1:8">
      <c r="B46" s="88"/>
      <c r="C46" s="88"/>
      <c r="E46" s="88"/>
      <c r="F46" s="88"/>
      <c r="G46" s="88"/>
      <c r="H46" s="88"/>
    </row>
    <row r="47" spans="1:8">
      <c r="B47" s="88" t="s">
        <v>132</v>
      </c>
      <c r="C47" s="100">
        <v>0.22434200000000001</v>
      </c>
      <c r="E47" s="88"/>
      <c r="F47" s="88"/>
      <c r="G47" s="88"/>
      <c r="H47" s="88"/>
    </row>
    <row r="48" spans="1:8">
      <c r="G48" s="74"/>
      <c r="H48" s="74"/>
    </row>
    <row r="49" spans="8:8">
      <c r="H49" s="74"/>
    </row>
    <row r="52" spans="8:8">
      <c r="H52" s="3" t="s">
        <v>135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topLeftCell="C1" workbookViewId="0">
      <selection activeCell="D34" sqref="D34"/>
    </sheetView>
  </sheetViews>
  <sheetFormatPr defaultRowHeight="15"/>
  <cols>
    <col min="1" max="1" width="4.28515625" style="92" customWidth="1"/>
    <col min="2" max="2" width="46.140625" customWidth="1"/>
    <col min="3" max="3" width="13.7109375" style="76" customWidth="1"/>
    <col min="4" max="4" width="12.5703125" style="76" customWidth="1"/>
    <col min="5" max="5" width="13.5703125" style="76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3" ht="19.5">
      <c r="B1" s="2" t="s">
        <v>30</v>
      </c>
      <c r="C1" s="78">
        <f>+'Summary 2012'!D4</f>
        <v>2012</v>
      </c>
      <c r="E1" s="151" t="s">
        <v>138</v>
      </c>
      <c r="F1" s="92"/>
      <c r="G1" s="92"/>
      <c r="H1" s="92"/>
      <c r="I1" s="148">
        <f>L1*L2</f>
        <v>963.41893999999991</v>
      </c>
      <c r="J1" s="92" t="s">
        <v>5</v>
      </c>
      <c r="K1" s="92"/>
      <c r="L1" s="92">
        <v>0.437</v>
      </c>
      <c r="M1" s="68" t="s">
        <v>139</v>
      </c>
    </row>
    <row r="2" spans="1:13" ht="18.75">
      <c r="B2" s="2"/>
      <c r="C2" s="7" t="s">
        <v>29</v>
      </c>
      <c r="D2" s="7" t="s">
        <v>1</v>
      </c>
      <c r="E2" s="7" t="s">
        <v>4</v>
      </c>
      <c r="F2" s="3"/>
      <c r="G2" s="29" t="s">
        <v>8</v>
      </c>
      <c r="H2" s="28">
        <f>'Summary 2012'!D4</f>
        <v>2012</v>
      </c>
      <c r="I2" s="30"/>
      <c r="L2" s="92">
        <v>2204.62</v>
      </c>
      <c r="M2" s="68" t="s">
        <v>140</v>
      </c>
    </row>
    <row r="3" spans="1:13" ht="19.5">
      <c r="B3" s="95" t="s">
        <v>0</v>
      </c>
      <c r="C3" s="96">
        <f>+'Summary 2012'!D4</f>
        <v>2012</v>
      </c>
      <c r="D3" s="96" t="s">
        <v>96</v>
      </c>
      <c r="E3" s="96" t="s">
        <v>97</v>
      </c>
      <c r="F3" s="97"/>
      <c r="G3" s="98"/>
    </row>
    <row r="4" spans="1:13">
      <c r="B4" s="71" t="s">
        <v>89</v>
      </c>
      <c r="C4" s="79">
        <f t="shared" ref="C4:C14" si="0">G4*$C$35</f>
        <v>-217137.25667</v>
      </c>
      <c r="D4" s="133">
        <f t="shared" ref="D4:D10" si="1">IF(C4&lt;&gt;0,$I$1,0)</f>
        <v>963.41893999999991</v>
      </c>
      <c r="E4" s="99">
        <f>(+C4*D4)/2000</f>
        <v>-104597.07282775965</v>
      </c>
      <c r="F4" s="98"/>
      <c r="G4" s="72">
        <v>-967885</v>
      </c>
    </row>
    <row r="5" spans="1:13">
      <c r="B5" s="71" t="s">
        <v>49</v>
      </c>
      <c r="C5" s="79">
        <f t="shared" si="0"/>
        <v>-515355.97463800001</v>
      </c>
      <c r="D5" s="133">
        <f t="shared" si="1"/>
        <v>963.41893999999991</v>
      </c>
      <c r="E5" s="99">
        <f>(+C5*D5)/2000</f>
        <v>-248251.85340420439</v>
      </c>
      <c r="F5" s="98"/>
      <c r="G5" s="72">
        <v>-2297189</v>
      </c>
    </row>
    <row r="6" spans="1:13">
      <c r="B6" s="71" t="s">
        <v>95</v>
      </c>
      <c r="C6" s="79">
        <f t="shared" si="0"/>
        <v>-9447.04162</v>
      </c>
      <c r="D6" s="133">
        <f t="shared" si="1"/>
        <v>963.41893999999991</v>
      </c>
      <c r="E6" s="99">
        <f>(+C6*D6)/2000</f>
        <v>-4550.7294118381415</v>
      </c>
      <c r="F6" s="98"/>
      <c r="G6" s="72">
        <v>-42110</v>
      </c>
    </row>
    <row r="7" spans="1:13" s="92" customFormat="1">
      <c r="A7" s="135"/>
      <c r="B7" s="71" t="s">
        <v>48</v>
      </c>
      <c r="C7" s="79">
        <f t="shared" si="0"/>
        <v>-1855.6560700999978</v>
      </c>
      <c r="D7" s="133">
        <f t="shared" si="1"/>
        <v>963.41893999999991</v>
      </c>
      <c r="E7" s="99">
        <f>(+C7*D7)/2000</f>
        <v>-893.88710203015273</v>
      </c>
      <c r="F7" s="98"/>
      <c r="G7" s="72">
        <v>-8271.5499999999902</v>
      </c>
    </row>
    <row r="8" spans="1:13" ht="15" customHeight="1">
      <c r="A8" s="136"/>
      <c r="B8" s="71" t="s">
        <v>92</v>
      </c>
      <c r="C8" s="79">
        <f t="shared" si="0"/>
        <v>17192.897854000003</v>
      </c>
      <c r="D8" s="133">
        <f t="shared" si="1"/>
        <v>963.41893999999991</v>
      </c>
      <c r="E8" s="99">
        <f t="shared" ref="E8:E32" si="2">(+C8*D8)/2000</f>
        <v>8281.9817130144784</v>
      </c>
      <c r="F8" s="98"/>
      <c r="G8" s="72">
        <v>76637</v>
      </c>
    </row>
    <row r="9" spans="1:13">
      <c r="A9" s="136"/>
      <c r="B9" s="71" t="s">
        <v>90</v>
      </c>
      <c r="C9" s="79">
        <f t="shared" si="0"/>
        <v>29124.527124</v>
      </c>
      <c r="D9" s="133">
        <f t="shared" si="1"/>
        <v>963.41893999999991</v>
      </c>
      <c r="E9" s="99">
        <f t="shared" si="2"/>
        <v>14029.560524902663</v>
      </c>
      <c r="F9" s="98"/>
      <c r="G9" s="72">
        <v>129822</v>
      </c>
    </row>
    <row r="10" spans="1:13">
      <c r="A10" s="136"/>
      <c r="B10" s="71" t="s">
        <v>91</v>
      </c>
      <c r="C10" s="79">
        <f t="shared" si="0"/>
        <v>1025604.7152786178</v>
      </c>
      <c r="D10" s="133">
        <f t="shared" si="1"/>
        <v>963.41893999999991</v>
      </c>
      <c r="E10" s="99">
        <f t="shared" si="2"/>
        <v>494043.50382636389</v>
      </c>
      <c r="F10" s="98"/>
      <c r="G10" s="72">
        <v>4571612.6061041523</v>
      </c>
    </row>
    <row r="11" spans="1:13">
      <c r="A11" s="136"/>
      <c r="B11" s="71" t="s">
        <v>93</v>
      </c>
      <c r="C11" s="79">
        <f t="shared" si="0"/>
        <v>16521.666590000001</v>
      </c>
      <c r="D11" s="133">
        <f>IF(C11&lt;&gt;0,$I$1,0)</f>
        <v>963.41893999999991</v>
      </c>
      <c r="E11" s="99">
        <f t="shared" si="2"/>
        <v>7958.6432565856076</v>
      </c>
      <c r="F11" s="98"/>
      <c r="G11" s="72">
        <v>73645</v>
      </c>
    </row>
    <row r="12" spans="1:13">
      <c r="A12" s="136"/>
      <c r="B12" s="71" t="s">
        <v>94</v>
      </c>
      <c r="C12" s="79">
        <f t="shared" si="0"/>
        <v>5187.3703292000018</v>
      </c>
      <c r="D12" s="133">
        <f>IF(C12&lt;&gt;0,$I$1,0)</f>
        <v>963.41893999999991</v>
      </c>
      <c r="E12" s="99">
        <f t="shared" si="2"/>
        <v>2498.805411972658</v>
      </c>
      <c r="F12" s="98"/>
      <c r="G12" s="72">
        <v>23122.600000000006</v>
      </c>
    </row>
    <row r="13" spans="1:13" s="92" customFormat="1">
      <c r="A13" s="135"/>
      <c r="B13" s="25" t="s">
        <v>136</v>
      </c>
      <c r="C13" s="79">
        <f t="shared" si="0"/>
        <v>173.13952797200002</v>
      </c>
      <c r="D13" s="133">
        <f t="shared" ref="D13" si="3">IF(C13&lt;&gt;0,$I$1,0)</f>
        <v>963.41893999999991</v>
      </c>
      <c r="E13" s="99">
        <f t="shared" ref="E13" si="4">(+C13*D13)/2000</f>
        <v>83.402950255442292</v>
      </c>
      <c r="F13"/>
      <c r="G13" s="72">
        <v>771.76600000000008</v>
      </c>
    </row>
    <row r="14" spans="1:13" s="92" customFormat="1">
      <c r="A14" s="135"/>
      <c r="B14" s="71" t="s">
        <v>51</v>
      </c>
      <c r="C14" s="79">
        <f t="shared" si="0"/>
        <v>19801.770972000002</v>
      </c>
      <c r="D14" s="133">
        <f t="shared" ref="D14" si="5">IF(C14&lt;&gt;0,$I$1,0)</f>
        <v>963.41893999999991</v>
      </c>
      <c r="E14" s="99">
        <f t="shared" ref="E14" si="6">(+C14*D14)/2000</f>
        <v>9538.7005999835037</v>
      </c>
      <c r="F14" s="98"/>
      <c r="G14" s="72">
        <v>88266</v>
      </c>
    </row>
    <row r="15" spans="1:13">
      <c r="B15" s="25"/>
      <c r="C15" s="49"/>
      <c r="D15" s="80">
        <f t="shared" ref="D15:D32" si="7">IF(C15&lt;&gt;0,$I$1,0)</f>
        <v>0</v>
      </c>
      <c r="E15" s="81">
        <f t="shared" si="2"/>
        <v>0</v>
      </c>
      <c r="G15" s="72"/>
    </row>
    <row r="16" spans="1:13">
      <c r="B16" s="25"/>
      <c r="C16" s="49"/>
      <c r="D16" s="80">
        <f t="shared" si="7"/>
        <v>0</v>
      </c>
      <c r="E16" s="81">
        <f t="shared" si="2"/>
        <v>0</v>
      </c>
      <c r="G16" s="72"/>
    </row>
    <row r="17" spans="2:7">
      <c r="B17" s="25"/>
      <c r="C17" s="49"/>
      <c r="D17" s="80">
        <f t="shared" si="7"/>
        <v>0</v>
      </c>
      <c r="E17" s="81">
        <f t="shared" si="2"/>
        <v>0</v>
      </c>
      <c r="G17" s="72"/>
    </row>
    <row r="18" spans="2:7">
      <c r="B18" s="25"/>
      <c r="C18" s="49"/>
      <c r="D18" s="80">
        <f t="shared" si="7"/>
        <v>0</v>
      </c>
      <c r="E18" s="81">
        <f t="shared" si="2"/>
        <v>0</v>
      </c>
      <c r="G18" s="72"/>
    </row>
    <row r="19" spans="2:7">
      <c r="B19" s="25"/>
      <c r="C19" s="49"/>
      <c r="D19" s="80">
        <f t="shared" si="7"/>
        <v>0</v>
      </c>
      <c r="E19" s="81">
        <f t="shared" si="2"/>
        <v>0</v>
      </c>
      <c r="G19" s="72"/>
    </row>
    <row r="20" spans="2:7">
      <c r="B20" s="25"/>
      <c r="C20" s="49"/>
      <c r="D20" s="80">
        <f t="shared" si="7"/>
        <v>0</v>
      </c>
      <c r="E20" s="81">
        <f t="shared" si="2"/>
        <v>0</v>
      </c>
      <c r="G20" s="72"/>
    </row>
    <row r="21" spans="2:7">
      <c r="B21" s="25"/>
      <c r="C21" s="49"/>
      <c r="D21" s="80">
        <f t="shared" si="7"/>
        <v>0</v>
      </c>
      <c r="E21" s="81">
        <f t="shared" si="2"/>
        <v>0</v>
      </c>
      <c r="G21" s="72"/>
    </row>
    <row r="22" spans="2:7">
      <c r="B22" s="25"/>
      <c r="C22" s="49"/>
      <c r="D22" s="80">
        <f t="shared" si="7"/>
        <v>0</v>
      </c>
      <c r="E22" s="81">
        <f t="shared" si="2"/>
        <v>0</v>
      </c>
      <c r="G22" s="72"/>
    </row>
    <row r="23" spans="2:7">
      <c r="B23" s="25"/>
      <c r="C23" s="49"/>
      <c r="D23" s="80">
        <f t="shared" si="7"/>
        <v>0</v>
      </c>
      <c r="E23" s="81">
        <f t="shared" si="2"/>
        <v>0</v>
      </c>
      <c r="G23" s="72"/>
    </row>
    <row r="24" spans="2:7">
      <c r="B24" s="25"/>
      <c r="C24" s="49"/>
      <c r="D24" s="80">
        <f t="shared" si="7"/>
        <v>0</v>
      </c>
      <c r="E24" s="81">
        <f t="shared" si="2"/>
        <v>0</v>
      </c>
      <c r="G24" s="72"/>
    </row>
    <row r="25" spans="2:7">
      <c r="B25" s="25"/>
      <c r="C25" s="49"/>
      <c r="D25" s="80">
        <f t="shared" si="7"/>
        <v>0</v>
      </c>
      <c r="E25" s="81">
        <f t="shared" si="2"/>
        <v>0</v>
      </c>
      <c r="G25" s="72"/>
    </row>
    <row r="26" spans="2:7">
      <c r="B26" s="25"/>
      <c r="C26" s="49"/>
      <c r="D26" s="80">
        <f t="shared" si="7"/>
        <v>0</v>
      </c>
      <c r="E26" s="81">
        <f t="shared" si="2"/>
        <v>0</v>
      </c>
      <c r="G26" s="72"/>
    </row>
    <row r="27" spans="2:7">
      <c r="B27" s="25"/>
      <c r="C27" s="49"/>
      <c r="D27" s="80">
        <f t="shared" si="7"/>
        <v>0</v>
      </c>
      <c r="E27" s="81">
        <f t="shared" si="2"/>
        <v>0</v>
      </c>
      <c r="G27" s="72"/>
    </row>
    <row r="28" spans="2:7">
      <c r="B28" s="25"/>
      <c r="C28" s="49"/>
      <c r="D28" s="80">
        <f t="shared" si="7"/>
        <v>0</v>
      </c>
      <c r="E28" s="81">
        <f t="shared" si="2"/>
        <v>0</v>
      </c>
      <c r="G28" s="72"/>
    </row>
    <row r="29" spans="2:7">
      <c r="B29" s="25"/>
      <c r="C29" s="49"/>
      <c r="D29" s="80">
        <f t="shared" si="7"/>
        <v>0</v>
      </c>
      <c r="E29" s="81">
        <f t="shared" si="2"/>
        <v>0</v>
      </c>
      <c r="G29" s="72"/>
    </row>
    <row r="30" spans="2:7">
      <c r="B30" s="25"/>
      <c r="C30" s="49"/>
      <c r="D30" s="80">
        <f t="shared" si="7"/>
        <v>0</v>
      </c>
      <c r="E30" s="81">
        <f t="shared" si="2"/>
        <v>0</v>
      </c>
      <c r="G30" s="72"/>
    </row>
    <row r="31" spans="2:7">
      <c r="B31" s="25"/>
      <c r="C31" s="49"/>
      <c r="D31" s="80">
        <f t="shared" si="7"/>
        <v>0</v>
      </c>
      <c r="E31" s="81">
        <f t="shared" si="2"/>
        <v>0</v>
      </c>
      <c r="G31" s="72"/>
    </row>
    <row r="32" spans="2:7" ht="15.75" thickBot="1">
      <c r="B32" s="26"/>
      <c r="C32" s="82"/>
      <c r="D32" s="83">
        <f t="shared" si="7"/>
        <v>0</v>
      </c>
      <c r="E32" s="84">
        <f t="shared" si="2"/>
        <v>0</v>
      </c>
      <c r="G32" s="147"/>
    </row>
    <row r="33" spans="1:8" ht="16.5" thickTop="1" thickBot="1">
      <c r="A33" s="5"/>
      <c r="B33" s="137"/>
      <c r="C33" s="85">
        <f>SUM(C4:C32)</f>
        <v>369810.15867768967</v>
      </c>
      <c r="D33" s="86"/>
      <c r="E33" s="87">
        <f>SUM(E4:E32)</f>
        <v>178141.05553724588</v>
      </c>
      <c r="G33" s="146">
        <f>SUM(G4:G14)</f>
        <v>1648421.4221041526</v>
      </c>
      <c r="H33" s="5"/>
    </row>
    <row r="34" spans="1:8">
      <c r="A34" s="5"/>
    </row>
    <row r="35" spans="1:8">
      <c r="B35" s="73" t="str">
        <f>'Known Resources'!B47</f>
        <v>2012 Washington - WCA Allocation Factor</v>
      </c>
      <c r="C35" s="100">
        <f>'Known Resources'!C47</f>
        <v>0.22434200000000001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2" customWidth="1"/>
    <col min="2" max="2" width="34.7109375" style="92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2" customWidth="1"/>
    <col min="8" max="8" width="13.42578125" style="92" customWidth="1"/>
    <col min="9" max="9" width="28.85546875" style="92" customWidth="1"/>
    <col min="11" max="16384" width="9.140625" style="92"/>
  </cols>
  <sheetData>
    <row r="2" spans="2:13">
      <c r="B2" s="101" t="s">
        <v>98</v>
      </c>
    </row>
    <row r="3" spans="2:13">
      <c r="B3" s="102" t="s">
        <v>121</v>
      </c>
      <c r="C3" s="103">
        <v>2013</v>
      </c>
      <c r="D3" s="103">
        <v>2014</v>
      </c>
      <c r="E3" s="103">
        <v>2015</v>
      </c>
      <c r="M3" s="91"/>
    </row>
    <row r="4" spans="2:13">
      <c r="B4" s="92" t="s">
        <v>99</v>
      </c>
      <c r="C4" s="104">
        <v>249411.34980000003</v>
      </c>
      <c r="D4" s="104">
        <v>588540.53559999994</v>
      </c>
      <c r="E4" s="104">
        <v>652575.45380000002</v>
      </c>
      <c r="F4" s="115" t="s">
        <v>122</v>
      </c>
      <c r="M4" s="91"/>
    </row>
    <row r="5" spans="2:13">
      <c r="B5" s="92" t="s">
        <v>45</v>
      </c>
      <c r="C5" s="104">
        <v>10737153.304823698</v>
      </c>
      <c r="D5" s="104">
        <v>9865275.1750967987</v>
      </c>
      <c r="E5" s="104">
        <v>9651660.6989069991</v>
      </c>
      <c r="F5" s="115" t="s">
        <v>122</v>
      </c>
      <c r="M5" s="91"/>
    </row>
    <row r="6" spans="2:13">
      <c r="B6" s="92" t="s">
        <v>44</v>
      </c>
      <c r="C6" s="104">
        <v>746836.73800000001</v>
      </c>
      <c r="D6" s="104">
        <v>1169354.4140000001</v>
      </c>
      <c r="E6" s="104">
        <v>489137.44500000001</v>
      </c>
      <c r="F6" s="115" t="s">
        <v>122</v>
      </c>
      <c r="M6" s="91"/>
    </row>
    <row r="7" spans="2:13">
      <c r="B7" s="92" t="s">
        <v>100</v>
      </c>
      <c r="C7" s="104">
        <v>1165015.3759999999</v>
      </c>
      <c r="D7" s="104">
        <v>1049272.4750000001</v>
      </c>
      <c r="E7" s="104">
        <v>1081686.5190000001</v>
      </c>
      <c r="F7" s="115" t="s">
        <v>122</v>
      </c>
      <c r="M7" s="91"/>
    </row>
    <row r="8" spans="2:13">
      <c r="B8" s="92" t="s">
        <v>101</v>
      </c>
      <c r="C8" s="114">
        <f>(C17*H47)</f>
        <v>6689.799422</v>
      </c>
      <c r="F8" s="115"/>
      <c r="M8" s="91"/>
    </row>
    <row r="9" spans="2:13">
      <c r="C9" s="104"/>
      <c r="D9" s="104"/>
      <c r="E9" s="104"/>
      <c r="F9" s="115"/>
      <c r="J9" s="92"/>
      <c r="M9" s="91"/>
    </row>
    <row r="10" spans="2:13">
      <c r="B10" s="102" t="s">
        <v>120</v>
      </c>
      <c r="C10" s="103">
        <v>2013</v>
      </c>
      <c r="D10" s="103">
        <v>2014</v>
      </c>
      <c r="E10" s="103">
        <v>2015</v>
      </c>
      <c r="F10" s="115"/>
      <c r="J10" s="92"/>
    </row>
    <row r="11" spans="2:13">
      <c r="B11" s="92" t="s">
        <v>99</v>
      </c>
      <c r="C11" s="110">
        <v>222792</v>
      </c>
      <c r="D11" s="110">
        <v>540252</v>
      </c>
      <c r="E11" s="110">
        <v>615241</v>
      </c>
      <c r="F11" s="115" t="s">
        <v>128</v>
      </c>
      <c r="J11" s="92"/>
    </row>
    <row r="12" spans="2:13">
      <c r="B12" s="92" t="s">
        <v>102</v>
      </c>
      <c r="C12" s="111">
        <v>9936388</v>
      </c>
      <c r="D12" s="111">
        <v>9364549</v>
      </c>
      <c r="E12" s="111">
        <v>9195773</v>
      </c>
      <c r="F12" s="115" t="s">
        <v>123</v>
      </c>
      <c r="J12" s="92"/>
    </row>
    <row r="13" spans="2:13">
      <c r="B13" s="92" t="s">
        <v>44</v>
      </c>
      <c r="C13" s="111">
        <v>1674194</v>
      </c>
      <c r="D13" s="111">
        <v>1558872</v>
      </c>
      <c r="E13" s="111">
        <v>698027</v>
      </c>
      <c r="F13" s="115" t="s">
        <v>123</v>
      </c>
      <c r="J13" s="92"/>
    </row>
    <row r="14" spans="2:13" hidden="1">
      <c r="B14" s="92" t="s">
        <v>103</v>
      </c>
      <c r="C14" s="111">
        <v>1293909</v>
      </c>
      <c r="D14" s="111">
        <v>1164903</v>
      </c>
      <c r="E14" s="111">
        <v>1202753</v>
      </c>
      <c r="F14" s="115" t="s">
        <v>104</v>
      </c>
      <c r="J14" s="92"/>
    </row>
    <row r="15" spans="2:13" hidden="1">
      <c r="B15" s="92" t="s">
        <v>105</v>
      </c>
      <c r="C15" s="111">
        <v>1293909</v>
      </c>
      <c r="D15" s="111">
        <v>1164903</v>
      </c>
      <c r="E15" s="111">
        <v>1202753</v>
      </c>
      <c r="F15" s="115" t="s">
        <v>104</v>
      </c>
      <c r="J15" s="92"/>
    </row>
    <row r="16" spans="2:13">
      <c r="B16" s="92" t="s">
        <v>100</v>
      </c>
      <c r="C16" s="111">
        <f>SUM(C14:C15)</f>
        <v>2587818</v>
      </c>
      <c r="D16" s="111">
        <f>SUM(D14:D15)</f>
        <v>2329806</v>
      </c>
      <c r="E16" s="111">
        <f>SUM(E14:E15)</f>
        <v>2405506</v>
      </c>
      <c r="F16" s="115" t="s">
        <v>125</v>
      </c>
      <c r="J16" s="92"/>
    </row>
    <row r="17" spans="2:10">
      <c r="B17" s="92" t="s">
        <v>101</v>
      </c>
      <c r="C17" s="111">
        <v>6124</v>
      </c>
      <c r="D17" s="111"/>
      <c r="E17" s="111"/>
      <c r="F17" s="115" t="s">
        <v>124</v>
      </c>
      <c r="J17" s="92"/>
    </row>
    <row r="18" spans="2:10">
      <c r="F18" s="115"/>
      <c r="J18" s="92"/>
    </row>
    <row r="19" spans="2:10" hidden="1">
      <c r="B19" s="92" t="s">
        <v>106</v>
      </c>
      <c r="F19" s="115"/>
      <c r="J19" s="92"/>
    </row>
    <row r="20" spans="2:10" hidden="1">
      <c r="B20" s="105"/>
      <c r="C20" s="112">
        <v>1157889</v>
      </c>
      <c r="D20" s="112">
        <v>1157889</v>
      </c>
      <c r="E20" s="112">
        <v>1157889</v>
      </c>
      <c r="F20" s="116"/>
      <c r="J20" s="92"/>
    </row>
    <row r="21" spans="2:10" hidden="1">
      <c r="B21" s="5"/>
      <c r="C21" s="113">
        <v>2377702</v>
      </c>
      <c r="D21" s="113">
        <v>2377702</v>
      </c>
      <c r="E21" s="113">
        <v>2377702</v>
      </c>
      <c r="F21" s="117"/>
      <c r="J21" s="92"/>
    </row>
    <row r="22" spans="2:10" hidden="1">
      <c r="B22" s="92" t="s">
        <v>107</v>
      </c>
      <c r="C22" s="104">
        <f t="shared" ref="C22:E22" si="0">SUM(C20:C21)</f>
        <v>3535591</v>
      </c>
      <c r="D22" s="104">
        <f t="shared" si="0"/>
        <v>3535591</v>
      </c>
      <c r="E22" s="104">
        <f t="shared" si="0"/>
        <v>3535591</v>
      </c>
      <c r="F22" s="115"/>
      <c r="J22" s="92"/>
    </row>
    <row r="23" spans="2:10" hidden="1">
      <c r="B23" s="92" t="s">
        <v>108</v>
      </c>
      <c r="F23" s="115"/>
      <c r="J23" s="92"/>
    </row>
    <row r="24" spans="2:10" hidden="1">
      <c r="B24" s="92" t="s">
        <v>109</v>
      </c>
      <c r="F24" s="115"/>
      <c r="J24" s="92"/>
    </row>
    <row r="25" spans="2:10" hidden="1">
      <c r="F25" s="115"/>
      <c r="J25" s="92"/>
    </row>
    <row r="26" spans="2:10" hidden="1">
      <c r="F26" s="115"/>
      <c r="J26" s="92"/>
    </row>
    <row r="27" spans="2:10" hidden="1">
      <c r="F27" s="115"/>
      <c r="J27" s="92"/>
    </row>
    <row r="28" spans="2:10" hidden="1">
      <c r="B28" s="92" t="s">
        <v>110</v>
      </c>
      <c r="C28" s="104">
        <v>2151957</v>
      </c>
      <c r="F28" s="115"/>
      <c r="J28" s="92"/>
    </row>
    <row r="29" spans="2:10" hidden="1">
      <c r="C29" s="110">
        <f>C28*$H46</f>
        <v>215195.7</v>
      </c>
      <c r="F29" s="115"/>
      <c r="J29" s="92"/>
    </row>
    <row r="30" spans="2:10" hidden="1">
      <c r="B30" s="92" t="s">
        <v>111</v>
      </c>
      <c r="C30" s="104">
        <v>2155070</v>
      </c>
      <c r="D30" s="104">
        <v>5055530</v>
      </c>
      <c r="F30" s="115"/>
      <c r="J30" s="92"/>
    </row>
    <row r="31" spans="2:10" hidden="1">
      <c r="C31" s="3">
        <f>C30*0.1</f>
        <v>215507</v>
      </c>
      <c r="D31" s="110">
        <f>D30*0.1</f>
        <v>505553</v>
      </c>
      <c r="F31" s="115"/>
      <c r="J31" s="92"/>
    </row>
    <row r="32" spans="2:10" hidden="1">
      <c r="F32" s="115"/>
      <c r="J32" s="92"/>
    </row>
    <row r="33" spans="2:10" hidden="1">
      <c r="F33" s="115"/>
      <c r="J33" s="92"/>
    </row>
    <row r="34" spans="2:10" hidden="1">
      <c r="F34" s="115"/>
      <c r="J34" s="92"/>
    </row>
    <row r="35" spans="2:10" hidden="1">
      <c r="F35" s="115"/>
      <c r="J35" s="92"/>
    </row>
    <row r="36" spans="2:10" s="107" customFormat="1">
      <c r="B36" s="106" t="s">
        <v>112</v>
      </c>
      <c r="C36" s="103">
        <v>2013</v>
      </c>
      <c r="D36" s="103">
        <v>2014</v>
      </c>
      <c r="E36" s="103">
        <v>2015</v>
      </c>
      <c r="F36" s="118"/>
    </row>
    <row r="37" spans="2:10" s="107" customFormat="1">
      <c r="B37" s="92" t="s">
        <v>99</v>
      </c>
      <c r="C37" s="119">
        <f>(C4*$H51)/C11</f>
        <v>2238.9614510395349</v>
      </c>
      <c r="D37" s="109">
        <f>(D4*$H51)/D11</f>
        <v>2178.7630054122887</v>
      </c>
      <c r="E37" s="109">
        <f>(E4*$H51)/E11</f>
        <v>2121.3652984765322</v>
      </c>
      <c r="F37" s="118"/>
    </row>
    <row r="38" spans="2:10">
      <c r="B38" s="92" t="s">
        <v>45</v>
      </c>
      <c r="C38" s="119">
        <f>(C5*$H51)/C12</f>
        <v>2161.1783486763397</v>
      </c>
      <c r="D38" s="109">
        <f>(D5*$H51)/D12</f>
        <v>2106.9407987713657</v>
      </c>
      <c r="E38" s="109">
        <f>(E5*$H51)/E12</f>
        <v>2099.1515773403712</v>
      </c>
      <c r="F38" s="115"/>
      <c r="J38" s="92"/>
    </row>
    <row r="39" spans="2:10">
      <c r="B39" s="92" t="s">
        <v>44</v>
      </c>
      <c r="C39" s="119">
        <f>(C6*$H51)/C13</f>
        <v>892.17466792976199</v>
      </c>
      <c r="D39" s="109">
        <f>(D6*$H51)/D13</f>
        <v>1500.2571269482037</v>
      </c>
      <c r="E39" s="109">
        <f>(E6*$H51)/E13</f>
        <v>1401.485744820759</v>
      </c>
      <c r="F39" s="115"/>
      <c r="J39" s="92"/>
    </row>
    <row r="40" spans="2:10">
      <c r="B40" s="92" t="s">
        <v>100</v>
      </c>
      <c r="C40" s="119">
        <f>(C7*$H51)/C16</f>
        <v>900.38432069024952</v>
      </c>
      <c r="D40" s="109">
        <f>(D7*$H51)/D16</f>
        <v>900.73806574452988</v>
      </c>
      <c r="E40" s="109">
        <f>(E7*$H51)/E16</f>
        <v>899.34219162205375</v>
      </c>
      <c r="F40" s="115"/>
      <c r="J40" s="92"/>
    </row>
    <row r="41" spans="2:10">
      <c r="B41" s="92" t="s">
        <v>101</v>
      </c>
      <c r="C41" s="119">
        <f>(C8*$H51)/C17</f>
        <v>2184.7809999999999</v>
      </c>
      <c r="D41" s="108"/>
      <c r="E41" s="108"/>
      <c r="F41" s="115"/>
      <c r="J41" s="92"/>
    </row>
    <row r="43" spans="2:10">
      <c r="B43" s="101" t="s">
        <v>117</v>
      </c>
      <c r="J43" s="92"/>
    </row>
    <row r="44" spans="2:10">
      <c r="B44" s="102" t="s">
        <v>119</v>
      </c>
      <c r="C44" s="103">
        <v>2013</v>
      </c>
      <c r="D44" s="103">
        <v>2014</v>
      </c>
      <c r="E44" s="103">
        <v>2015</v>
      </c>
      <c r="F44" s="92"/>
      <c r="G44" s="120" t="s">
        <v>113</v>
      </c>
      <c r="H44" s="121"/>
      <c r="I44"/>
      <c r="J44" s="91"/>
    </row>
    <row r="45" spans="2:10">
      <c r="B45" s="92" t="s">
        <v>118</v>
      </c>
      <c r="C45" s="111">
        <v>62089</v>
      </c>
      <c r="D45" s="111">
        <v>66234</v>
      </c>
      <c r="E45" s="111">
        <v>45774</v>
      </c>
      <c r="F45" s="92"/>
      <c r="G45" s="122" t="s">
        <v>45</v>
      </c>
      <c r="H45" s="123">
        <v>0.66669999999999996</v>
      </c>
      <c r="I45"/>
      <c r="J45" s="91"/>
    </row>
    <row r="46" spans="2:10">
      <c r="B46" s="92" t="s">
        <v>42</v>
      </c>
      <c r="C46" s="111">
        <v>227258</v>
      </c>
      <c r="D46" s="111">
        <v>216762</v>
      </c>
      <c r="E46" s="111">
        <v>186746</v>
      </c>
      <c r="F46" s="92"/>
      <c r="G46" s="122" t="s">
        <v>115</v>
      </c>
      <c r="H46" s="125">
        <v>0.1</v>
      </c>
      <c r="I46"/>
      <c r="J46" s="91"/>
    </row>
    <row r="47" spans="2:10">
      <c r="B47" s="92" t="s">
        <v>43</v>
      </c>
      <c r="C47" s="111">
        <v>206164</v>
      </c>
      <c r="D47" s="111">
        <v>215245</v>
      </c>
      <c r="E47" s="111">
        <v>188567</v>
      </c>
      <c r="F47" s="92"/>
      <c r="G47" s="126" t="s">
        <v>101</v>
      </c>
      <c r="H47" s="127">
        <v>1.0923905</v>
      </c>
      <c r="I47" s="128" t="s">
        <v>127</v>
      </c>
      <c r="J47" s="92"/>
    </row>
    <row r="48" spans="2:10">
      <c r="B48" s="92" t="s">
        <v>47</v>
      </c>
      <c r="C48" s="111">
        <v>485852</v>
      </c>
      <c r="D48" s="111">
        <v>542156</v>
      </c>
      <c r="E48" s="111">
        <v>436619</v>
      </c>
      <c r="F48" s="92"/>
      <c r="G48" s="129" t="s">
        <v>129</v>
      </c>
      <c r="H48" s="130"/>
      <c r="I48" s="5"/>
      <c r="J48" s="91"/>
    </row>
    <row r="49" spans="2:10">
      <c r="B49" s="92" t="s">
        <v>54</v>
      </c>
      <c r="C49" s="111">
        <v>1925</v>
      </c>
      <c r="D49" s="111">
        <v>2498</v>
      </c>
      <c r="E49" s="111">
        <v>2396</v>
      </c>
      <c r="F49" s="92"/>
      <c r="G49" s="122" t="s">
        <v>114</v>
      </c>
      <c r="H49" s="131">
        <v>0.90718500000000002</v>
      </c>
      <c r="I49" s="5"/>
      <c r="J49" s="91"/>
    </row>
    <row r="50" spans="2:10">
      <c r="B50" s="92" t="s">
        <v>55</v>
      </c>
      <c r="C50" s="111">
        <v>37778</v>
      </c>
      <c r="D50" s="111">
        <v>41246</v>
      </c>
      <c r="E50" s="111">
        <v>31575</v>
      </c>
      <c r="F50" s="92"/>
      <c r="G50" s="122" t="s">
        <v>126</v>
      </c>
      <c r="H50" s="131">
        <v>1.1023099999999999</v>
      </c>
      <c r="I50" s="5"/>
      <c r="J50" s="91"/>
    </row>
    <row r="51" spans="2:10">
      <c r="B51" s="92" t="s">
        <v>56</v>
      </c>
      <c r="C51" s="111">
        <v>39381</v>
      </c>
      <c r="D51" s="111">
        <v>44892</v>
      </c>
      <c r="E51" s="111">
        <v>32142</v>
      </c>
      <c r="G51" s="124" t="s">
        <v>116</v>
      </c>
      <c r="H51" s="132">
        <v>2000</v>
      </c>
      <c r="J51" s="92"/>
    </row>
    <row r="52" spans="2:10">
      <c r="B52" s="92" t="s">
        <v>57</v>
      </c>
      <c r="C52" s="111">
        <v>67577</v>
      </c>
      <c r="D52" s="111">
        <v>65390</v>
      </c>
      <c r="E52" s="111">
        <v>60539</v>
      </c>
      <c r="J52" s="92"/>
    </row>
    <row r="53" spans="2:10">
      <c r="B53" s="92" t="s">
        <v>58</v>
      </c>
      <c r="C53" s="111">
        <v>83609</v>
      </c>
      <c r="D53" s="111">
        <v>86439</v>
      </c>
      <c r="E53" s="111">
        <v>77098</v>
      </c>
      <c r="J53" s="92"/>
    </row>
    <row r="54" spans="2:10">
      <c r="B54" s="92" t="s">
        <v>59</v>
      </c>
      <c r="C54" s="111">
        <v>16334</v>
      </c>
      <c r="D54" s="111">
        <v>16187</v>
      </c>
      <c r="E54" s="111">
        <v>16857</v>
      </c>
      <c r="J54" s="92"/>
    </row>
    <row r="55" spans="2:10">
      <c r="B55" s="92" t="s">
        <v>60</v>
      </c>
      <c r="C55" s="111">
        <v>9864</v>
      </c>
      <c r="D55" s="111">
        <v>7396</v>
      </c>
      <c r="E55" s="111">
        <v>9699</v>
      </c>
      <c r="J55" s="92"/>
    </row>
    <row r="56" spans="2:10">
      <c r="B56" s="92" t="s">
        <v>61</v>
      </c>
      <c r="C56" s="111">
        <v>15766</v>
      </c>
      <c r="D56" s="111">
        <v>24132</v>
      </c>
      <c r="E56" s="111">
        <v>7941</v>
      </c>
      <c r="J56" s="92"/>
    </row>
    <row r="57" spans="2:10">
      <c r="B57" s="92" t="s">
        <v>62</v>
      </c>
      <c r="C57" s="111">
        <v>85349</v>
      </c>
      <c r="D57" s="111">
        <v>85550</v>
      </c>
      <c r="E57" s="111">
        <v>82043</v>
      </c>
      <c r="J57" s="92"/>
    </row>
    <row r="58" spans="2:10">
      <c r="B58" s="92" t="s">
        <v>63</v>
      </c>
      <c r="C58" s="111">
        <v>166834</v>
      </c>
      <c r="D58" s="111">
        <v>172588</v>
      </c>
      <c r="E58" s="111">
        <v>160121</v>
      </c>
      <c r="J58" s="92"/>
    </row>
    <row r="59" spans="2:10">
      <c r="B59" s="92" t="s">
        <v>64</v>
      </c>
      <c r="C59" s="111">
        <v>123888</v>
      </c>
      <c r="D59" s="111">
        <v>140861</v>
      </c>
      <c r="E59" s="111">
        <v>123550</v>
      </c>
      <c r="J59" s="92"/>
    </row>
    <row r="60" spans="2:10">
      <c r="B60" s="92" t="s">
        <v>65</v>
      </c>
      <c r="C60" s="111">
        <v>150001</v>
      </c>
      <c r="D60" s="111">
        <v>173729</v>
      </c>
      <c r="E60" s="111">
        <v>136640</v>
      </c>
      <c r="J60" s="92"/>
    </row>
    <row r="61" spans="2:10">
      <c r="B61" s="92" t="s">
        <v>66</v>
      </c>
      <c r="C61" s="111">
        <v>460852</v>
      </c>
      <c r="D61" s="111">
        <v>579582</v>
      </c>
      <c r="E61" s="111">
        <v>398837</v>
      </c>
      <c r="J61" s="92"/>
    </row>
    <row r="62" spans="2:10">
      <c r="B62" s="92" t="s">
        <v>67</v>
      </c>
      <c r="C62" s="111">
        <v>20789</v>
      </c>
      <c r="D62" s="111">
        <v>23728</v>
      </c>
      <c r="E62" s="111">
        <v>6378</v>
      </c>
      <c r="J62" s="92"/>
    </row>
    <row r="63" spans="2:10">
      <c r="B63" s="92" t="s">
        <v>77</v>
      </c>
      <c r="C63" s="111">
        <v>215139</v>
      </c>
      <c r="D63" s="111">
        <v>206474</v>
      </c>
      <c r="E63" s="111">
        <v>166763</v>
      </c>
      <c r="J63" s="92"/>
    </row>
    <row r="64" spans="2:10">
      <c r="B64" s="92" t="s">
        <v>76</v>
      </c>
      <c r="C64" s="111">
        <v>33745</v>
      </c>
      <c r="D64" s="111">
        <v>35937</v>
      </c>
      <c r="E64" s="111">
        <v>27781</v>
      </c>
      <c r="J64" s="92"/>
    </row>
    <row r="65" spans="2:10">
      <c r="B65" s="92" t="s">
        <v>75</v>
      </c>
      <c r="C65" s="111">
        <v>4178</v>
      </c>
      <c r="D65" s="111">
        <v>4567</v>
      </c>
      <c r="E65" s="111">
        <v>1219</v>
      </c>
      <c r="J65" s="92"/>
    </row>
    <row r="66" spans="2:10">
      <c r="B66" s="92" t="s">
        <v>74</v>
      </c>
      <c r="C66" s="111">
        <v>53119</v>
      </c>
      <c r="D66" s="111">
        <v>70420</v>
      </c>
      <c r="E66" s="111">
        <v>44735</v>
      </c>
      <c r="J66" s="92"/>
    </row>
    <row r="67" spans="2:10">
      <c r="B67" s="92" t="s">
        <v>73</v>
      </c>
      <c r="C67" s="111">
        <v>45782</v>
      </c>
      <c r="D67" s="111">
        <v>54071</v>
      </c>
      <c r="E67" s="111">
        <v>34278</v>
      </c>
      <c r="J67" s="92"/>
    </row>
    <row r="68" spans="2:10">
      <c r="B68" s="92" t="s">
        <v>72</v>
      </c>
      <c r="C68" s="111">
        <v>574493</v>
      </c>
      <c r="D68" s="111">
        <v>811753</v>
      </c>
      <c r="E68" s="111">
        <v>583525</v>
      </c>
      <c r="J68" s="92"/>
    </row>
    <row r="69" spans="2:10">
      <c r="B69" s="92" t="s">
        <v>71</v>
      </c>
      <c r="C69" s="111">
        <v>195898</v>
      </c>
      <c r="D69" s="111">
        <v>226366</v>
      </c>
      <c r="E69" s="111">
        <v>183992</v>
      </c>
      <c r="J69" s="92"/>
    </row>
    <row r="70" spans="2:10">
      <c r="B70" s="92" t="s">
        <v>70</v>
      </c>
      <c r="C70" s="111">
        <v>5340</v>
      </c>
      <c r="D70" s="111">
        <v>2354</v>
      </c>
      <c r="E70" s="111">
        <v>3490</v>
      </c>
      <c r="J70" s="92"/>
    </row>
    <row r="71" spans="2:10">
      <c r="B71" s="92" t="s">
        <v>69</v>
      </c>
      <c r="C71" s="111">
        <v>926</v>
      </c>
      <c r="D71" s="111">
        <v>55</v>
      </c>
      <c r="E71" s="111">
        <v>-21</v>
      </c>
      <c r="J71" s="92"/>
    </row>
    <row r="72" spans="2:10">
      <c r="B72" s="92" t="s">
        <v>68</v>
      </c>
      <c r="C72" s="111">
        <v>506285</v>
      </c>
      <c r="D72" s="111">
        <v>671963</v>
      </c>
      <c r="E72" s="111">
        <v>482067</v>
      </c>
      <c r="J72" s="92"/>
    </row>
    <row r="73" spans="2:10">
      <c r="J73" s="92"/>
    </row>
    <row r="74" spans="2:10">
      <c r="J74" s="92"/>
    </row>
    <row r="75" spans="2:10">
      <c r="J75" s="92"/>
    </row>
    <row r="76" spans="2:10">
      <c r="J76" s="92"/>
    </row>
    <row r="77" spans="2:10">
      <c r="J77" s="92"/>
    </row>
    <row r="78" spans="2:10">
      <c r="J78" s="92"/>
    </row>
    <row r="79" spans="2:10">
      <c r="J79" s="92"/>
    </row>
    <row r="80" spans="2:10">
      <c r="J80" s="92"/>
    </row>
    <row r="81" spans="10:10">
      <c r="J81" s="92"/>
    </row>
    <row r="82" spans="10:10">
      <c r="J82" s="92"/>
    </row>
    <row r="83" spans="10:10">
      <c r="J83" s="92"/>
    </row>
    <row r="84" spans="10:10">
      <c r="J84" s="92"/>
    </row>
    <row r="85" spans="10:10">
      <c r="J85" s="92"/>
    </row>
    <row r="86" spans="10:10">
      <c r="J86" s="92"/>
    </row>
    <row r="87" spans="10:10">
      <c r="J87" s="92"/>
    </row>
    <row r="88" spans="10:10">
      <c r="J88" s="92"/>
    </row>
    <row r="89" spans="10:10">
      <c r="J89" s="92"/>
    </row>
    <row r="90" spans="10:10">
      <c r="J90" s="92"/>
    </row>
    <row r="91" spans="10:10">
      <c r="J91" s="92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F17FC5C-99B2-4A0C-B5EB-1FD7F32EA047}"/>
</file>

<file path=customXml/itemProps2.xml><?xml version="1.0" encoding="utf-8"?>
<ds:datastoreItem xmlns:ds="http://schemas.openxmlformats.org/officeDocument/2006/customXml" ds:itemID="{85CAA53C-83A7-4A7B-BE61-B2BC4E495A8C}"/>
</file>

<file path=customXml/itemProps3.xml><?xml version="1.0" encoding="utf-8"?>
<ds:datastoreItem xmlns:ds="http://schemas.openxmlformats.org/officeDocument/2006/customXml" ds:itemID="{E3363EDE-E8D3-4AA2-A993-0D071F0690C1}"/>
</file>

<file path=customXml/itemProps4.xml><?xml version="1.0" encoding="utf-8"?>
<ds:datastoreItem xmlns:ds="http://schemas.openxmlformats.org/officeDocument/2006/customXml" ds:itemID="{2388F890-CFA7-40FD-8483-D6B905E3E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2012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