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T:\SReid\REC\"/>
    </mc:Choice>
  </mc:AlternateContent>
  <xr:revisionPtr revIDLastSave="0" documentId="13_ncr:1_{76537C06-B4F0-49C8-B8B5-BE8C0E81B5BD}" xr6:coauthVersionLast="46" xr6:coauthVersionMax="46" xr10:uidLastSave="{00000000-0000-0000-0000-000000000000}"/>
  <bookViews>
    <workbookView xWindow="-120" yWindow="-120" windowWidth="29040" windowHeight="15840" firstSheet="6" activeTab="10" xr2:uid="{00000000-000D-0000-FFFF-FFFF00000000}"/>
  </bookViews>
  <sheets>
    <sheet name="KF2015" sheetId="5" r:id="rId1"/>
    <sheet name="PW2015" sheetId="6" r:id="rId2"/>
    <sheet name="KF2016" sheetId="1" r:id="rId3"/>
    <sheet name="PW2016" sheetId="3" r:id="rId4"/>
    <sheet name="KF2017" sheetId="2" r:id="rId5"/>
    <sheet name="PW2017" sheetId="4" r:id="rId6"/>
    <sheet name="KF2018" sheetId="7" r:id="rId7"/>
    <sheet name="PW2018" sheetId="8" r:id="rId8"/>
    <sheet name="KF2019" sheetId="11" r:id="rId9"/>
    <sheet name="PW2019" sheetId="12" r:id="rId10"/>
    <sheet name="KF2020" sheetId="13" r:id="rId11"/>
    <sheet name="PW2020" sheetId="14" r:id="rId12"/>
    <sheet name="RF2020" sheetId="20" r:id="rId13"/>
    <sheet name="KF2021" sheetId="16" r:id="rId14"/>
    <sheet name="PW2021" sheetId="17" r:id="rId15"/>
    <sheet name="RF2021" sheetId="21" r:id="rId16"/>
    <sheet name="KF2022" sheetId="18" r:id="rId17"/>
    <sheet name="PW2022" sheetId="19" r:id="rId18"/>
    <sheet name="RF2022" sheetId="22" r:id="rId19"/>
    <sheet name="Sheet1" sheetId="15" r:id="rId20"/>
  </sheets>
  <definedNames>
    <definedName name="_xlnm._FilterDatabase" localSheetId="0" hidden="1">'KF2015'!$F$4:$M$40</definedName>
    <definedName name="_xlnm._FilterDatabase" localSheetId="1" hidden="1">'PW2015'!$H$4:$O$29</definedName>
    <definedName name="_xlnm.Print_Area" localSheetId="0">'KF2015'!$A$1:$S$36</definedName>
    <definedName name="_xlnm.Print_Area" localSheetId="2">'KF2016'!$A$1:$AF$37</definedName>
    <definedName name="_xlnm.Print_Area" localSheetId="4">'KF2017'!$A$1:$Z$35</definedName>
    <definedName name="_xlnm.Print_Area" localSheetId="6">'KF2018'!$A$1:$Z$35</definedName>
    <definedName name="_xlnm.Print_Area" localSheetId="8">'KF2019'!$A$1:$Z$33</definedName>
    <definedName name="_xlnm.Print_Area" localSheetId="10">'KF2020'!$A$1:$Z$35</definedName>
    <definedName name="_xlnm.Print_Area" localSheetId="13">'KF2021'!$A$1:$Z$35</definedName>
    <definedName name="_xlnm.Print_Area" localSheetId="16">'KF2022'!$A$1:$Z$35</definedName>
    <definedName name="_xlnm.Print_Area" localSheetId="1">'PW2015'!$A$1:$U$35</definedName>
    <definedName name="_xlnm.Print_Area" localSheetId="3">'PW2016'!$A$1:$U$35</definedName>
    <definedName name="_xlnm.Print_Area" localSheetId="5">'PW2017'!$A$1:$AB$36</definedName>
    <definedName name="_xlnm.Print_Area" localSheetId="7">'PW2018'!$A$1:$AB$33</definedName>
    <definedName name="_xlnm.Print_Area" localSheetId="9">'PW2019'!$A$1:$AB$33</definedName>
    <definedName name="_xlnm.Print_Area" localSheetId="11">'PW2020'!$A$1:$AB$35</definedName>
    <definedName name="_xlnm.Print_Area" localSheetId="14">'PW2021'!$A$1:$AB$35</definedName>
    <definedName name="_xlnm.Print_Area" localSheetId="17">'PW2022'!$A$1:$AB$35</definedName>
    <definedName name="_xlnm.Print_Area" localSheetId="12">'RF2020'!$A$1:$AB$35</definedName>
    <definedName name="_xlnm.Print_Area" localSheetId="15">'RF2021'!$A$1:$AB$35</definedName>
    <definedName name="_xlnm.Print_Area" localSheetId="18">'RF2022'!$A$1:$AB$35</definedName>
    <definedName name="_xlnm.Print_Area" localSheetId="19">Sheet1!$B$2:$I$21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5" l="1"/>
  <c r="H33" i="15"/>
  <c r="H32" i="15"/>
  <c r="F34" i="15"/>
  <c r="F33" i="15"/>
  <c r="F32" i="15"/>
  <c r="E34" i="15"/>
  <c r="D34" i="15"/>
  <c r="E33" i="15"/>
  <c r="D33" i="15"/>
  <c r="E32" i="15"/>
  <c r="D32" i="15"/>
  <c r="H18" i="15"/>
  <c r="C34" i="15"/>
  <c r="C33" i="15"/>
  <c r="C32" i="15"/>
  <c r="AB6" i="22"/>
  <c r="AB7" i="22"/>
  <c r="AB8" i="22"/>
  <c r="AB9" i="22"/>
  <c r="AB10" i="22"/>
  <c r="AB11" i="22"/>
  <c r="AB12" i="22"/>
  <c r="AB13" i="22"/>
  <c r="AB14" i="22"/>
  <c r="AB15" i="22"/>
  <c r="AB16" i="22"/>
  <c r="D35" i="22"/>
  <c r="AH29" i="22"/>
  <c r="D36" i="22" s="1"/>
  <c r="U29" i="22"/>
  <c r="K29" i="22"/>
  <c r="D34" i="22" s="1"/>
  <c r="E29" i="22"/>
  <c r="D33" i="22" s="1"/>
  <c r="P6" i="22"/>
  <c r="P5" i="22"/>
  <c r="P29" i="22" s="1"/>
  <c r="P7" i="21"/>
  <c r="P8" i="21"/>
  <c r="P9" i="21"/>
  <c r="P10" i="21"/>
  <c r="L10" i="21"/>
  <c r="L9" i="21"/>
  <c r="D36" i="21"/>
  <c r="D35" i="21"/>
  <c r="AH29" i="21"/>
  <c r="AB29" i="21"/>
  <c r="U29" i="21"/>
  <c r="K29" i="21"/>
  <c r="D34" i="21" s="1"/>
  <c r="E29" i="21"/>
  <c r="D33" i="21" s="1"/>
  <c r="P6" i="21"/>
  <c r="P5" i="21"/>
  <c r="D35" i="20"/>
  <c r="AH29" i="20"/>
  <c r="D36" i="20" s="1"/>
  <c r="AB29" i="20"/>
  <c r="U29" i="20"/>
  <c r="K29" i="20"/>
  <c r="D34" i="20" s="1"/>
  <c r="E29" i="20"/>
  <c r="D33" i="20" s="1"/>
  <c r="P7" i="20"/>
  <c r="P6" i="20"/>
  <c r="P5" i="20"/>
  <c r="H25" i="15"/>
  <c r="F25" i="15"/>
  <c r="E25" i="15"/>
  <c r="D25" i="15"/>
  <c r="C25" i="15"/>
  <c r="H11" i="15"/>
  <c r="G11" i="15"/>
  <c r="F11" i="15"/>
  <c r="E11" i="15"/>
  <c r="D11" i="15"/>
  <c r="I11" i="15" s="1"/>
  <c r="C11" i="15"/>
  <c r="AB6" i="19"/>
  <c r="D39" i="2"/>
  <c r="D40" i="2" s="1"/>
  <c r="D39" i="7"/>
  <c r="D40" i="7" s="1"/>
  <c r="D39" i="13"/>
  <c r="D40" i="13" s="1"/>
  <c r="D39" i="16"/>
  <c r="D40" i="16" s="1"/>
  <c r="D40" i="18"/>
  <c r="D39" i="18"/>
  <c r="Z8" i="18"/>
  <c r="AB7" i="19"/>
  <c r="AB8" i="19"/>
  <c r="AB9" i="19"/>
  <c r="AB10" i="19"/>
  <c r="AB11" i="19"/>
  <c r="AB12" i="19"/>
  <c r="AB13" i="19"/>
  <c r="AB14" i="19"/>
  <c r="AB15" i="19"/>
  <c r="AB16" i="19"/>
  <c r="Z9" i="18"/>
  <c r="Z10" i="18"/>
  <c r="Z11" i="18"/>
  <c r="Z12" i="18"/>
  <c r="Z13" i="18"/>
  <c r="Z14" i="18"/>
  <c r="Z15" i="18"/>
  <c r="Z16" i="18"/>
  <c r="Z17" i="18"/>
  <c r="Z18" i="18"/>
  <c r="I34" i="15" l="1"/>
  <c r="I33" i="15"/>
  <c r="I32" i="15"/>
  <c r="I25" i="15"/>
  <c r="AB29" i="22"/>
  <c r="D37" i="22"/>
  <c r="F34" i="22"/>
  <c r="L29" i="22"/>
  <c r="E34" i="22" s="1"/>
  <c r="P29" i="21"/>
  <c r="F34" i="21" s="1"/>
  <c r="D37" i="21"/>
  <c r="D38" i="21" s="1"/>
  <c r="L29" i="21"/>
  <c r="E34" i="21" s="1"/>
  <c r="P29" i="20"/>
  <c r="D37" i="20"/>
  <c r="D38" i="20" s="1"/>
  <c r="F34" i="20"/>
  <c r="L29" i="20"/>
  <c r="E34" i="20" s="1"/>
  <c r="D38" i="22" l="1"/>
  <c r="D35" i="19"/>
  <c r="AH29" i="19"/>
  <c r="D36" i="19" s="1"/>
  <c r="AB29" i="19"/>
  <c r="U29" i="19"/>
  <c r="K29" i="19"/>
  <c r="D34" i="19" s="1"/>
  <c r="E29" i="19"/>
  <c r="D33" i="19" s="1"/>
  <c r="P6" i="19"/>
  <c r="P5" i="19"/>
  <c r="P29" i="19" s="1"/>
  <c r="D37" i="18"/>
  <c r="AL29" i="18"/>
  <c r="AF29" i="18"/>
  <c r="D36" i="18" s="1"/>
  <c r="Z29" i="18"/>
  <c r="S29" i="18"/>
  <c r="D35" i="18" s="1"/>
  <c r="I29" i="18"/>
  <c r="D34" i="18" s="1"/>
  <c r="D29" i="18"/>
  <c r="D33" i="18" s="1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P6" i="17"/>
  <c r="P5" i="17"/>
  <c r="J21" i="16"/>
  <c r="N21" i="16" s="1"/>
  <c r="J20" i="16"/>
  <c r="N20" i="16" s="1"/>
  <c r="N18" i="16"/>
  <c r="J17" i="16"/>
  <c r="N17" i="16" s="1"/>
  <c r="J16" i="16"/>
  <c r="N16" i="16" s="1"/>
  <c r="J15" i="16"/>
  <c r="N15" i="16"/>
  <c r="J14" i="16"/>
  <c r="N14" i="16" s="1"/>
  <c r="J13" i="16"/>
  <c r="N13" i="16" s="1"/>
  <c r="N11" i="16"/>
  <c r="N22" i="16"/>
  <c r="N6" i="16"/>
  <c r="N7" i="16"/>
  <c r="N12" i="16"/>
  <c r="N8" i="16"/>
  <c r="N9" i="16"/>
  <c r="N10" i="16"/>
  <c r="N19" i="16"/>
  <c r="P6" i="14"/>
  <c r="P7" i="14"/>
  <c r="P5" i="14"/>
  <c r="D39" i="12"/>
  <c r="E42" i="11"/>
  <c r="D42" i="11"/>
  <c r="D41" i="1"/>
  <c r="D40" i="3"/>
  <c r="D40" i="4"/>
  <c r="E40" i="4"/>
  <c r="D44" i="2"/>
  <c r="D39" i="8"/>
  <c r="E39" i="8"/>
  <c r="F39" i="8"/>
  <c r="D44" i="7"/>
  <c r="E44" i="7"/>
  <c r="D37" i="19" l="1"/>
  <c r="D38" i="19" s="1"/>
  <c r="D41" i="18"/>
  <c r="N29" i="18"/>
  <c r="J29" i="18" s="1"/>
  <c r="E34" i="18" s="1"/>
  <c r="F34" i="18" s="1"/>
  <c r="F34" i="19"/>
  <c r="L29" i="19"/>
  <c r="E34" i="19" s="1"/>
  <c r="D41" i="12"/>
  <c r="G39" i="8"/>
  <c r="F41" i="8" l="1"/>
  <c r="N5" i="16" l="1"/>
  <c r="N15" i="13"/>
  <c r="N14" i="13"/>
  <c r="N29" i="16" l="1"/>
  <c r="J13" i="13"/>
  <c r="N13" i="13" s="1"/>
  <c r="J12" i="13"/>
  <c r="J11" i="13"/>
  <c r="N11" i="13" s="1"/>
  <c r="J10" i="13"/>
  <c r="N10" i="13" s="1"/>
  <c r="J9" i="13"/>
  <c r="N9" i="13" s="1"/>
  <c r="J7" i="13"/>
  <c r="N6" i="13"/>
  <c r="N7" i="13"/>
  <c r="N8" i="13"/>
  <c r="N12" i="13"/>
  <c r="N5" i="13"/>
  <c r="AH29" i="17" l="1"/>
  <c r="D36" i="17" s="1"/>
  <c r="F24" i="15" s="1"/>
  <c r="U29" i="17"/>
  <c r="D35" i="17" s="1"/>
  <c r="E24" i="15" s="1"/>
  <c r="P29" i="17"/>
  <c r="K29" i="17"/>
  <c r="D34" i="17" s="1"/>
  <c r="D24" i="15" s="1"/>
  <c r="E29" i="17"/>
  <c r="D33" i="17" s="1"/>
  <c r="C24" i="15" s="1"/>
  <c r="L7" i="12"/>
  <c r="L6" i="12"/>
  <c r="L5" i="12"/>
  <c r="F40" i="4"/>
  <c r="E41" i="8"/>
  <c r="D41" i="8"/>
  <c r="L29" i="17" l="1"/>
  <c r="E34" i="17" s="1"/>
  <c r="F34" i="17"/>
  <c r="AB29" i="17"/>
  <c r="H24" i="15" s="1"/>
  <c r="I24" i="15" s="1"/>
  <c r="D37" i="17"/>
  <c r="AL29" i="16"/>
  <c r="D37" i="16" s="1"/>
  <c r="G10" i="15" s="1"/>
  <c r="AF29" i="16"/>
  <c r="D36" i="16" s="1"/>
  <c r="F10" i="15" s="1"/>
  <c r="S29" i="16"/>
  <c r="D35" i="16" s="1"/>
  <c r="E10" i="15" s="1"/>
  <c r="I29" i="16"/>
  <c r="J29" i="16" s="1"/>
  <c r="E34" i="16" s="1"/>
  <c r="D29" i="16"/>
  <c r="D33" i="16" s="1"/>
  <c r="C10" i="15" s="1"/>
  <c r="AL29" i="13"/>
  <c r="D37" i="13" s="1"/>
  <c r="G9" i="15" s="1"/>
  <c r="AL27" i="11"/>
  <c r="D35" i="11" s="1"/>
  <c r="G8" i="15" s="1"/>
  <c r="J6" i="11"/>
  <c r="J7" i="11"/>
  <c r="J8" i="11"/>
  <c r="J9" i="11"/>
  <c r="J10" i="11"/>
  <c r="D38" i="17" l="1"/>
  <c r="Z29" i="16"/>
  <c r="H10" i="15" s="1"/>
  <c r="D34" i="16"/>
  <c r="F34" i="16" l="1"/>
  <c r="D10" i="15"/>
  <c r="I10" i="15" s="1"/>
  <c r="D41" i="16"/>
  <c r="AB29" i="3" l="1"/>
  <c r="H19" i="15" s="1"/>
  <c r="E18" i="15"/>
  <c r="AL29" i="7" l="1"/>
  <c r="D37" i="7" s="1"/>
  <c r="Z29" i="1"/>
  <c r="D36" i="1" s="1"/>
  <c r="E4" i="15"/>
  <c r="G5" i="15" l="1"/>
  <c r="G7" i="15"/>
  <c r="E42" i="4"/>
  <c r="AL29" i="2" l="1"/>
  <c r="D37" i="2" s="1"/>
  <c r="L37" i="2" l="1"/>
  <c r="G6" i="15"/>
  <c r="AH29" i="14"/>
  <c r="D36" i="14" s="1"/>
  <c r="F23" i="15" s="1"/>
  <c r="U29" i="14"/>
  <c r="D35" i="14" s="1"/>
  <c r="E23" i="15" s="1"/>
  <c r="P29" i="14"/>
  <c r="F34" i="14" s="1"/>
  <c r="K29" i="14"/>
  <c r="E29" i="14"/>
  <c r="D33" i="14" s="1"/>
  <c r="C23" i="15" s="1"/>
  <c r="AF29" i="13"/>
  <c r="D36" i="13" s="1"/>
  <c r="F9" i="15" s="1"/>
  <c r="S29" i="13"/>
  <c r="D35" i="13" s="1"/>
  <c r="E9" i="15" s="1"/>
  <c r="I29" i="13"/>
  <c r="D34" i="13" s="1"/>
  <c r="D9" i="15" s="1"/>
  <c r="D29" i="13"/>
  <c r="D33" i="13" s="1"/>
  <c r="C9" i="15" s="1"/>
  <c r="L29" i="14" l="1"/>
  <c r="E34" i="14" s="1"/>
  <c r="D34" i="14"/>
  <c r="AB29" i="14"/>
  <c r="H23" i="15" s="1"/>
  <c r="Z29" i="13"/>
  <c r="H9" i="15" s="1"/>
  <c r="I9" i="15" s="1"/>
  <c r="AH27" i="12"/>
  <c r="D34" i="12" s="1"/>
  <c r="F22" i="15" s="1"/>
  <c r="U27" i="12"/>
  <c r="D33" i="12" s="1"/>
  <c r="E22" i="15" s="1"/>
  <c r="P27" i="12"/>
  <c r="F32" i="12" s="1"/>
  <c r="K27" i="12"/>
  <c r="D32" i="12" s="1"/>
  <c r="D22" i="15" s="1"/>
  <c r="E27" i="12"/>
  <c r="D31" i="12" s="1"/>
  <c r="C22" i="15" s="1"/>
  <c r="L6" i="8"/>
  <c r="L7" i="8"/>
  <c r="L8" i="8"/>
  <c r="L9" i="8"/>
  <c r="L10" i="8"/>
  <c r="L11" i="8"/>
  <c r="L12" i="8"/>
  <c r="L5" i="8"/>
  <c r="P27" i="8"/>
  <c r="D37" i="14" l="1"/>
  <c r="D38" i="14" s="1"/>
  <c r="D23" i="15"/>
  <c r="I23" i="15" s="1"/>
  <c r="D35" i="12"/>
  <c r="F32" i="8"/>
  <c r="D41" i="13"/>
  <c r="AB27" i="12"/>
  <c r="H22" i="15" s="1"/>
  <c r="I22" i="15" s="1"/>
  <c r="L27" i="12"/>
  <c r="E32" i="12" s="1"/>
  <c r="J5" i="11"/>
  <c r="AF27" i="11"/>
  <c r="D34" i="11" s="1"/>
  <c r="F8" i="15" s="1"/>
  <c r="S27" i="11"/>
  <c r="D33" i="11" s="1"/>
  <c r="E8" i="15" s="1"/>
  <c r="N27" i="11"/>
  <c r="I27" i="11"/>
  <c r="D27" i="11"/>
  <c r="D31" i="11" s="1"/>
  <c r="N29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5" i="7"/>
  <c r="C8" i="15" l="1"/>
  <c r="D36" i="12"/>
  <c r="K35" i="11"/>
  <c r="Z27" i="11"/>
  <c r="H8" i="15" s="1"/>
  <c r="J27" i="11"/>
  <c r="E32" i="11" s="1"/>
  <c r="D32" i="11"/>
  <c r="D37" i="11" s="1"/>
  <c r="D38" i="11" s="1"/>
  <c r="AH27" i="8"/>
  <c r="D34" i="8" s="1"/>
  <c r="F21" i="15" s="1"/>
  <c r="AH29" i="4"/>
  <c r="D36" i="4" s="1"/>
  <c r="F20" i="15" s="1"/>
  <c r="AF29" i="7"/>
  <c r="D36" i="7" s="1"/>
  <c r="F7" i="15" s="1"/>
  <c r="AF29" i="2"/>
  <c r="D36" i="2" s="1"/>
  <c r="D8" i="15" l="1"/>
  <c r="I8" i="15" s="1"/>
  <c r="D39" i="11"/>
  <c r="L35" i="2"/>
  <c r="F6" i="15"/>
  <c r="K31" i="11"/>
  <c r="M32" i="11" s="1"/>
  <c r="F32" i="11"/>
  <c r="S29" i="7"/>
  <c r="D35" i="7" s="1"/>
  <c r="S29" i="2"/>
  <c r="D35" i="2" s="1"/>
  <c r="E6" i="15" s="1"/>
  <c r="S29" i="1"/>
  <c r="D35" i="1" s="1"/>
  <c r="D42" i="3"/>
  <c r="U27" i="8"/>
  <c r="D33" i="8" s="1"/>
  <c r="E21" i="15" s="1"/>
  <c r="E5" i="15" l="1"/>
  <c r="J36" i="1"/>
  <c r="E7" i="15"/>
  <c r="U29" i="4"/>
  <c r="D35" i="4" s="1"/>
  <c r="E20" i="15" s="1"/>
  <c r="D42" i="4" l="1"/>
  <c r="L13" i="4"/>
  <c r="L12" i="4"/>
  <c r="L11" i="4"/>
  <c r="L10" i="4"/>
  <c r="L9" i="4"/>
  <c r="L8" i="4"/>
  <c r="L7" i="4"/>
  <c r="L6" i="4"/>
  <c r="J18" i="2" l="1"/>
  <c r="J17" i="2"/>
  <c r="J16" i="2"/>
  <c r="J14" i="2"/>
  <c r="J12" i="2"/>
  <c r="J10" i="2"/>
  <c r="J9" i="2"/>
  <c r="J8" i="2"/>
  <c r="J6" i="2"/>
  <c r="E27" i="8"/>
  <c r="D31" i="8" s="1"/>
  <c r="K27" i="8"/>
  <c r="L27" i="8" s="1"/>
  <c r="I29" i="7"/>
  <c r="D29" i="7"/>
  <c r="D33" i="7" s="1"/>
  <c r="C21" i="15" l="1"/>
  <c r="D34" i="7"/>
  <c r="D7" i="15" s="1"/>
  <c r="J29" i="7"/>
  <c r="C7" i="15"/>
  <c r="AB27" i="8"/>
  <c r="H21" i="15" s="1"/>
  <c r="Z29" i="7"/>
  <c r="H7" i="15" s="1"/>
  <c r="D32" i="8"/>
  <c r="D21" i="15" s="1"/>
  <c r="E32" i="8"/>
  <c r="K32" i="6"/>
  <c r="U29" i="6"/>
  <c r="E29" i="6"/>
  <c r="D33" i="6" s="1"/>
  <c r="I48" i="5"/>
  <c r="D55" i="5" s="1"/>
  <c r="D4" i="15" s="1"/>
  <c r="S29" i="5"/>
  <c r="D29" i="5"/>
  <c r="D54" i="5" s="1"/>
  <c r="L5" i="4"/>
  <c r="L27" i="3"/>
  <c r="L26" i="3"/>
  <c r="L25" i="3"/>
  <c r="L23" i="3"/>
  <c r="E29" i="4"/>
  <c r="D33" i="4" s="1"/>
  <c r="C20" i="15" s="1"/>
  <c r="E29" i="3"/>
  <c r="D33" i="3" s="1"/>
  <c r="U29" i="3"/>
  <c r="D35" i="3" s="1"/>
  <c r="E19" i="15" s="1"/>
  <c r="K29" i="3"/>
  <c r="D34" i="3" s="1"/>
  <c r="D19" i="15" s="1"/>
  <c r="I29" i="2"/>
  <c r="D34" i="2" s="1"/>
  <c r="D6" i="15" s="1"/>
  <c r="D29" i="2"/>
  <c r="D33" i="2" s="1"/>
  <c r="AF29" i="1"/>
  <c r="H5" i="15" s="1"/>
  <c r="I29" i="1"/>
  <c r="D34" i="1" s="1"/>
  <c r="D5" i="15" s="1"/>
  <c r="D29" i="1"/>
  <c r="D33" i="1" s="1"/>
  <c r="I21" i="15" l="1"/>
  <c r="D37" i="1"/>
  <c r="C5" i="15"/>
  <c r="I5" i="15" s="1"/>
  <c r="C19" i="15"/>
  <c r="I19" i="15" s="1"/>
  <c r="D36" i="3"/>
  <c r="J48" i="5"/>
  <c r="J29" i="1"/>
  <c r="E34" i="1" s="1"/>
  <c r="F34" i="1" s="1"/>
  <c r="C4" i="15"/>
  <c r="I4" i="15" s="1"/>
  <c r="D57" i="5"/>
  <c r="C18" i="15"/>
  <c r="D41" i="7"/>
  <c r="K37" i="7"/>
  <c r="L34" i="2"/>
  <c r="L36" i="2" s="1"/>
  <c r="C6" i="15"/>
  <c r="L29" i="3"/>
  <c r="E34" i="3" s="1"/>
  <c r="F34" i="3" s="1"/>
  <c r="H4" i="15"/>
  <c r="K33" i="7"/>
  <c r="M34" i="7" s="1"/>
  <c r="D35" i="8"/>
  <c r="D36" i="8" s="1"/>
  <c r="I7" i="15"/>
  <c r="D38" i="1"/>
  <c r="K29" i="4"/>
  <c r="D34" i="4" s="1"/>
  <c r="D20" i="15" s="1"/>
  <c r="L32" i="6"/>
  <c r="E34" i="6" s="1"/>
  <c r="D34" i="6"/>
  <c r="D18" i="15" s="1"/>
  <c r="D58" i="5"/>
  <c r="E55" i="5"/>
  <c r="F55" i="5" s="1"/>
  <c r="L29" i="4"/>
  <c r="E34" i="4" s="1"/>
  <c r="J29" i="2"/>
  <c r="E34" i="2" s="1"/>
  <c r="F34" i="2" s="1"/>
  <c r="Z29" i="2"/>
  <c r="AB29" i="4"/>
  <c r="H20" i="15" s="1"/>
  <c r="I20" i="15" s="1"/>
  <c r="D36" i="6" l="1"/>
  <c r="D41" i="2"/>
  <c r="H6" i="15"/>
  <c r="I6" i="15" s="1"/>
  <c r="L38" i="2"/>
  <c r="M37" i="2"/>
  <c r="I18" i="15"/>
  <c r="F34" i="4"/>
  <c r="D37" i="4"/>
  <c r="F34" i="6"/>
  <c r="D37" i="6"/>
  <c r="E34" i="7" l="1"/>
  <c r="F34" i="7" s="1"/>
  <c r="N29" i="13" l="1"/>
  <c r="J29" i="13" l="1"/>
  <c r="E34" i="13" s="1"/>
  <c r="F34" i="13" s="1"/>
</calcChain>
</file>

<file path=xl/sharedStrings.xml><?xml version="1.0" encoding="utf-8"?>
<sst xmlns="http://schemas.openxmlformats.org/spreadsheetml/2006/main" count="2867" uniqueCount="654">
  <si>
    <t>W130</t>
  </si>
  <si>
    <t>W797</t>
  </si>
  <si>
    <t>Kettle Falls Woodwaste Plant - Kettle Falls Woodwaste Plant</t>
  </si>
  <si>
    <t>Kettle Falls Woodwaste Plant - Kettle Falls 2</t>
  </si>
  <si>
    <t>WREGIS GU ID</t>
  </si>
  <si>
    <t>Generator Plant-Unit Name</t>
  </si>
  <si>
    <t>GenPeriodEnd</t>
  </si>
  <si>
    <t>PostedGen</t>
  </si>
  <si>
    <t>GENERATION</t>
  </si>
  <si>
    <t>SALES</t>
  </si>
  <si>
    <t>130-WA-189264-1 to 29254</t>
  </si>
  <si>
    <t>Direct Energy Business, LLC</t>
  </si>
  <si>
    <t>797-WA-189617-2626 to 4103</t>
  </si>
  <si>
    <t>City of Pasadena</t>
  </si>
  <si>
    <t>797-WA-189617-1 to 2625</t>
  </si>
  <si>
    <t>130-WA-192499-1 to 25858</t>
  </si>
  <si>
    <t>797-WA-192816-1 to 2185</t>
  </si>
  <si>
    <t>130-WA-195706-17743 to 17885</t>
  </si>
  <si>
    <t>Morgan Stanley Capital Group Inc.</t>
  </si>
  <si>
    <t>130-WA-195706-1 to 17742</t>
  </si>
  <si>
    <t>130-WA-198990-1 to 120</t>
  </si>
  <si>
    <t>130-WA-198990-121 to 21483</t>
  </si>
  <si>
    <t>130-WA-202270-1 to 1810</t>
  </si>
  <si>
    <t>130-WA-205958-1 to 20282</t>
  </si>
  <si>
    <t>130-WA-209686-1 to 30282</t>
  </si>
  <si>
    <t>797-WA-209974-1 to 2323</t>
  </si>
  <si>
    <t>130-WA-213015-1 to 30695</t>
  </si>
  <si>
    <t>797-WA-213292-1 to 3816</t>
  </si>
  <si>
    <t>130-WA-216420-1 to 27162</t>
  </si>
  <si>
    <t>797-WA-216692-1 to 1947</t>
  </si>
  <si>
    <t>130-WA-219882-1 to 24477</t>
  </si>
  <si>
    <t>130-WA-223494-1 to 20488</t>
  </si>
  <si>
    <t>130-WA-228798-1 to 30266</t>
  </si>
  <si>
    <t>797-WA-227469-1 to 607</t>
  </si>
  <si>
    <t>Year</t>
  </si>
  <si>
    <t>Month</t>
  </si>
  <si>
    <t>Quantity</t>
  </si>
  <si>
    <t>Certificate Serial Numbers</t>
  </si>
  <si>
    <t>Date of Transfer</t>
  </si>
  <si>
    <t>Transferee</t>
  </si>
  <si>
    <t>Generation</t>
  </si>
  <si>
    <t>Sales</t>
  </si>
  <si>
    <t>Inventory</t>
  </si>
  <si>
    <t>INVENTORY</t>
  </si>
  <si>
    <t>Vintage Month</t>
  </si>
  <si>
    <t>Vintage Year</t>
  </si>
  <si>
    <t>797-WA-199292-1 to 3336</t>
  </si>
  <si>
    <t>797-WA-213292-3817 to 4359</t>
  </si>
  <si>
    <t>797-WA-216692-1948 to 3857</t>
  </si>
  <si>
    <t>797-WA-220145-1 to 4027</t>
  </si>
  <si>
    <t>797-WA-195998-1 to 2965</t>
  </si>
  <si>
    <t>797-WA-227469-608 to 4298</t>
  </si>
  <si>
    <t>797-WA-189617-4104 to 4154</t>
  </si>
  <si>
    <t>797-WA-192816-2186 to 3672</t>
  </si>
  <si>
    <t>797-WA-202581-1 to 544</t>
  </si>
  <si>
    <t>797-WA-206264-1 to 3184</t>
  </si>
  <si>
    <t>797-WA-209974-2324 to 4301</t>
  </si>
  <si>
    <t>130-WA-198990-21484 to 23489</t>
  </si>
  <si>
    <t>130-WA-202270-1811 to 3829</t>
  </si>
  <si>
    <t>130-WA-205958-20283 to 22426</t>
  </si>
  <si>
    <t>130-WA-195706-17886 to 20878</t>
  </si>
  <si>
    <t>130-WA-219882-24478 to 28359</t>
  </si>
  <si>
    <t>130-WA-223494-20489 to 26139</t>
  </si>
  <si>
    <t>130-WA-232838-1 to 29489</t>
  </si>
  <si>
    <t>797-WA-231091-1 to 1382</t>
  </si>
  <si>
    <t>797-WA-231091-1383 to 4188</t>
  </si>
  <si>
    <t>W2906</t>
  </si>
  <si>
    <t>Palouse Wind, LLC - Palouse Wind</t>
  </si>
  <si>
    <t>2906-WA-189252-1 to 34639</t>
  </si>
  <si>
    <t>2906-WA-192490-1 to 32563</t>
  </si>
  <si>
    <t>2906-WA-195699-1 to 40449</t>
  </si>
  <si>
    <t>2906-WA-198982-1 to 18312</t>
  </si>
  <si>
    <t>2906-WA-202263-1 to 29007</t>
  </si>
  <si>
    <t>2906-WA-205951-1 to 24403</t>
  </si>
  <si>
    <t>2906-WA-209678-1 to 21349</t>
  </si>
  <si>
    <t>2906-WA-213008-1 to 21349</t>
  </si>
  <si>
    <t>2906-WA-216413-1 to 23585</t>
  </si>
  <si>
    <t>2906-WA-219875-1 to 33018</t>
  </si>
  <si>
    <t>2906-WA-223487-1 to 38492</t>
  </si>
  <si>
    <t>2906-WA-229813-1 to 32605</t>
  </si>
  <si>
    <t>GENERATION (from PPA)</t>
  </si>
  <si>
    <t>2906-WA-189252-13544 to 34639</t>
  </si>
  <si>
    <t>2906-WA-189252-13495 to 13543</t>
  </si>
  <si>
    <t>2906-WA-189252-1 to 13494</t>
  </si>
  <si>
    <t>2906-WA-192490-12773 to 12852</t>
  </si>
  <si>
    <t>2906-WA-192490-12853 to 32563</t>
  </si>
  <si>
    <t>2906-WA-192490-12393 to 12772</t>
  </si>
  <si>
    <t>2906-WA-192490-1 to 12392</t>
  </si>
  <si>
    <t>2906-WA-195699-19378 to 19672</t>
  </si>
  <si>
    <t>2906-WA-195699-19210 to 19377</t>
  </si>
  <si>
    <t>2906-WA-195699-19673 to 29672</t>
  </si>
  <si>
    <t>2906-WA-195699-1 to 19209</t>
  </si>
  <si>
    <t>2906-WA-198982-1 to 286</t>
  </si>
  <si>
    <t>2906-WA-198982-287 to 3660</t>
  </si>
  <si>
    <t>2906-WA-202263-1 to 13547</t>
  </si>
  <si>
    <t>2906-WA-205951-1 to 9320</t>
  </si>
  <si>
    <t>2906-WA-209678-1 to 9942</t>
  </si>
  <si>
    <t>2906-WA-213008-1 to 7876</t>
  </si>
  <si>
    <t>2906-WA-216413-1 to 9191</t>
  </si>
  <si>
    <t>2906-WA-219875-81 to 33018</t>
  </si>
  <si>
    <t>2906-WA-219875-1 to 80</t>
  </si>
  <si>
    <t>2906-WA-229813-32055 to 32148</t>
  </si>
  <si>
    <t>2906-WA-229813-1 to 32054</t>
  </si>
  <si>
    <t>PacifiCorp</t>
  </si>
  <si>
    <t>Renewable Choice Energy</t>
  </si>
  <si>
    <t>Shell Energy North Americ</t>
  </si>
  <si>
    <t>2906-WA-205951-9321 to 24403</t>
  </si>
  <si>
    <t>2906-WA-209678-9943 to 21349</t>
  </si>
  <si>
    <t>2906-WA-195699-29673 to 40449</t>
  </si>
  <si>
    <t>2906-WA-198982-3661 to 18312</t>
  </si>
  <si>
    <t>2906-WA-202263-13548 to 29007</t>
  </si>
  <si>
    <t>2906-WA-216413-9192 to 23585</t>
  </si>
  <si>
    <t>2906-WA-213008-7877 to 11928</t>
  </si>
  <si>
    <t>2906-WA-213008-11929 to 21349</t>
  </si>
  <si>
    <t>2906-WA-229813-32149 to 32605</t>
  </si>
  <si>
    <t>2906-WA-233525-1 to 25652</t>
  </si>
  <si>
    <t>2906-WA-233525-1 to 1017</t>
  </si>
  <si>
    <t>2906-WA-233525-1018 to 25652</t>
  </si>
  <si>
    <t>Price</t>
  </si>
  <si>
    <t>130-WA-150102-25925 to 29122</t>
  </si>
  <si>
    <t>130-WA-150102-1 to 25924</t>
  </si>
  <si>
    <t>797-WA-150552-1 to 4136</t>
  </si>
  <si>
    <t>130-WA-153169-9345 to 19454</t>
  </si>
  <si>
    <t>130-WA-153169-1 to 9344</t>
  </si>
  <si>
    <t>797-WA-153643-1 to 2763</t>
  </si>
  <si>
    <t>130-WA-156401-12603 to 25199</t>
  </si>
  <si>
    <t>130-WA-156401-1 to 12602</t>
  </si>
  <si>
    <t>797-WA-156878-1 to 3578</t>
  </si>
  <si>
    <t>130-WA-159407-21904 to 25995</t>
  </si>
  <si>
    <t>130-WA-159407-1 to 21903</t>
  </si>
  <si>
    <t>797-WA-159874-1 to 3692</t>
  </si>
  <si>
    <t>130-WA-162525-18602 to 19610</t>
  </si>
  <si>
    <t>130-WA-162525-1 to 18601</t>
  </si>
  <si>
    <t>797-WA-162976-1 to 2785</t>
  </si>
  <si>
    <t>130-WA-165860-1048 to 1750</t>
  </si>
  <si>
    <t>130-WA-165860-1 to 1047</t>
  </si>
  <si>
    <t>797-WA-166307-1 to 248</t>
  </si>
  <si>
    <t>130-WA-169041-1 to 24105</t>
  </si>
  <si>
    <t>797-WA-169492-348 to 3423</t>
  </si>
  <si>
    <t>797-WA-169492-1 to 347</t>
  </si>
  <si>
    <t>130-WA-172259-28341 to 28653</t>
  </si>
  <si>
    <t>130-WA-172259-1 to 28340</t>
  </si>
  <si>
    <t>797-WA-172685-1 to 4069</t>
  </si>
  <si>
    <t>130-WA-175318-1 to 22654</t>
  </si>
  <si>
    <t>797-WA-175728-2202 to 3217</t>
  </si>
  <si>
    <t>797-WA-175728-1 to 2201</t>
  </si>
  <si>
    <t>130-WA-179104-1 to 28259</t>
  </si>
  <si>
    <t>797-WA-179458-1789 to 4014</t>
  </si>
  <si>
    <t>797-WA-179458-1 to 1788</t>
  </si>
  <si>
    <t>130-WA-182273-25655 to 26354</t>
  </si>
  <si>
    <t>130-WA-182273-1 to 25654</t>
  </si>
  <si>
    <t>797-WA-182632-1 to 3742</t>
  </si>
  <si>
    <t>130-WA-185565-1 to 29190</t>
  </si>
  <si>
    <t>797-WA-185933-1100 to 4146</t>
  </si>
  <si>
    <t>797-WA-185933-1 to 1099</t>
  </si>
  <si>
    <t>Pilot Power Group, Inc.</t>
  </si>
  <si>
    <t>Renewable Power Strategies, LLC</t>
  </si>
  <si>
    <t>2906-WA-151971-1 to 21746</t>
  </si>
  <si>
    <t>2906-WA-155095-1 to 24059</t>
  </si>
  <si>
    <t>2906-WA-158127-1 to 27644</t>
  </si>
  <si>
    <t>2906-WA-161166-1 to 27879</t>
  </si>
  <si>
    <t>2906-WA-164360-1 to 19898</t>
  </si>
  <si>
    <t>2906-WA-167600-1 to 17442</t>
  </si>
  <si>
    <t>2906-WA-170775-1 to 23823</t>
  </si>
  <si>
    <t>2906-WA-173948-1 to 24034</t>
  </si>
  <si>
    <t>2906-WA-176899-1 to 16080</t>
  </si>
  <si>
    <t>2906-WA-179094-1 to 23068</t>
  </si>
  <si>
    <t>2906-WA-182262-1 to 29156</t>
  </si>
  <si>
    <t>2906-WA-185556-1 to 38734</t>
  </si>
  <si>
    <t>2906-WA-161166-10390 to 27879</t>
  </si>
  <si>
    <t>2906-WA-161166-2093 to 10389</t>
  </si>
  <si>
    <t>2906-WA-161166-1 to 2092</t>
  </si>
  <si>
    <t>2906-WA-164360-399 to 19898</t>
  </si>
  <si>
    <t>2906-WA-164360-1 to 398</t>
  </si>
  <si>
    <t>2906-WA-167600-6015 to 17442</t>
  </si>
  <si>
    <t>2906-WA-167600-1 to 6014</t>
  </si>
  <si>
    <t>2906-WA-170775-8018 to 23823</t>
  </si>
  <si>
    <t>2906-WA-170775-1 to 8017</t>
  </si>
  <si>
    <t>2906-WA-173948-7253 to 24034</t>
  </si>
  <si>
    <t>2906-WA-173948-1 to 7252</t>
  </si>
  <si>
    <t>2906-WA-176899-4172 to 16080</t>
  </si>
  <si>
    <t>2906-WA-176899-1 to 4171</t>
  </si>
  <si>
    <t>2906-WA-179094-22293 to 23068</t>
  </si>
  <si>
    <t>2906-WA-179094-8790 to 22292</t>
  </si>
  <si>
    <t>2906-WA-179094-1 to 8789</t>
  </si>
  <si>
    <t>2906-WA-182262-9579 to 29156</t>
  </si>
  <si>
    <t>2906-WA-182262-1 to 9578</t>
  </si>
  <si>
    <t>2906-WA-185556-1 to 1646</t>
  </si>
  <si>
    <t>2906-WA-185556-3481 to 24386</t>
  </si>
  <si>
    <t>2906-WA-185556-1647 to 3480</t>
  </si>
  <si>
    <t>2906-WA-185556-24387 to 38734</t>
  </si>
  <si>
    <t>3Degrees Group Inc</t>
  </si>
  <si>
    <t>130-WA-236626-1 to 24516</t>
  </si>
  <si>
    <t>797-WA-234777-1 to 1841</t>
  </si>
  <si>
    <t>130-WA-240486-1 to 9664</t>
  </si>
  <si>
    <t>130-WA-244351-1 to 3722</t>
  </si>
  <si>
    <t>797-WA-242477-1 to 1591</t>
  </si>
  <si>
    <t>130-WA-252149-1 to 1306</t>
  </si>
  <si>
    <t>797-WA-250097-1 to 658</t>
  </si>
  <si>
    <t>130-WA-256267-1 to 18892</t>
  </si>
  <si>
    <t>130-WA-260339-1 to 25194</t>
  </si>
  <si>
    <t>797-WA-258332-1 to 1228</t>
  </si>
  <si>
    <t>130-WA-264162-1 to 26189</t>
  </si>
  <si>
    <t>130-WA-268134-1 to 14893</t>
  </si>
  <si>
    <t>130-WA-272216-1 to 7682</t>
  </si>
  <si>
    <t>130-WA-276307-1 to 800</t>
  </si>
  <si>
    <t>797-WA-262222-1 to 4132</t>
  </si>
  <si>
    <t>797-WA-266041-1 to 3352</t>
  </si>
  <si>
    <t>797-WA-270068-1 to 4177</t>
  </si>
  <si>
    <t>797-WA-273961-1 to 4329</t>
  </si>
  <si>
    <t>797-WA-238577-1 to 2770</t>
  </si>
  <si>
    <t>797-WA-234777-1842 to 3482</t>
  </si>
  <si>
    <t>797-WA-258332-1229 to 3578</t>
  </si>
  <si>
    <t>797-WA-254125-1 to 3757</t>
  </si>
  <si>
    <t>130-WA-244351-3723 to 11203</t>
  </si>
  <si>
    <t>130-WA-252149-1307 to 4633</t>
  </si>
  <si>
    <t>2906-WA-237334-1 to 29557</t>
  </si>
  <si>
    <t>2906-WA-241205-1 to 38349</t>
  </si>
  <si>
    <t>2906-WA-245113-1 to 34655</t>
  </si>
  <si>
    <t>2906-WA-248927-1 to 14800</t>
  </si>
  <si>
    <t>2906-WA-252851-1 to 21053</t>
  </si>
  <si>
    <t>2906-WA-257118-1 to 14114</t>
  </si>
  <si>
    <t>2906-WA-261049-1 to 14815</t>
  </si>
  <si>
    <t>2906-WA-265020-1 to 14965</t>
  </si>
  <si>
    <t>2906-WA-269038-1 to 33151</t>
  </si>
  <si>
    <t>2906-WA-272930-1 to 43800</t>
  </si>
  <si>
    <t>2906-WA-276987-1 to 15469</t>
  </si>
  <si>
    <t>2906-WA-237334-1 to 460</t>
  </si>
  <si>
    <t>2906-WA-241205-1 to 1158</t>
  </si>
  <si>
    <t>2906-WA-245113-1 to 3712</t>
  </si>
  <si>
    <t>2906-WA-248927-1 to 3473</t>
  </si>
  <si>
    <t>2906-WA-252851-1 to 3329</t>
  </si>
  <si>
    <t>2906-WA-257118-1 to 1258</t>
  </si>
  <si>
    <t>2906-WA-261049-1 to 4198</t>
  </si>
  <si>
    <t>2906-WA-269038-1 to 3028</t>
  </si>
  <si>
    <t>2906-WA-261049-4199 to 14815</t>
  </si>
  <si>
    <t>2906-WA-237334-461 to 29557</t>
  </si>
  <si>
    <t>2906-WA-241205-1159 to 38349</t>
  </si>
  <si>
    <t>2906-WA-248927-3474 to 14800</t>
  </si>
  <si>
    <t>2906-WA-269038-3029 to 33151</t>
  </si>
  <si>
    <t>2906-WA-252851-3330 to 21053</t>
  </si>
  <si>
    <t>WA I-937 Retirement</t>
  </si>
  <si>
    <t>Retirement</t>
  </si>
  <si>
    <t>2906-WA-245113-3713 to 25455</t>
  </si>
  <si>
    <t>2906-WA-245113-25456 to 34655</t>
  </si>
  <si>
    <t>w/apprenticeship adder</t>
  </si>
  <si>
    <t>WREGIS retired</t>
  </si>
  <si>
    <t>Compliance filing</t>
  </si>
  <si>
    <t>797-WA-223740-1 to 1435</t>
  </si>
  <si>
    <t>797-WA-223740-1436 to 3712</t>
  </si>
  <si>
    <t>130-WA-280203-1 to 27787</t>
  </si>
  <si>
    <t>130-WA-284098-1 to 7296</t>
  </si>
  <si>
    <t>130-WA-287957-1 to 7279</t>
  </si>
  <si>
    <t>130-WA-291768-1 to 2862</t>
  </si>
  <si>
    <t>130-WA-299650-1 to 1140</t>
  </si>
  <si>
    <t>130-WA-303687-1 to 21634</t>
  </si>
  <si>
    <t>130-WA-307587-1 to 31137</t>
  </si>
  <si>
    <t>797-WA-305209-1 to 853</t>
  </si>
  <si>
    <t>130-WA-311921-1 to 28811</t>
  </si>
  <si>
    <t>797-WA-309164-1 to 817</t>
  </si>
  <si>
    <t>CARB</t>
  </si>
  <si>
    <t>130-WA-256267-18893 to 18959</t>
  </si>
  <si>
    <t>130-WA-264162-26190 to 26413</t>
  </si>
  <si>
    <t>130-WA-276307-801 to 5787</t>
  </si>
  <si>
    <t>130-WA-268134-14894 to 14979</t>
  </si>
  <si>
    <t>130-WA-272216-7683 to 11617</t>
  </si>
  <si>
    <t>130-WA-272216-11618 to 29413</t>
  </si>
  <si>
    <t>130-WA-268134-14980 to 23604</t>
  </si>
  <si>
    <t>130-WA-264162-26414 to 29100</t>
  </si>
  <si>
    <t>130-WA-256267-18960 to 26457</t>
  </si>
  <si>
    <t>130-WA-276307-5788 to 30482</t>
  </si>
  <si>
    <t>797-WA-309164-818 to 4092</t>
  </si>
  <si>
    <t>797-WA-305209-854 to 4422</t>
  </si>
  <si>
    <t>797-WA-301308-1 to 4170</t>
  </si>
  <si>
    <t>797-WA-289557-1 to 3282</t>
  </si>
  <si>
    <t>797-WA-278004-1 to 4356</t>
  </si>
  <si>
    <t>797-WA-297416-1 to 1038</t>
  </si>
  <si>
    <t>130-WA-299650-1141 to 7305</t>
  </si>
  <si>
    <t>130-WA-280203-28253 to 30677</t>
  </si>
  <si>
    <t>130-WA-303687-21635 to 29371</t>
  </si>
  <si>
    <t>130-WA-287957-7280 to 30153</t>
  </si>
  <si>
    <t>130-WA-291768-3283 to 23112</t>
  </si>
  <si>
    <t>130-WA-291768-2863 to 3282</t>
  </si>
  <si>
    <t>130-WA-280203-27788 to 28252</t>
  </si>
  <si>
    <t>2906-WA-272930-1 to 202</t>
  </si>
  <si>
    <t>2906-WA-257118-1259 to 1306</t>
  </si>
  <si>
    <t>2906-WA-265020-1 to 559</t>
  </si>
  <si>
    <t>2906-WA-265020-560 to 14965</t>
  </si>
  <si>
    <t>2906-WA-257118-1307 to 14114</t>
  </si>
  <si>
    <t>2906-WA-272930-203 to 43800</t>
  </si>
  <si>
    <t>Inventory avail to CA</t>
  </si>
  <si>
    <t>Inventory avail to WA</t>
  </si>
  <si>
    <t>2906-WA-280865-1 to 39160</t>
  </si>
  <si>
    <t>2906-WA-284764-1 to 36979</t>
  </si>
  <si>
    <t>2906-WA-288575-1 to 34318</t>
  </si>
  <si>
    <t>2906-WA-292406-1 to 33275</t>
  </si>
  <si>
    <t>2906-WA-296392-1 to 18977</t>
  </si>
  <si>
    <t>2906-WA-300386-1 to 24888</t>
  </si>
  <si>
    <t>2906-WA-304258-1 to 16868</t>
  </si>
  <si>
    <t>2906-WA-308173-1 to 21475</t>
  </si>
  <si>
    <t>2906-WA-312527-1 to 19654</t>
  </si>
  <si>
    <t>2906-WA-288575-1 to 815</t>
  </si>
  <si>
    <t>2906-WA-292406-1 to 155</t>
  </si>
  <si>
    <t>2906-WA-296392-1 to 367</t>
  </si>
  <si>
    <t>2906-WA-300386-1 to 2045</t>
  </si>
  <si>
    <t>2906-WA-304258-1 to 1142</t>
  </si>
  <si>
    <t>2906-WA-312527-1 to 90</t>
  </si>
  <si>
    <t>2906-WA-296392-368 to 18977</t>
  </si>
  <si>
    <t>2906-WA-284764-419 to 36979</t>
  </si>
  <si>
    <t>2906-WA-292406-156 to 33275</t>
  </si>
  <si>
    <t>2906-WA-288575-816 to 34318</t>
  </si>
  <si>
    <t>2906-WA-304258-1853 to 16868</t>
  </si>
  <si>
    <t>2906-WA-300386-2046 to 24888</t>
  </si>
  <si>
    <t>2906-WA-284764-1 to 418</t>
  </si>
  <si>
    <t>2906-WA-308173-1 to 160</t>
  </si>
  <si>
    <t>130-WA-323683-5707 to 5802</t>
  </si>
  <si>
    <t>130-WA-315812-1 to 25183</t>
  </si>
  <si>
    <t>130-WA-319672-1 to 12688</t>
  </si>
  <si>
    <t>130-WA-323683-1 to 5706</t>
  </si>
  <si>
    <t>797-WA-321134-1 to 304</t>
  </si>
  <si>
    <t>797-WA-313480-1 to 4471</t>
  </si>
  <si>
    <t>130-WA-315812-25184 to 31486</t>
  </si>
  <si>
    <t>797-WA-317273-1 to 4237</t>
  </si>
  <si>
    <t>130-WA-319672-12689 to 29833</t>
  </si>
  <si>
    <t>797-WA-321134-305 to 4347</t>
  </si>
  <si>
    <t>130-WA-323683-5803 to 30612</t>
  </si>
  <si>
    <t>797-WA-325291-1 to 4347</t>
  </si>
  <si>
    <t>130-WA-327864-133 to 30607</t>
  </si>
  <si>
    <t>2906-WA-324371-1 to 19011</t>
  </si>
  <si>
    <t>2906-WA-320278-1 to 30146</t>
  </si>
  <si>
    <t>2906-WA-324372-1 to 32421</t>
  </si>
  <si>
    <t>2906-WA-320278-1 to 142</t>
  </si>
  <si>
    <t>2906-WA-324372-1 to 126</t>
  </si>
  <si>
    <t>2906-WA-308173-284 to 21475</t>
  </si>
  <si>
    <t>2906-WA-304258-1143 to 1149</t>
  </si>
  <si>
    <t>2906-WA-280865-1 to 56</t>
  </si>
  <si>
    <t>2906-WA-324372-323 to 32421</t>
  </si>
  <si>
    <t>2906-WA-312527-118 to 19654</t>
  </si>
  <si>
    <t>2906-WA-312527-91 to 117</t>
  </si>
  <si>
    <t>2906-WA-324372-127 to 322</t>
  </si>
  <si>
    <t>2906-WA-280865-57 to 522</t>
  </si>
  <si>
    <t>2906-WA-304258-1150 to 1852</t>
  </si>
  <si>
    <t>2906-WA-308173-161 to 283</t>
  </si>
  <si>
    <t>2906-WA-320278-143 to 495</t>
  </si>
  <si>
    <t>2906-WA-328508-1 to 31211</t>
  </si>
  <si>
    <t>before old growth decrease</t>
  </si>
  <si>
    <t>see below</t>
  </si>
  <si>
    <t>130-WA-240486-10710 to 19504</t>
  </si>
  <si>
    <t>Kettle Old Growth</t>
  </si>
  <si>
    <t>130-WA-240486-9665 to 10709</t>
  </si>
  <si>
    <t>Old Growth</t>
  </si>
  <si>
    <t>diff s/b zero</t>
  </si>
  <si>
    <t>avail inventory</t>
  </si>
  <si>
    <t>Kettle Falls</t>
  </si>
  <si>
    <t>check</t>
  </si>
  <si>
    <t>797-WA-285782-1594 to 4282</t>
  </si>
  <si>
    <t>797-WA-281890-1 to 1136</t>
  </si>
  <si>
    <t>797-WA-281890-1137 to 3208</t>
  </si>
  <si>
    <t>I-937 Year</t>
  </si>
  <si>
    <t>Palouse Wind</t>
  </si>
  <si>
    <t>verified 4/15/20</t>
  </si>
  <si>
    <t>old growth %</t>
  </si>
  <si>
    <t>'2016 Hog Fuel Deliveries by Supplier.xls'</t>
  </si>
  <si>
    <t>'Jan-Dec 2018 Fuel Flow Summary.xls'</t>
  </si>
  <si>
    <t xml:space="preserve"> = 95.3%</t>
  </si>
  <si>
    <t>of the RECs available for I-937, we can only use 95.3%</t>
  </si>
  <si>
    <t>797-WA-285782-384 to 1593</t>
  </si>
  <si>
    <t>797-WA-285782-1 to 383</t>
  </si>
  <si>
    <t>verified 4/16/20</t>
  </si>
  <si>
    <t>130-WA-327864-1 to 132</t>
  </si>
  <si>
    <t>130-WA-335532-1 to 960</t>
  </si>
  <si>
    <t>130-WA-351749-1 to 3275</t>
  </si>
  <si>
    <t>130-WA-356044-1 to 8371</t>
  </si>
  <si>
    <t>130-WA-360549-1 to 3980</t>
  </si>
  <si>
    <t>130-WA-376129-1 to 8953</t>
  </si>
  <si>
    <t>ACT Commodities Inc.</t>
  </si>
  <si>
    <t>130-WA-329358-1 to 28218</t>
  </si>
  <si>
    <t>797-WA-329334-559 to 4007</t>
  </si>
  <si>
    <t>130-WA-335532-961 to 25428</t>
  </si>
  <si>
    <t>797-WA-333093-14 to 3611</t>
  </si>
  <si>
    <t>797-WA-349310-1 to 53</t>
  </si>
  <si>
    <t>797-WA-353717-1 to 54</t>
  </si>
  <si>
    <t>130-WA-364969-1 to 27239</t>
  </si>
  <si>
    <t>130-WA-368031-1 to 29131</t>
  </si>
  <si>
    <t>797-WA-368016-2081 to 4137</t>
  </si>
  <si>
    <t>130-WA-376129-8954 to 30623</t>
  </si>
  <si>
    <t>797-WA-373474-2495 to 4348</t>
  </si>
  <si>
    <t>130-WA-351749-3276 to 6058</t>
  </si>
  <si>
    <t>797-WA-349310-54 to 4380</t>
  </si>
  <si>
    <t>797-WA-353717-55 to 4437</t>
  </si>
  <si>
    <t>797-WA-345074-1 to 1619</t>
  </si>
  <si>
    <t>797-WA-358192-1 to 4151</t>
  </si>
  <si>
    <t>130-WA-356044-8372 to 12583</t>
  </si>
  <si>
    <t>797-WA-368016-1 to 2080</t>
  </si>
  <si>
    <t>130-WA-360549-3981 to 6207</t>
  </si>
  <si>
    <t>797-WA-373474-1 to 2494</t>
  </si>
  <si>
    <t>797-WA-333093-1 to 13</t>
  </si>
  <si>
    <t>797-WA-329334-1 to 558</t>
  </si>
  <si>
    <t>** estimate based on 95.3%; could be different when Greg Frohn does this estimate again in 2021</t>
  </si>
  <si>
    <t>797-WA-362937-402 to 3869</t>
  </si>
  <si>
    <t>797-WA-362937-1 to 401</t>
  </si>
  <si>
    <t>2906-WA-280865-523 to 7061</t>
  </si>
  <si>
    <t>2906-WA-280865-7062 to 39160</t>
  </si>
  <si>
    <t>2906-WA-332784-1 to 27765</t>
  </si>
  <si>
    <t>2906-WA-336122-1 to 20583</t>
  </si>
  <si>
    <t>2906-WA-339926-1 to 32999</t>
  </si>
  <si>
    <t>2906-WA-344016-1 to 26521</t>
  </si>
  <si>
    <t>2906-WA-348114-1 to 26425</t>
  </si>
  <si>
    <t>2906-WA-352402-1 to 18624</t>
  </si>
  <si>
    <t>2906-WA-356700-1 to 15606</t>
  </si>
  <si>
    <t>2906-WA-361146-1 to 24362</t>
  </si>
  <si>
    <t>2906-WA-365539-1 to 29029</t>
  </si>
  <si>
    <t>2906-WA-373028-1 to 21785</t>
  </si>
  <si>
    <t>2906-WA-376723-1 to 27226</t>
  </si>
  <si>
    <t>2906-WA-352402-1 to 77</t>
  </si>
  <si>
    <t>2906-WA-361146-1 to 118</t>
  </si>
  <si>
    <t>2906-WA-361146-119 to 128</t>
  </si>
  <si>
    <t>2906-WA-328508-127 to 31211</t>
  </si>
  <si>
    <t>2906-WA-356700-1 to 1059</t>
  </si>
  <si>
    <t>2906-WA-352402-78 to 801</t>
  </si>
  <si>
    <t>2906-WA-361146-129 to 1086</t>
  </si>
  <si>
    <t>2906-WA-376723-1 to 2116</t>
  </si>
  <si>
    <t>2906-WA-373028-1 to 461</t>
  </si>
  <si>
    <t>2906-WA-328508-1 to 126</t>
  </si>
  <si>
    <t>old growth calc:</t>
  </si>
  <si>
    <t>gen minus sales</t>
  </si>
  <si>
    <t>CARB carve-out</t>
  </si>
  <si>
    <t>avail to WA</t>
  </si>
  <si>
    <t>old growth carve-out</t>
  </si>
  <si>
    <t>retired for 2017 I-937</t>
  </si>
  <si>
    <t>** didn't use KFGS for 2018 so un-did this carve-out</t>
  </si>
  <si>
    <t>2906-WA-320278-16302 to 30146</t>
  </si>
  <si>
    <t>2906-WA-320278-496 to 16301</t>
  </si>
  <si>
    <t>verified 5/26/20</t>
  </si>
  <si>
    <t>2906-WA-381341-1 to 53159</t>
  </si>
  <si>
    <t>797-WA-378861-1 to 2522</t>
  </si>
  <si>
    <t>797-WA-378861-2523 to 4269</t>
  </si>
  <si>
    <t>before old growth decr</t>
  </si>
  <si>
    <t>Shell Energy North America</t>
  </si>
  <si>
    <t>2906-WA-381341-1 to 1666</t>
  </si>
  <si>
    <t>before 1.2x adder</t>
  </si>
  <si>
    <t>130-WA-351749-6059 to 6120</t>
  </si>
  <si>
    <t>130-WA-347510-1 to 49</t>
  </si>
  <si>
    <t>130-WA-356044-12584 to 12637</t>
  </si>
  <si>
    <t>130-WA-360549-6208 to 6259</t>
  </si>
  <si>
    <t>130-WA-347510-50 to 14132</t>
  </si>
  <si>
    <t>130-WA-351749-6121 to 30842</t>
  </si>
  <si>
    <t>130-WA-356044-12638 to 31241</t>
  </si>
  <si>
    <t>130-WA-360549-6260 to 29236</t>
  </si>
  <si>
    <t>verified 8/5/20</t>
  </si>
  <si>
    <t>797-WA-387825-1 to 10</t>
  </si>
  <si>
    <t>797-WA-392356-1 to 226</t>
  </si>
  <si>
    <t>797-WA-382882-1 to 3457</t>
  </si>
  <si>
    <t>130-WA-390795-1 to 22062</t>
  </si>
  <si>
    <t>797-WA-387825-11 to 3133</t>
  </si>
  <si>
    <t>130-WA-392376-1 to 22597</t>
  </si>
  <si>
    <t>797-WA-392356-227 to 3209</t>
  </si>
  <si>
    <t>2906-WA-352402-802 to 833</t>
  </si>
  <si>
    <t>2906-WA-356700-1060 to 1233</t>
  </si>
  <si>
    <t>2906-WA-361146-1087 to 1221</t>
  </si>
  <si>
    <t>2906-WA-373028-462 to 526</t>
  </si>
  <si>
    <t>2906-WA-376723-2117 to 2151</t>
  </si>
  <si>
    <t>2906-WA-356700-1234 to 15606</t>
  </si>
  <si>
    <t>2906-WA-361146-1222 to 24362</t>
  </si>
  <si>
    <t>2906-WA-373028-527 to 21785</t>
  </si>
  <si>
    <t>2906-WA-376723-2152 to 27226</t>
  </si>
  <si>
    <t>2906-WA-381341-1667 to 1689</t>
  </si>
  <si>
    <t>2906-WA-390408-1 to 4</t>
  </si>
  <si>
    <t>2906-WA-390408-5 to 348</t>
  </si>
  <si>
    <t>2906-WA-381341-1690 to 53159</t>
  </si>
  <si>
    <t>2906-WA-385718-1 to 34444</t>
  </si>
  <si>
    <t>2906-WA-390408-349 to 38364</t>
  </si>
  <si>
    <t>2906-WA-398674-1 to 30138</t>
  </si>
  <si>
    <t>2906-WA-390408-1 to 38364</t>
  </si>
  <si>
    <t>verified 4/28/21</t>
  </si>
  <si>
    <t>verified 4/28/21; no longer needs verification</t>
  </si>
  <si>
    <t>130-WA-380735-1 to 18802</t>
  </si>
  <si>
    <t>130-WA-380735-18803 to 23802</t>
  </si>
  <si>
    <t>130-WA-409986-1 to 10486</t>
  </si>
  <si>
    <t>797-WA-409988-1 to 1489</t>
  </si>
  <si>
    <t>130-WA-418210-1 to 8280</t>
  </si>
  <si>
    <t>130-WA-424247-1 to 9431</t>
  </si>
  <si>
    <t>130-WA-430654-1 to 10149</t>
  </si>
  <si>
    <t>130-WA-437772-1 to 6643</t>
  </si>
  <si>
    <t>130-WA-447906-1 to 8305</t>
  </si>
  <si>
    <t>Los Angeles Department of Water and Power</t>
  </si>
  <si>
    <t>797-WA-418698-1 to 160</t>
  </si>
  <si>
    <t>797-WA-424729-1 to 123</t>
  </si>
  <si>
    <t>130-WA-380735-23803 to 30059</t>
  </si>
  <si>
    <t>130-WA-418210-8281 to 20422</t>
  </si>
  <si>
    <t>130-WA-424247-9432 to 27796</t>
  </si>
  <si>
    <t>797-WA-418698-161 to 2900</t>
  </si>
  <si>
    <t>130-WA-430654-10150 to 27959</t>
  </si>
  <si>
    <t>797-WA-431214-1 to 3970</t>
  </si>
  <si>
    <t>797-WA-424729-124 to 3948</t>
  </si>
  <si>
    <t>130-WA-437772-6644 to 17883</t>
  </si>
  <si>
    <t>797-WA-438611-1 to 2540</t>
  </si>
  <si>
    <t>130-WA-447906-8306 to 28631</t>
  </si>
  <si>
    <t>797-WA-448251-1 to 4066</t>
  </si>
  <si>
    <t>verified 4/28/21; no need to verify again</t>
  </si>
  <si>
    <t>2906-WA-404199-1 to 25633</t>
  </si>
  <si>
    <t>2906-WA-409445-1 to 22787</t>
  </si>
  <si>
    <t>2906-WA-414997-1 to 23027</t>
  </si>
  <si>
    <t>2906-WA-417748-1 to 17332</t>
  </si>
  <si>
    <t>2906-WA-423853-1 to 19258</t>
  </si>
  <si>
    <t>2906-WA-430205-1 to 32483</t>
  </si>
  <si>
    <t>2906-WA-437357-1 to 42244</t>
  </si>
  <si>
    <t>2906-WA-447493-1 to 31273</t>
  </si>
  <si>
    <t>2906-WA-409445-121 to 22787</t>
  </si>
  <si>
    <t>2906-WA-409445-1 to 30</t>
  </si>
  <si>
    <t>2906-WA-414997-1 to 42</t>
  </si>
  <si>
    <t>2906-WA-414997-691 to 23027</t>
  </si>
  <si>
    <t>2906-WA-417748-1 to 80</t>
  </si>
  <si>
    <t>2906-WA-423853-486 to 19258</t>
  </si>
  <si>
    <t>2906-WA-437357-722 to 42244</t>
  </si>
  <si>
    <t>2906-WA-430205-1 to 42</t>
  </si>
  <si>
    <t>2906-WA-430205-714 to 32483</t>
  </si>
  <si>
    <t>2906-WA-447493-1 to 6</t>
  </si>
  <si>
    <t>2906-WA-447493-910 to 31273</t>
  </si>
  <si>
    <t>2906-WA-409445-31 to 120</t>
  </si>
  <si>
    <t>2906-WA-414997-43 to 690</t>
  </si>
  <si>
    <t>2906-WA-417748-81 to 1031</t>
  </si>
  <si>
    <t>2906-WA-423853-1 to 485</t>
  </si>
  <si>
    <t>2906-WA-437357-1 to 721</t>
  </si>
  <si>
    <t>2906-WA-447493-7 to 909</t>
  </si>
  <si>
    <t>2906-WA-430205-43 to 713</t>
  </si>
  <si>
    <t>verified 5/18/21</t>
  </si>
  <si>
    <t>130-WA-386188-1 to 11012</t>
  </si>
  <si>
    <t>130-WA-386188-11013 to 24343</t>
  </si>
  <si>
    <t>Vintage</t>
  </si>
  <si>
    <t>130-WA-453655-1 to 8840</t>
  </si>
  <si>
    <t>130-WA-453655-8841 to 13840</t>
  </si>
  <si>
    <t>130-WA-453655-13841 to 21374</t>
  </si>
  <si>
    <t>797-WA-453988-1 to 3035</t>
  </si>
  <si>
    <t>2906-WA-453247-1 to 32154</t>
  </si>
  <si>
    <t>130-WA-284098-15585 to 22585</t>
  </si>
  <si>
    <t>130-WA-284098-7297 to 15584</t>
  </si>
  <si>
    <t>Compliance yr &gt;&gt;&gt;</t>
  </si>
  <si>
    <t>797-WA-345074-1620 to 1891</t>
  </si>
  <si>
    <t>797-WA-345074-1892 to 2007</t>
  </si>
  <si>
    <t>2906-WA-352402-3398 to 18624</t>
  </si>
  <si>
    <t>2906-WA-352402-834 to 3397</t>
  </si>
  <si>
    <t>I-937 Yr</t>
  </si>
  <si>
    <t>verified 5/5/22</t>
  </si>
  <si>
    <t>verified 5/5/22; verification ended</t>
  </si>
  <si>
    <t>2906-WA-417748-1032 to 15809</t>
  </si>
  <si>
    <t>2906-WA-417748-15810 to 17332</t>
  </si>
  <si>
    <t>130-WA-503337-7392 to 7571</t>
  </si>
  <si>
    <t>130-WA-495406-6484 to 6623</t>
  </si>
  <si>
    <t>130-WA-459553-13611 to 22056</t>
  </si>
  <si>
    <t>130-WA-465230-9193 to 23677</t>
  </si>
  <si>
    <t>130-WA-471442-7142 to 20071</t>
  </si>
  <si>
    <t>130-WA-478775-1 to 1916</t>
  </si>
  <si>
    <t>797-WA-479028-1 to 272</t>
  </si>
  <si>
    <t>130-WA-485810-6887 to 24142</t>
  </si>
  <si>
    <t>797-WA-486065-1 to 3429</t>
  </si>
  <si>
    <t>130-WA-495406-6624 to 24425</t>
  </si>
  <si>
    <t>797-WA-495668-1 to 3468</t>
  </si>
  <si>
    <t>130-WA-503337-7572 to 27279</t>
  </si>
  <si>
    <t>797-WA-503642-1 to 3874</t>
  </si>
  <si>
    <t>130-WA-511240-7988 to 27770</t>
  </si>
  <si>
    <t>797-WA-511490-1 to 3944</t>
  </si>
  <si>
    <t>130-WA-519117-8868 to 30475</t>
  </si>
  <si>
    <t>797-WA-519375-1 to 4328</t>
  </si>
  <si>
    <t>130-WA-526974-8630 to 29323</t>
  </si>
  <si>
    <t>797-WA-527221-1 to 4164</t>
  </si>
  <si>
    <t>130-WA-536775-4304 to 29769</t>
  </si>
  <si>
    <t>797-WA-536932-1 to 4228</t>
  </si>
  <si>
    <t>130-WA-459553-8525 to 13610</t>
  </si>
  <si>
    <t>130-WA-459553-1 to 8524</t>
  </si>
  <si>
    <t>797-WA-459881-1 to 3132</t>
  </si>
  <si>
    <t>130-WA-465230-1 to 9192</t>
  </si>
  <si>
    <t>797-WA-465556-1 to 3363</t>
  </si>
  <si>
    <t>130-WA-471442-1 to 7141</t>
  </si>
  <si>
    <t>797-WA-471748-1 to 2850</t>
  </si>
  <si>
    <t>130-WA-485810-1 to 6886</t>
  </si>
  <si>
    <t>130-WA-495406-1 to 6483</t>
  </si>
  <si>
    <t>130-WA-503337-1 to 7391</t>
  </si>
  <si>
    <t>130-WA-511240-1 to 7987</t>
  </si>
  <si>
    <t>130-WA-519117-1 to 8867</t>
  </si>
  <si>
    <t>130-WA-526974-1 to 8629</t>
  </si>
  <si>
    <t>130-WA-536775-1 to 4303</t>
  </si>
  <si>
    <t>Blazar Lighting</t>
  </si>
  <si>
    <t>2906-WA-459164-1 to 34030</t>
  </si>
  <si>
    <t>2906-WA-464862-1 to 32799</t>
  </si>
  <si>
    <t>2906-WA-471029-1 to 35854</t>
  </si>
  <si>
    <t>2906-WA-478410-1 to 29832</t>
  </si>
  <si>
    <t>2906-WA-485416-1 to 22029</t>
  </si>
  <si>
    <t>2906-WA-494991-1 to 16289</t>
  </si>
  <si>
    <t>2906-WA-502935-1 to 22624</t>
  </si>
  <si>
    <t>2906-WA-510874-1 to 25668</t>
  </si>
  <si>
    <t>2906-WA-518724-1 to 30614</t>
  </si>
  <si>
    <t>2906-WA-526621-1 to 42464</t>
  </si>
  <si>
    <t>2906-WA-536316-1 to 36426</t>
  </si>
  <si>
    <t>2906-WA-453247-1 to 9654</t>
  </si>
  <si>
    <t>2906-WA-453247-9655 to 22497</t>
  </si>
  <si>
    <t>Frontier Technology, Inc.</t>
  </si>
  <si>
    <t>2906-WA-453247-22498 to 32154</t>
  </si>
  <si>
    <t>2906-WA-459164-1378 to 34030</t>
  </si>
  <si>
    <t>2906-WA-464862-1896 to 32799</t>
  </si>
  <si>
    <t>2906-WA-471029-414 to 35854</t>
  </si>
  <si>
    <t>2906-WA-494991-146 to 16289</t>
  </si>
  <si>
    <t>2906-WA-502935-511 to 22624</t>
  </si>
  <si>
    <t>2906-WA-518724-585 to 30614</t>
  </si>
  <si>
    <t>2906-WA-526621-1145 to 42464</t>
  </si>
  <si>
    <t>2906-WA-536316-39 to 36426</t>
  </si>
  <si>
    <t>2906-WA-518724-1 to 584</t>
  </si>
  <si>
    <t>2906-WA-526621-1 to 1144</t>
  </si>
  <si>
    <t>2906-WA-502935-1 to 510</t>
  </si>
  <si>
    <t>2906-WA-494991-1 to 145</t>
  </si>
  <si>
    <t>2906-WA-536316-1 to 38</t>
  </si>
  <si>
    <t>2906-WA-464862-1 to 1895</t>
  </si>
  <si>
    <t>2906-WA-471029-1 to 413</t>
  </si>
  <si>
    <t>2906-WA-459164-1 to 1377</t>
  </si>
  <si>
    <t>est.</t>
  </si>
  <si>
    <t xml:space="preserve"> "</t>
  </si>
  <si>
    <t>actual</t>
  </si>
  <si>
    <t>130-WA-545792-1 to 25419</t>
  </si>
  <si>
    <t>797-WA-545931-1 to 3609</t>
  </si>
  <si>
    <t>2906-WA-545361-1 to 30258</t>
  </si>
  <si>
    <t>actual; not yet certified</t>
  </si>
  <si>
    <t>estimate</t>
  </si>
  <si>
    <t>not certified yet</t>
  </si>
  <si>
    <t>W10997</t>
  </si>
  <si>
    <t>Rattlesnake Flat, LLC - Rattlesnake Flat</t>
  </si>
  <si>
    <t>10997-WA-450787-1 to 397</t>
  </si>
  <si>
    <t>10997-WA-450788-1 to 4683</t>
  </si>
  <si>
    <t>10997-WA-445030-1 to 9379</t>
  </si>
  <si>
    <t>10997-WA-450789-1 to 22698</t>
  </si>
  <si>
    <t>10997-WA-456726-1 to 24650</t>
  </si>
  <si>
    <t>10997-WA-461113-1 to 41781</t>
  </si>
  <si>
    <t>10997-WA-480185-1 to 35539</t>
  </si>
  <si>
    <t>10997-WA-473229-1 to 42526</t>
  </si>
  <si>
    <t>10997-WA-480186-1 to 35793</t>
  </si>
  <si>
    <t>10997-WA-487352-1 to 34155</t>
  </si>
  <si>
    <t>10997-WA-496821-1 to 21578</t>
  </si>
  <si>
    <t>10997-WA-504778-1 to 30669</t>
  </si>
  <si>
    <t>10997-WA-512486-1 to 30883</t>
  </si>
  <si>
    <t>10997-WA-520375-1 to 38781</t>
  </si>
  <si>
    <t>10997-WA-528208-1 to 45416</t>
  </si>
  <si>
    <t>10997-WA-538074-1 to 41739</t>
  </si>
  <si>
    <t>10997-WA-461113-1 to 21735</t>
  </si>
  <si>
    <t>10997-WA-528208-1 to 20977</t>
  </si>
  <si>
    <t>10997-WA-538074-1 to 32638</t>
  </si>
  <si>
    <t>10997-WA-461113-21736 to 41781</t>
  </si>
  <si>
    <t>10997-WA-480185-1 to 29954</t>
  </si>
  <si>
    <t>Harrison Renewable Energy, LLC</t>
  </si>
  <si>
    <t>10997-WA-480185-29955 to 35539</t>
  </si>
  <si>
    <t>10997-WA-496821-482 to 21578</t>
  </si>
  <si>
    <t>10997-WA-528208-20978 to 45416</t>
  </si>
  <si>
    <t>10997-WA-538074-32639 to 41739</t>
  </si>
  <si>
    <t>10997-WA-496821-1 to 481</t>
  </si>
  <si>
    <t>10997-WA-546899-1 to 22123</t>
  </si>
  <si>
    <t>Rattlesnake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</si>
</sst>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-d\-yy\ hh:mm:ss"/>
    <numFmt numFmtId="165" formatCode="m\-d\-yyyy"/>
    <numFmt numFmtId="166" formatCode="&quot;$&quot;#,##0.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17" fontId="0" fillId="0" borderId="0" xfId="0" applyNumberFormat="1"/>
    <xf numFmtId="3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3" fontId="3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 applyFont="1"/>
    <xf numFmtId="0" fontId="6" fillId="0" borderId="0" xfId="0" applyFont="1"/>
    <xf numFmtId="0" fontId="0" fillId="0" borderId="0" xfId="0" applyBorder="1"/>
    <xf numFmtId="0" fontId="3" fillId="0" borderId="0" xfId="0" applyFont="1"/>
    <xf numFmtId="0" fontId="7" fillId="0" borderId="0" xfId="0" applyFont="1" applyAlignment="1">
      <alignment horizontal="left" indent="1"/>
    </xf>
    <xf numFmtId="3" fontId="5" fillId="0" borderId="0" xfId="0" applyNumberFormat="1" applyFont="1"/>
    <xf numFmtId="0" fontId="8" fillId="0" borderId="0" xfId="0" applyFont="1"/>
    <xf numFmtId="3" fontId="9" fillId="0" borderId="0" xfId="0" applyNumberFormat="1" applyFont="1"/>
    <xf numFmtId="0" fontId="0" fillId="0" borderId="0" xfId="0" applyFill="1" applyBorder="1"/>
    <xf numFmtId="1" fontId="9" fillId="0" borderId="0" xfId="0" applyNumberFormat="1" applyFont="1"/>
    <xf numFmtId="3" fontId="0" fillId="0" borderId="0" xfId="0" applyNumberFormat="1" applyBorder="1"/>
    <xf numFmtId="166" fontId="5" fillId="0" borderId="0" xfId="0" applyNumberFormat="1" applyFont="1"/>
    <xf numFmtId="3" fontId="5" fillId="0" borderId="0" xfId="0" applyNumberFormat="1" applyFont="1" applyFill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10" fontId="0" fillId="0" borderId="0" xfId="0" applyNumberFormat="1"/>
    <xf numFmtId="0" fontId="0" fillId="0" borderId="0" xfId="0" quotePrefix="1"/>
    <xf numFmtId="10" fontId="0" fillId="0" borderId="0" xfId="0" applyNumberFormat="1" applyAlignment="1">
      <alignment horizontal="left" indent="1"/>
    </xf>
    <xf numFmtId="3" fontId="0" fillId="2" borderId="0" xfId="0" applyNumberFormat="1" applyFill="1"/>
    <xf numFmtId="3" fontId="0" fillId="2" borderId="0" xfId="0" applyNumberFormat="1" applyFont="1" applyFill="1"/>
    <xf numFmtId="166" fontId="9" fillId="0" borderId="0" xfId="0" applyNumberFormat="1" applyFont="1"/>
    <xf numFmtId="0" fontId="1" fillId="0" borderId="0" xfId="0" applyFont="1" applyAlignment="1">
      <alignment horizontal="right"/>
    </xf>
    <xf numFmtId="3" fontId="0" fillId="3" borderId="0" xfId="0" applyNumberFormat="1" applyFont="1" applyFill="1"/>
    <xf numFmtId="3" fontId="9" fillId="3" borderId="0" xfId="0" applyNumberFormat="1" applyFont="1" applyFill="1"/>
    <xf numFmtId="167" fontId="9" fillId="0" borderId="0" xfId="0" applyNumberFormat="1" applyFont="1"/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S58"/>
  <sheetViews>
    <sheetView showGridLines="0" topLeftCell="A22" zoomScaleNormal="100" workbookViewId="0"/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8.7109375" bestFit="1" customWidth="1"/>
    <col min="12" max="12" width="10.7109375" customWidth="1"/>
    <col min="13" max="13" width="30.28515625" bestFit="1" customWidth="1"/>
    <col min="14" max="14" width="6.7109375" customWidth="1"/>
    <col min="18" max="18" width="28.7109375" bestFit="1" customWidth="1"/>
  </cols>
  <sheetData>
    <row r="1" spans="1:19" ht="18.75" x14ac:dyDescent="0.3">
      <c r="A1" s="8">
        <v>2015</v>
      </c>
    </row>
    <row r="3" spans="1:19" ht="18.75" x14ac:dyDescent="0.3">
      <c r="A3" s="5" t="s">
        <v>8</v>
      </c>
      <c r="F3" s="5" t="s">
        <v>9</v>
      </c>
      <c r="O3" s="5" t="s">
        <v>43</v>
      </c>
    </row>
    <row r="4" spans="1:19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</row>
    <row r="5" spans="1:19" x14ac:dyDescent="0.25">
      <c r="A5" t="s">
        <v>0</v>
      </c>
      <c r="B5" t="s">
        <v>2</v>
      </c>
      <c r="C5" s="2">
        <v>42035</v>
      </c>
      <c r="D5" s="1">
        <v>29122</v>
      </c>
      <c r="F5">
        <v>2015</v>
      </c>
      <c r="G5">
        <v>1</v>
      </c>
      <c r="H5" t="s">
        <v>0</v>
      </c>
      <c r="I5">
        <v>3198</v>
      </c>
      <c r="J5" s="12">
        <v>1.1499999999999999</v>
      </c>
      <c r="K5" t="s">
        <v>119</v>
      </c>
      <c r="L5" s="11">
        <v>42138.429016203707</v>
      </c>
      <c r="M5" t="s">
        <v>13</v>
      </c>
    </row>
    <row r="6" spans="1:19" x14ac:dyDescent="0.25">
      <c r="A6" t="s">
        <v>1</v>
      </c>
      <c r="B6" t="s">
        <v>3</v>
      </c>
      <c r="C6" s="2">
        <v>42035</v>
      </c>
      <c r="D6" s="1">
        <v>4136</v>
      </c>
      <c r="F6">
        <v>2015</v>
      </c>
      <c r="G6">
        <v>1</v>
      </c>
      <c r="H6" t="s">
        <v>0</v>
      </c>
      <c r="I6">
        <v>25924</v>
      </c>
      <c r="J6" s="12">
        <v>8</v>
      </c>
      <c r="K6" t="s">
        <v>120</v>
      </c>
      <c r="L6" s="11">
        <v>42131.520370370374</v>
      </c>
      <c r="M6" t="s">
        <v>11</v>
      </c>
    </row>
    <row r="7" spans="1:19" x14ac:dyDescent="0.25">
      <c r="A7" t="s">
        <v>0</v>
      </c>
      <c r="B7" t="s">
        <v>2</v>
      </c>
      <c r="C7" s="2">
        <v>42063</v>
      </c>
      <c r="D7" s="1">
        <v>19454</v>
      </c>
      <c r="F7">
        <v>2015</v>
      </c>
      <c r="G7">
        <v>1</v>
      </c>
      <c r="H7" t="s">
        <v>1</v>
      </c>
      <c r="I7">
        <v>4136</v>
      </c>
      <c r="J7" s="12">
        <v>1.1499999999999999</v>
      </c>
      <c r="K7" t="s">
        <v>121</v>
      </c>
      <c r="L7" s="11">
        <v>42138.429016203707</v>
      </c>
      <c r="M7" t="s">
        <v>13</v>
      </c>
    </row>
    <row r="8" spans="1:19" x14ac:dyDescent="0.25">
      <c r="A8" t="s">
        <v>1</v>
      </c>
      <c r="B8" t="s">
        <v>3</v>
      </c>
      <c r="C8" s="2">
        <v>42063</v>
      </c>
      <c r="D8" s="1">
        <v>2763</v>
      </c>
      <c r="F8">
        <v>2015</v>
      </c>
      <c r="G8">
        <v>2</v>
      </c>
      <c r="H8" t="s">
        <v>0</v>
      </c>
      <c r="I8">
        <v>10110</v>
      </c>
      <c r="J8" s="12">
        <v>0.6</v>
      </c>
      <c r="K8" t="s">
        <v>122</v>
      </c>
      <c r="L8" s="11">
        <v>42382.357349537036</v>
      </c>
      <c r="M8" t="s">
        <v>155</v>
      </c>
    </row>
    <row r="9" spans="1:19" x14ac:dyDescent="0.25">
      <c r="A9" t="s">
        <v>0</v>
      </c>
      <c r="B9" t="s">
        <v>2</v>
      </c>
      <c r="C9" s="2">
        <v>42094</v>
      </c>
      <c r="D9" s="1">
        <v>25199</v>
      </c>
      <c r="F9">
        <v>2015</v>
      </c>
      <c r="G9">
        <v>2</v>
      </c>
      <c r="H9" t="s">
        <v>0</v>
      </c>
      <c r="I9">
        <v>9344</v>
      </c>
      <c r="J9" s="12">
        <v>8</v>
      </c>
      <c r="K9" t="s">
        <v>123</v>
      </c>
      <c r="L9" s="11">
        <v>42158.500636574077</v>
      </c>
      <c r="M9" t="s">
        <v>11</v>
      </c>
    </row>
    <row r="10" spans="1:19" x14ac:dyDescent="0.25">
      <c r="A10" t="s">
        <v>1</v>
      </c>
      <c r="B10" t="s">
        <v>3</v>
      </c>
      <c r="C10" s="2">
        <v>42094</v>
      </c>
      <c r="D10" s="1">
        <v>3578</v>
      </c>
      <c r="F10">
        <v>2015</v>
      </c>
      <c r="G10">
        <v>2</v>
      </c>
      <c r="H10" t="s">
        <v>1</v>
      </c>
      <c r="I10">
        <v>2763</v>
      </c>
      <c r="J10" s="12">
        <v>0.6</v>
      </c>
      <c r="K10" t="s">
        <v>124</v>
      </c>
      <c r="L10" s="11">
        <v>42382.357349537036</v>
      </c>
      <c r="M10" t="s">
        <v>155</v>
      </c>
    </row>
    <row r="11" spans="1:19" x14ac:dyDescent="0.25">
      <c r="A11" t="s">
        <v>0</v>
      </c>
      <c r="B11" t="s">
        <v>2</v>
      </c>
      <c r="C11" s="2">
        <v>42124</v>
      </c>
      <c r="D11" s="1">
        <v>25995</v>
      </c>
      <c r="F11">
        <v>2015</v>
      </c>
      <c r="G11">
        <v>3</v>
      </c>
      <c r="H11" t="s">
        <v>0</v>
      </c>
      <c r="I11">
        <v>12597</v>
      </c>
      <c r="J11" s="12">
        <v>0.6</v>
      </c>
      <c r="K11" t="s">
        <v>125</v>
      </c>
      <c r="L11" s="11">
        <v>42382.357361111113</v>
      </c>
      <c r="M11" t="s">
        <v>155</v>
      </c>
    </row>
    <row r="12" spans="1:19" x14ac:dyDescent="0.25">
      <c r="A12" t="s">
        <v>1</v>
      </c>
      <c r="B12" t="s">
        <v>3</v>
      </c>
      <c r="C12" s="2">
        <v>42124</v>
      </c>
      <c r="D12" s="1">
        <v>3692</v>
      </c>
      <c r="F12">
        <v>2015</v>
      </c>
      <c r="G12">
        <v>3</v>
      </c>
      <c r="H12" t="s">
        <v>0</v>
      </c>
      <c r="I12">
        <v>12602</v>
      </c>
      <c r="J12" s="12">
        <v>8</v>
      </c>
      <c r="K12" t="s">
        <v>126</v>
      </c>
      <c r="L12" s="11">
        <v>42191.406909722224</v>
      </c>
      <c r="M12" t="s">
        <v>11</v>
      </c>
    </row>
    <row r="13" spans="1:19" x14ac:dyDescent="0.25">
      <c r="A13" t="s">
        <v>0</v>
      </c>
      <c r="B13" t="s">
        <v>2</v>
      </c>
      <c r="C13" s="2">
        <v>42155</v>
      </c>
      <c r="D13" s="1">
        <v>19610</v>
      </c>
      <c r="F13">
        <v>2015</v>
      </c>
      <c r="G13">
        <v>3</v>
      </c>
      <c r="H13" t="s">
        <v>1</v>
      </c>
      <c r="I13">
        <v>3578</v>
      </c>
      <c r="J13" s="12">
        <v>0.6</v>
      </c>
      <c r="K13" t="s">
        <v>127</v>
      </c>
      <c r="L13" s="11">
        <v>42382.357349537036</v>
      </c>
      <c r="M13" t="s">
        <v>155</v>
      </c>
    </row>
    <row r="14" spans="1:19" x14ac:dyDescent="0.25">
      <c r="A14" t="s">
        <v>1</v>
      </c>
      <c r="B14" t="s">
        <v>3</v>
      </c>
      <c r="C14" s="2">
        <v>42155</v>
      </c>
      <c r="D14" s="1">
        <v>2785</v>
      </c>
      <c r="F14">
        <v>2015</v>
      </c>
      <c r="G14">
        <v>4</v>
      </c>
      <c r="H14" t="s">
        <v>0</v>
      </c>
      <c r="I14">
        <v>4092</v>
      </c>
      <c r="J14" s="12">
        <v>0.6</v>
      </c>
      <c r="K14" t="s">
        <v>128</v>
      </c>
      <c r="L14" s="11">
        <v>42382.357361111113</v>
      </c>
      <c r="M14" t="s">
        <v>155</v>
      </c>
    </row>
    <row r="15" spans="1:19" x14ac:dyDescent="0.25">
      <c r="A15" t="s">
        <v>0</v>
      </c>
      <c r="B15" t="s">
        <v>2</v>
      </c>
      <c r="C15" s="2">
        <v>42185</v>
      </c>
      <c r="D15" s="1">
        <v>1750</v>
      </c>
      <c r="F15">
        <v>2015</v>
      </c>
      <c r="G15">
        <v>4</v>
      </c>
      <c r="H15" t="s">
        <v>0</v>
      </c>
      <c r="I15">
        <v>21903</v>
      </c>
      <c r="J15" s="12">
        <v>8</v>
      </c>
      <c r="K15" t="s">
        <v>129</v>
      </c>
      <c r="L15" s="11">
        <v>42223.348194444443</v>
      </c>
      <c r="M15" t="s">
        <v>11</v>
      </c>
    </row>
    <row r="16" spans="1:19" x14ac:dyDescent="0.25">
      <c r="A16" t="s">
        <v>1</v>
      </c>
      <c r="B16" t="s">
        <v>3</v>
      </c>
      <c r="C16" s="2">
        <v>42185</v>
      </c>
      <c r="D16" s="1">
        <v>248</v>
      </c>
      <c r="F16">
        <v>2015</v>
      </c>
      <c r="G16">
        <v>4</v>
      </c>
      <c r="H16" t="s">
        <v>1</v>
      </c>
      <c r="I16">
        <v>3692</v>
      </c>
      <c r="J16" s="12">
        <v>0.6</v>
      </c>
      <c r="K16" t="s">
        <v>130</v>
      </c>
      <c r="L16" s="11">
        <v>42382.357361111113</v>
      </c>
      <c r="M16" t="s">
        <v>155</v>
      </c>
    </row>
    <row r="17" spans="1:19" x14ac:dyDescent="0.25">
      <c r="A17" t="s">
        <v>0</v>
      </c>
      <c r="B17" t="s">
        <v>2</v>
      </c>
      <c r="C17" s="2">
        <v>42216</v>
      </c>
      <c r="D17" s="1">
        <v>24105</v>
      </c>
      <c r="F17">
        <v>2015</v>
      </c>
      <c r="G17">
        <v>5</v>
      </c>
      <c r="H17" t="s">
        <v>0</v>
      </c>
      <c r="I17">
        <v>1009</v>
      </c>
      <c r="J17" s="12">
        <v>0.6</v>
      </c>
      <c r="K17" t="s">
        <v>131</v>
      </c>
      <c r="L17" s="11">
        <v>42382.357361111113</v>
      </c>
      <c r="M17" t="s">
        <v>155</v>
      </c>
    </row>
    <row r="18" spans="1:19" x14ac:dyDescent="0.25">
      <c r="A18" t="s">
        <v>1</v>
      </c>
      <c r="B18" t="s">
        <v>3</v>
      </c>
      <c r="C18" s="2">
        <v>42216</v>
      </c>
      <c r="D18" s="1">
        <v>3423</v>
      </c>
      <c r="F18">
        <v>2015</v>
      </c>
      <c r="G18">
        <v>5</v>
      </c>
      <c r="H18" t="s">
        <v>0</v>
      </c>
      <c r="I18">
        <v>18601</v>
      </c>
      <c r="J18" s="12">
        <v>8</v>
      </c>
      <c r="K18" t="s">
        <v>132</v>
      </c>
      <c r="L18" s="11">
        <v>42257.521805555552</v>
      </c>
      <c r="M18" t="s">
        <v>11</v>
      </c>
    </row>
    <row r="19" spans="1:19" x14ac:dyDescent="0.25">
      <c r="A19" t="s">
        <v>0</v>
      </c>
      <c r="B19" t="s">
        <v>2</v>
      </c>
      <c r="C19" s="2">
        <v>42247</v>
      </c>
      <c r="D19" s="1">
        <v>28653</v>
      </c>
      <c r="F19">
        <v>2015</v>
      </c>
      <c r="G19">
        <v>5</v>
      </c>
      <c r="H19" t="s">
        <v>1</v>
      </c>
      <c r="I19">
        <v>2785</v>
      </c>
      <c r="J19" s="12">
        <v>0.6</v>
      </c>
      <c r="K19" t="s">
        <v>133</v>
      </c>
      <c r="L19" s="11">
        <v>42382.357361111113</v>
      </c>
      <c r="M19" t="s">
        <v>155</v>
      </c>
    </row>
    <row r="20" spans="1:19" x14ac:dyDescent="0.25">
      <c r="A20" t="s">
        <v>1</v>
      </c>
      <c r="B20" t="s">
        <v>3</v>
      </c>
      <c r="C20" s="2">
        <v>42247</v>
      </c>
      <c r="D20" s="1">
        <v>4069</v>
      </c>
      <c r="F20">
        <v>2015</v>
      </c>
      <c r="G20">
        <v>6</v>
      </c>
      <c r="H20" t="s">
        <v>0</v>
      </c>
      <c r="I20">
        <v>703</v>
      </c>
      <c r="J20" s="12">
        <v>0.6</v>
      </c>
      <c r="K20" t="s">
        <v>134</v>
      </c>
      <c r="L20" s="11">
        <v>42382.357372685183</v>
      </c>
      <c r="M20" t="s">
        <v>155</v>
      </c>
    </row>
    <row r="21" spans="1:19" x14ac:dyDescent="0.25">
      <c r="A21" t="s">
        <v>0</v>
      </c>
      <c r="B21" t="s">
        <v>2</v>
      </c>
      <c r="C21" s="2">
        <v>42277</v>
      </c>
      <c r="D21" s="1">
        <v>22654</v>
      </c>
      <c r="F21">
        <v>2015</v>
      </c>
      <c r="G21">
        <v>6</v>
      </c>
      <c r="H21" t="s">
        <v>0</v>
      </c>
      <c r="I21">
        <v>1047</v>
      </c>
      <c r="J21" s="12">
        <v>8</v>
      </c>
      <c r="K21" t="s">
        <v>135</v>
      </c>
      <c r="L21" s="11">
        <v>42284.4528587963</v>
      </c>
      <c r="M21" t="s">
        <v>11</v>
      </c>
    </row>
    <row r="22" spans="1:19" x14ac:dyDescent="0.25">
      <c r="A22" t="s">
        <v>1</v>
      </c>
      <c r="B22" t="s">
        <v>3</v>
      </c>
      <c r="C22" s="2">
        <v>42277</v>
      </c>
      <c r="D22" s="1">
        <v>3217</v>
      </c>
      <c r="F22">
        <v>2015</v>
      </c>
      <c r="G22">
        <v>6</v>
      </c>
      <c r="H22" t="s">
        <v>1</v>
      </c>
      <c r="I22">
        <v>248</v>
      </c>
      <c r="J22" s="12">
        <v>0.6</v>
      </c>
      <c r="K22" t="s">
        <v>136</v>
      </c>
      <c r="L22" s="11">
        <v>42382.357361111113</v>
      </c>
      <c r="M22" t="s">
        <v>155</v>
      </c>
    </row>
    <row r="23" spans="1:19" x14ac:dyDescent="0.25">
      <c r="A23" t="s">
        <v>0</v>
      </c>
      <c r="B23" t="s">
        <v>2</v>
      </c>
      <c r="C23" s="2">
        <v>42308</v>
      </c>
      <c r="D23" s="1">
        <v>28259</v>
      </c>
      <c r="F23">
        <v>2015</v>
      </c>
      <c r="G23">
        <v>7</v>
      </c>
      <c r="H23" t="s">
        <v>0</v>
      </c>
      <c r="I23">
        <v>24105</v>
      </c>
      <c r="J23" s="12">
        <v>8</v>
      </c>
      <c r="K23" t="s">
        <v>137</v>
      </c>
      <c r="L23" s="11">
        <v>42314.4687037037</v>
      </c>
      <c r="M23" t="s">
        <v>11</v>
      </c>
    </row>
    <row r="24" spans="1:19" x14ac:dyDescent="0.25">
      <c r="A24" t="s">
        <v>1</v>
      </c>
      <c r="B24" t="s">
        <v>3</v>
      </c>
      <c r="C24" s="2">
        <v>42308</v>
      </c>
      <c r="D24" s="1">
        <v>4014</v>
      </c>
      <c r="F24">
        <v>2015</v>
      </c>
      <c r="G24">
        <v>7</v>
      </c>
      <c r="H24" t="s">
        <v>1</v>
      </c>
      <c r="I24">
        <v>3076</v>
      </c>
      <c r="J24" s="12">
        <v>0.6</v>
      </c>
      <c r="K24" t="s">
        <v>138</v>
      </c>
      <c r="L24" s="11">
        <v>42382.357372685183</v>
      </c>
      <c r="M24" t="s">
        <v>155</v>
      </c>
    </row>
    <row r="25" spans="1:19" x14ac:dyDescent="0.25">
      <c r="A25" t="s">
        <v>0</v>
      </c>
      <c r="B25" t="s">
        <v>2</v>
      </c>
      <c r="C25" s="2">
        <v>42338</v>
      </c>
      <c r="D25" s="1">
        <v>26354</v>
      </c>
      <c r="F25">
        <v>2015</v>
      </c>
      <c r="G25">
        <v>7</v>
      </c>
      <c r="H25" t="s">
        <v>1</v>
      </c>
      <c r="I25">
        <v>347</v>
      </c>
      <c r="J25" s="12">
        <v>8</v>
      </c>
      <c r="K25" t="s">
        <v>139</v>
      </c>
      <c r="L25" s="11">
        <v>42314.4687037037</v>
      </c>
      <c r="M25" t="s">
        <v>11</v>
      </c>
    </row>
    <row r="26" spans="1:19" x14ac:dyDescent="0.25">
      <c r="A26" t="s">
        <v>1</v>
      </c>
      <c r="B26" t="s">
        <v>3</v>
      </c>
      <c r="C26" s="2">
        <v>42338</v>
      </c>
      <c r="D26" s="1">
        <v>3742</v>
      </c>
      <c r="F26">
        <v>2015</v>
      </c>
      <c r="G26">
        <v>8</v>
      </c>
      <c r="H26" t="s">
        <v>0</v>
      </c>
      <c r="I26">
        <v>313</v>
      </c>
      <c r="J26" s="12">
        <v>0.6</v>
      </c>
      <c r="K26" t="s">
        <v>140</v>
      </c>
      <c r="L26" s="11">
        <v>42382.357372685183</v>
      </c>
      <c r="M26" t="s">
        <v>155</v>
      </c>
    </row>
    <row r="27" spans="1:19" x14ac:dyDescent="0.25">
      <c r="A27" t="s">
        <v>0</v>
      </c>
      <c r="B27" t="s">
        <v>2</v>
      </c>
      <c r="C27" s="2">
        <v>42369</v>
      </c>
      <c r="D27" s="1">
        <v>29190</v>
      </c>
      <c r="F27">
        <v>2015</v>
      </c>
      <c r="G27">
        <v>8</v>
      </c>
      <c r="H27" t="s">
        <v>0</v>
      </c>
      <c r="I27">
        <v>28340</v>
      </c>
      <c r="J27" s="12">
        <v>8</v>
      </c>
      <c r="K27" t="s">
        <v>141</v>
      </c>
      <c r="L27" s="11">
        <v>42342.527673611112</v>
      </c>
      <c r="M27" t="s">
        <v>11</v>
      </c>
    </row>
    <row r="28" spans="1:19" x14ac:dyDescent="0.25">
      <c r="A28" t="s">
        <v>1</v>
      </c>
      <c r="B28" t="s">
        <v>3</v>
      </c>
      <c r="C28" s="2">
        <v>42369</v>
      </c>
      <c r="D28" s="1">
        <v>4146</v>
      </c>
      <c r="F28">
        <v>2015</v>
      </c>
      <c r="G28">
        <v>8</v>
      </c>
      <c r="H28" t="s">
        <v>1</v>
      </c>
      <c r="I28">
        <v>4069</v>
      </c>
      <c r="J28" s="12">
        <v>0.6</v>
      </c>
      <c r="K28" t="s">
        <v>142</v>
      </c>
      <c r="L28" s="11">
        <v>42382.357372685183</v>
      </c>
      <c r="M28" t="s">
        <v>155</v>
      </c>
    </row>
    <row r="29" spans="1:19" x14ac:dyDescent="0.25">
      <c r="D29" s="3">
        <f>SUM(D5:D28)</f>
        <v>320158</v>
      </c>
      <c r="F29">
        <v>2015</v>
      </c>
      <c r="G29">
        <v>9</v>
      </c>
      <c r="H29" t="s">
        <v>0</v>
      </c>
      <c r="I29">
        <v>22654</v>
      </c>
      <c r="J29" s="12">
        <v>8</v>
      </c>
      <c r="K29" t="s">
        <v>143</v>
      </c>
      <c r="L29" s="11">
        <v>42374.25341435185</v>
      </c>
      <c r="M29" t="s">
        <v>11</v>
      </c>
      <c r="S29" s="3">
        <f>SUM(S5:S28)</f>
        <v>0</v>
      </c>
    </row>
    <row r="30" spans="1:19" x14ac:dyDescent="0.25">
      <c r="F30">
        <v>2015</v>
      </c>
      <c r="G30">
        <v>9</v>
      </c>
      <c r="H30" t="s">
        <v>1</v>
      </c>
      <c r="I30">
        <v>1016</v>
      </c>
      <c r="J30" s="12">
        <v>0.75</v>
      </c>
      <c r="K30" t="s">
        <v>144</v>
      </c>
      <c r="L30" s="11">
        <v>42489.395428240743</v>
      </c>
      <c r="M30" t="s">
        <v>156</v>
      </c>
    </row>
    <row r="31" spans="1:19" x14ac:dyDescent="0.25">
      <c r="F31">
        <v>2015</v>
      </c>
      <c r="G31">
        <v>9</v>
      </c>
      <c r="H31" t="s">
        <v>1</v>
      </c>
      <c r="I31">
        <v>2201</v>
      </c>
      <c r="J31" s="12">
        <v>8</v>
      </c>
      <c r="K31" t="s">
        <v>145</v>
      </c>
      <c r="L31" s="11">
        <v>42374.253425925926</v>
      </c>
      <c r="M31" t="s">
        <v>11</v>
      </c>
    </row>
    <row r="32" spans="1:19" x14ac:dyDescent="0.25">
      <c r="F32">
        <v>2015</v>
      </c>
      <c r="G32">
        <v>10</v>
      </c>
      <c r="H32" t="s">
        <v>0</v>
      </c>
      <c r="I32">
        <v>28259</v>
      </c>
      <c r="J32" s="12">
        <v>8</v>
      </c>
      <c r="K32" t="s">
        <v>146</v>
      </c>
      <c r="L32" s="11">
        <v>42404.281099537038</v>
      </c>
      <c r="M32" t="s">
        <v>11</v>
      </c>
    </row>
    <row r="33" spans="6:13" x14ac:dyDescent="0.25">
      <c r="F33">
        <v>2015</v>
      </c>
      <c r="G33">
        <v>10</v>
      </c>
      <c r="H33" t="s">
        <v>1</v>
      </c>
      <c r="I33">
        <v>2226</v>
      </c>
      <c r="J33" s="12">
        <v>0.75</v>
      </c>
      <c r="K33" t="s">
        <v>147</v>
      </c>
      <c r="L33" s="11">
        <v>42489.395439814813</v>
      </c>
      <c r="M33" t="s">
        <v>156</v>
      </c>
    </row>
    <row r="34" spans="6:13" x14ac:dyDescent="0.25">
      <c r="F34">
        <v>2015</v>
      </c>
      <c r="G34">
        <v>10</v>
      </c>
      <c r="H34" t="s">
        <v>1</v>
      </c>
      <c r="I34">
        <v>1788</v>
      </c>
      <c r="J34" s="12">
        <v>8</v>
      </c>
      <c r="K34" t="s">
        <v>148</v>
      </c>
      <c r="L34" s="11">
        <v>42404.281111111108</v>
      </c>
      <c r="M34" t="s">
        <v>11</v>
      </c>
    </row>
    <row r="35" spans="6:13" x14ac:dyDescent="0.25">
      <c r="F35">
        <v>2015</v>
      </c>
      <c r="G35">
        <v>11</v>
      </c>
      <c r="H35" t="s">
        <v>0</v>
      </c>
      <c r="I35">
        <v>700</v>
      </c>
      <c r="J35" s="12">
        <v>0.75</v>
      </c>
      <c r="K35" t="s">
        <v>149</v>
      </c>
      <c r="L35" s="11">
        <v>42489.395439814813</v>
      </c>
      <c r="M35" t="s">
        <v>156</v>
      </c>
    </row>
    <row r="36" spans="6:13" x14ac:dyDescent="0.25">
      <c r="F36">
        <v>2015</v>
      </c>
      <c r="G36">
        <v>11</v>
      </c>
      <c r="H36" t="s">
        <v>0</v>
      </c>
      <c r="I36">
        <v>25654</v>
      </c>
      <c r="J36" s="12">
        <v>8</v>
      </c>
      <c r="K36" t="s">
        <v>150</v>
      </c>
      <c r="L36" s="11">
        <v>42447.421412037038</v>
      </c>
      <c r="M36" t="s">
        <v>11</v>
      </c>
    </row>
    <row r="37" spans="6:13" x14ac:dyDescent="0.25">
      <c r="F37">
        <v>2015</v>
      </c>
      <c r="G37">
        <v>11</v>
      </c>
      <c r="H37" t="s">
        <v>1</v>
      </c>
      <c r="I37">
        <v>3742</v>
      </c>
      <c r="J37" s="12">
        <v>0.75</v>
      </c>
      <c r="K37" t="s">
        <v>151</v>
      </c>
      <c r="L37" s="11">
        <v>42489.395439814813</v>
      </c>
      <c r="M37" t="s">
        <v>156</v>
      </c>
    </row>
    <row r="38" spans="6:13" x14ac:dyDescent="0.25">
      <c r="F38">
        <v>2015</v>
      </c>
      <c r="G38">
        <v>12</v>
      </c>
      <c r="H38" t="s">
        <v>0</v>
      </c>
      <c r="I38">
        <v>29190</v>
      </c>
      <c r="J38" s="12">
        <v>8</v>
      </c>
      <c r="K38" t="s">
        <v>152</v>
      </c>
      <c r="L38" s="11">
        <v>42471.399085648147</v>
      </c>
      <c r="M38" t="s">
        <v>11</v>
      </c>
    </row>
    <row r="39" spans="6:13" x14ac:dyDescent="0.25">
      <c r="F39">
        <v>2015</v>
      </c>
      <c r="G39">
        <v>12</v>
      </c>
      <c r="H39" t="s">
        <v>1</v>
      </c>
      <c r="I39">
        <v>3047</v>
      </c>
      <c r="J39" s="12">
        <v>0.75</v>
      </c>
      <c r="K39" t="s">
        <v>153</v>
      </c>
      <c r="L39" s="11">
        <v>42489.395439814813</v>
      </c>
      <c r="M39" t="s">
        <v>156</v>
      </c>
    </row>
    <row r="40" spans="6:13" x14ac:dyDescent="0.25">
      <c r="F40">
        <v>2015</v>
      </c>
      <c r="G40">
        <v>12</v>
      </c>
      <c r="H40" t="s">
        <v>1</v>
      </c>
      <c r="I40">
        <v>1099</v>
      </c>
      <c r="J40" s="12">
        <v>8</v>
      </c>
      <c r="K40" t="s">
        <v>154</v>
      </c>
      <c r="L40" s="11">
        <v>42471.399097222224</v>
      </c>
      <c r="M40" t="s">
        <v>11</v>
      </c>
    </row>
    <row r="48" spans="6:13" x14ac:dyDescent="0.25">
      <c r="I48" s="3">
        <f>SUM(I5:I40)</f>
        <v>320158</v>
      </c>
      <c r="J48" s="12">
        <f>SUMPRODUCT(I5:I40, J5:J40) / I48</f>
        <v>6.4667050331398874</v>
      </c>
    </row>
    <row r="54" spans="3:7" x14ac:dyDescent="0.25">
      <c r="C54" s="6" t="s">
        <v>40</v>
      </c>
      <c r="D54" s="1">
        <f>D29</f>
        <v>320158</v>
      </c>
    </row>
    <row r="55" spans="3:7" x14ac:dyDescent="0.25">
      <c r="C55" s="6" t="s">
        <v>41</v>
      </c>
      <c r="D55" s="13">
        <f>I48</f>
        <v>320158</v>
      </c>
      <c r="E55" s="12">
        <f>J48</f>
        <v>6.4667050331398874</v>
      </c>
      <c r="F55" s="12">
        <f>D55 * E55</f>
        <v>2070367.35</v>
      </c>
      <c r="G55" s="19" t="s">
        <v>475</v>
      </c>
    </row>
    <row r="56" spans="3:7" x14ac:dyDescent="0.25">
      <c r="C56" s="6" t="s">
        <v>242</v>
      </c>
      <c r="D56" s="16">
        <v>0</v>
      </c>
    </row>
    <row r="57" spans="3:7" x14ac:dyDescent="0.25">
      <c r="C57" s="6" t="s">
        <v>42</v>
      </c>
      <c r="D57" s="1">
        <f>D54 - D55 - D56</f>
        <v>0</v>
      </c>
      <c r="G57" s="19" t="s">
        <v>475</v>
      </c>
    </row>
    <row r="58" spans="3:7" x14ac:dyDescent="0.25">
      <c r="D58" s="1">
        <f>D57 - S29</f>
        <v>0</v>
      </c>
    </row>
  </sheetData>
  <sortState xmlns:xlrd2="http://schemas.microsoft.com/office/spreadsheetml/2017/richdata2" ref="A5:D28">
    <sortCondition ref="C5:C28"/>
    <sortCondition ref="A5:A28"/>
  </sortState>
  <pageMargins left="0.2" right="0.2" top="0.75" bottom="0.75" header="0.3" footer="0.3"/>
  <pageSetup scale="58" orientation="landscape" r:id="rId1"/>
  <headerFooter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autoPageBreaks="0" fitToPage="1"/>
  </sheetPr>
  <dimension ref="A1:AH41"/>
  <sheetViews>
    <sheetView showGridLines="0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3.28515625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2019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358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2019</v>
      </c>
      <c r="B5">
        <v>1</v>
      </c>
      <c r="C5" t="s">
        <v>66</v>
      </c>
      <c r="D5" t="s">
        <v>67</v>
      </c>
      <c r="E5" s="1">
        <v>31211</v>
      </c>
      <c r="F5" s="1" t="s">
        <v>344</v>
      </c>
      <c r="H5">
        <v>2019</v>
      </c>
      <c r="I5">
        <v>7</v>
      </c>
      <c r="J5" t="s">
        <v>66</v>
      </c>
      <c r="K5">
        <v>77</v>
      </c>
      <c r="L5" s="12">
        <f>IFERROR(P5/K5, 0)</f>
        <v>8</v>
      </c>
      <c r="M5" t="s">
        <v>414</v>
      </c>
      <c r="N5" s="11">
        <v>43773.425416666665</v>
      </c>
      <c r="O5" s="21" t="s">
        <v>11</v>
      </c>
      <c r="P5" s="24">
        <v>616</v>
      </c>
      <c r="Q5" t="s">
        <v>66</v>
      </c>
      <c r="R5">
        <v>7</v>
      </c>
      <c r="S5">
        <v>2019</v>
      </c>
      <c r="T5" t="s">
        <v>541</v>
      </c>
      <c r="U5">
        <v>2564</v>
      </c>
      <c r="V5" s="29">
        <v>2019</v>
      </c>
      <c r="X5" t="s">
        <v>66</v>
      </c>
      <c r="Y5">
        <v>7</v>
      </c>
      <c r="Z5">
        <v>2019</v>
      </c>
      <c r="AA5" t="s">
        <v>540</v>
      </c>
      <c r="AB5">
        <v>15227</v>
      </c>
      <c r="AD5" t="s">
        <v>66</v>
      </c>
      <c r="AE5">
        <v>7</v>
      </c>
      <c r="AF5">
        <v>2019</v>
      </c>
      <c r="AG5" t="s">
        <v>457</v>
      </c>
      <c r="AH5">
        <v>32</v>
      </c>
    </row>
    <row r="6" spans="1:34" x14ac:dyDescent="0.25">
      <c r="A6">
        <v>2019</v>
      </c>
      <c r="B6">
        <v>2</v>
      </c>
      <c r="C6" t="s">
        <v>66</v>
      </c>
      <c r="D6" t="s">
        <v>67</v>
      </c>
      <c r="E6" s="1">
        <v>27765</v>
      </c>
      <c r="F6" s="1" t="s">
        <v>403</v>
      </c>
      <c r="H6">
        <v>2019</v>
      </c>
      <c r="I6">
        <v>9</v>
      </c>
      <c r="J6" t="s">
        <v>66</v>
      </c>
      <c r="K6">
        <v>118</v>
      </c>
      <c r="L6" s="12">
        <f>IFERROR(P6/K6, 0)</f>
        <v>8</v>
      </c>
      <c r="M6" t="s">
        <v>415</v>
      </c>
      <c r="N6" s="11">
        <v>43832.381828703707</v>
      </c>
      <c r="O6" s="21" t="s">
        <v>11</v>
      </c>
      <c r="P6" s="24">
        <v>944</v>
      </c>
      <c r="Q6" t="s">
        <v>66</v>
      </c>
      <c r="R6">
        <v>2</v>
      </c>
      <c r="S6">
        <v>2019</v>
      </c>
      <c r="T6" t="s">
        <v>403</v>
      </c>
      <c r="U6">
        <v>27765</v>
      </c>
      <c r="V6" s="29">
        <v>2019</v>
      </c>
      <c r="X6" t="s">
        <v>66</v>
      </c>
      <c r="Y6">
        <v>9</v>
      </c>
      <c r="Z6">
        <v>2019</v>
      </c>
      <c r="AA6" t="s">
        <v>463</v>
      </c>
      <c r="AB6">
        <v>23141</v>
      </c>
      <c r="AD6" t="s">
        <v>66</v>
      </c>
      <c r="AE6">
        <v>8</v>
      </c>
      <c r="AF6">
        <v>2019</v>
      </c>
      <c r="AG6" t="s">
        <v>458</v>
      </c>
      <c r="AH6">
        <v>174</v>
      </c>
    </row>
    <row r="7" spans="1:34" x14ac:dyDescent="0.25">
      <c r="A7">
        <v>2019</v>
      </c>
      <c r="B7">
        <v>3</v>
      </c>
      <c r="C7" t="s">
        <v>66</v>
      </c>
      <c r="D7" t="s">
        <v>67</v>
      </c>
      <c r="E7" s="1">
        <v>20583</v>
      </c>
      <c r="F7" s="1" t="s">
        <v>404</v>
      </c>
      <c r="H7">
        <v>2019</v>
      </c>
      <c r="I7">
        <v>9</v>
      </c>
      <c r="J7" t="s">
        <v>66</v>
      </c>
      <c r="K7">
        <v>10</v>
      </c>
      <c r="L7" s="12">
        <f>IFERROR(P7/K7, 0)</f>
        <v>5</v>
      </c>
      <c r="M7" t="s">
        <v>416</v>
      </c>
      <c r="N7" s="11">
        <v>43832.381828703707</v>
      </c>
      <c r="O7" s="21" t="s">
        <v>11</v>
      </c>
      <c r="P7" s="24">
        <v>50</v>
      </c>
      <c r="Q7" t="s">
        <v>66</v>
      </c>
      <c r="R7">
        <v>5</v>
      </c>
      <c r="S7">
        <v>2019</v>
      </c>
      <c r="T7" t="s">
        <v>406</v>
      </c>
      <c r="U7">
        <v>26521</v>
      </c>
      <c r="V7" s="29">
        <v>2019</v>
      </c>
      <c r="X7" t="s">
        <v>66</v>
      </c>
      <c r="Y7">
        <v>8</v>
      </c>
      <c r="Z7">
        <v>2019</v>
      </c>
      <c r="AA7" t="s">
        <v>462</v>
      </c>
      <c r="AB7">
        <v>14373</v>
      </c>
      <c r="AD7" t="s">
        <v>66</v>
      </c>
      <c r="AE7">
        <v>1</v>
      </c>
      <c r="AF7">
        <v>2019</v>
      </c>
      <c r="AG7" t="s">
        <v>423</v>
      </c>
      <c r="AH7">
        <v>126</v>
      </c>
    </row>
    <row r="8" spans="1:34" x14ac:dyDescent="0.25">
      <c r="A8">
        <v>2019</v>
      </c>
      <c r="B8">
        <v>4</v>
      </c>
      <c r="C8" t="s">
        <v>66</v>
      </c>
      <c r="D8" t="s">
        <v>67</v>
      </c>
      <c r="E8" s="1">
        <v>32999</v>
      </c>
      <c r="F8" s="1" t="s">
        <v>405</v>
      </c>
      <c r="L8" s="12"/>
      <c r="N8" s="11"/>
      <c r="O8" s="21"/>
      <c r="P8" s="24"/>
      <c r="Q8" t="s">
        <v>66</v>
      </c>
      <c r="R8">
        <v>3</v>
      </c>
      <c r="S8">
        <v>2019</v>
      </c>
      <c r="T8" t="s">
        <v>404</v>
      </c>
      <c r="U8">
        <v>20583</v>
      </c>
      <c r="V8" s="29">
        <v>2019</v>
      </c>
      <c r="X8" t="s">
        <v>66</v>
      </c>
      <c r="Y8">
        <v>11</v>
      </c>
      <c r="Z8">
        <v>2019</v>
      </c>
      <c r="AA8" t="s">
        <v>464</v>
      </c>
      <c r="AB8" s="1">
        <v>21259</v>
      </c>
      <c r="AD8" t="s">
        <v>66</v>
      </c>
      <c r="AE8">
        <v>8</v>
      </c>
      <c r="AF8">
        <v>2019</v>
      </c>
      <c r="AG8" t="s">
        <v>418</v>
      </c>
      <c r="AH8">
        <v>1059</v>
      </c>
    </row>
    <row r="9" spans="1:34" x14ac:dyDescent="0.25">
      <c r="A9">
        <v>2019</v>
      </c>
      <c r="B9">
        <v>5</v>
      </c>
      <c r="C9" t="s">
        <v>66</v>
      </c>
      <c r="D9" t="s">
        <v>67</v>
      </c>
      <c r="E9" s="1">
        <v>26521</v>
      </c>
      <c r="F9" s="1" t="s">
        <v>406</v>
      </c>
      <c r="L9" s="12"/>
      <c r="N9" s="11"/>
      <c r="O9" s="21"/>
      <c r="P9" s="24"/>
      <c r="Q9" t="s">
        <v>66</v>
      </c>
      <c r="R9">
        <v>1</v>
      </c>
      <c r="S9">
        <v>2019</v>
      </c>
      <c r="T9" t="s">
        <v>417</v>
      </c>
      <c r="U9">
        <v>31085</v>
      </c>
      <c r="V9" s="29">
        <v>2019</v>
      </c>
      <c r="X9" t="s">
        <v>66</v>
      </c>
      <c r="Y9">
        <v>10</v>
      </c>
      <c r="Z9">
        <v>2019</v>
      </c>
      <c r="AA9" t="s">
        <v>411</v>
      </c>
      <c r="AB9" s="1">
        <v>29029</v>
      </c>
      <c r="AD9" t="s">
        <v>66</v>
      </c>
      <c r="AE9">
        <v>9</v>
      </c>
      <c r="AF9">
        <v>2019</v>
      </c>
      <c r="AG9" t="s">
        <v>420</v>
      </c>
      <c r="AH9">
        <v>958</v>
      </c>
    </row>
    <row r="10" spans="1:34" x14ac:dyDescent="0.25">
      <c r="A10">
        <v>2019</v>
      </c>
      <c r="B10">
        <v>6</v>
      </c>
      <c r="C10" t="s">
        <v>66</v>
      </c>
      <c r="D10" t="s">
        <v>67</v>
      </c>
      <c r="E10" s="1">
        <v>26425</v>
      </c>
      <c r="F10" s="1" t="s">
        <v>407</v>
      </c>
      <c r="L10" s="12"/>
      <c r="N10" s="11"/>
      <c r="O10" s="21"/>
      <c r="P10" s="24"/>
      <c r="Q10" t="s">
        <v>66</v>
      </c>
      <c r="R10">
        <v>6</v>
      </c>
      <c r="S10">
        <v>2019</v>
      </c>
      <c r="T10" t="s">
        <v>407</v>
      </c>
      <c r="U10">
        <v>26425</v>
      </c>
      <c r="V10" s="29">
        <v>2019</v>
      </c>
      <c r="X10" t="s">
        <v>66</v>
      </c>
      <c r="Y10">
        <v>12</v>
      </c>
      <c r="Z10">
        <v>2019</v>
      </c>
      <c r="AA10" t="s">
        <v>465</v>
      </c>
      <c r="AB10" s="1">
        <v>25075</v>
      </c>
      <c r="AD10" t="s">
        <v>66</v>
      </c>
      <c r="AE10">
        <v>9</v>
      </c>
      <c r="AF10">
        <v>2019</v>
      </c>
      <c r="AG10" t="s">
        <v>459</v>
      </c>
      <c r="AH10">
        <v>135</v>
      </c>
    </row>
    <row r="11" spans="1:34" x14ac:dyDescent="0.25">
      <c r="A11">
        <v>2019</v>
      </c>
      <c r="B11">
        <v>7</v>
      </c>
      <c r="C11" t="s">
        <v>66</v>
      </c>
      <c r="D11" t="s">
        <v>67</v>
      </c>
      <c r="E11" s="1">
        <v>18624</v>
      </c>
      <c r="F11" s="1" t="s">
        <v>408</v>
      </c>
      <c r="N11" s="11"/>
      <c r="O11" s="21"/>
      <c r="P11" s="24"/>
      <c r="Q11" t="s">
        <v>66</v>
      </c>
      <c r="R11">
        <v>4</v>
      </c>
      <c r="S11">
        <v>2019</v>
      </c>
      <c r="T11" t="s">
        <v>405</v>
      </c>
      <c r="U11">
        <v>32999</v>
      </c>
      <c r="V11" s="29">
        <v>2019</v>
      </c>
      <c r="AD11" t="s">
        <v>66</v>
      </c>
      <c r="AE11">
        <v>7</v>
      </c>
      <c r="AF11">
        <v>2019</v>
      </c>
      <c r="AG11" t="s">
        <v>419</v>
      </c>
      <c r="AH11">
        <v>724</v>
      </c>
    </row>
    <row r="12" spans="1:34" x14ac:dyDescent="0.25">
      <c r="A12">
        <v>2019</v>
      </c>
      <c r="B12">
        <v>8</v>
      </c>
      <c r="C12" t="s">
        <v>66</v>
      </c>
      <c r="D12" t="s">
        <v>67</v>
      </c>
      <c r="E12" s="1">
        <v>15606</v>
      </c>
      <c r="F12" s="1" t="s">
        <v>409</v>
      </c>
      <c r="N12" s="11"/>
      <c r="O12" s="21"/>
      <c r="P12" s="24"/>
      <c r="AD12" t="s">
        <v>66</v>
      </c>
      <c r="AE12">
        <v>11</v>
      </c>
      <c r="AF12">
        <v>2019</v>
      </c>
      <c r="AG12" t="s">
        <v>460</v>
      </c>
      <c r="AH12">
        <v>65</v>
      </c>
    </row>
    <row r="13" spans="1:34" x14ac:dyDescent="0.25">
      <c r="A13">
        <v>2019</v>
      </c>
      <c r="B13">
        <v>9</v>
      </c>
      <c r="C13" t="s">
        <v>66</v>
      </c>
      <c r="D13" t="s">
        <v>67</v>
      </c>
      <c r="E13" s="1">
        <v>24362</v>
      </c>
      <c r="F13" s="1" t="s">
        <v>410</v>
      </c>
      <c r="L13" s="12"/>
      <c r="N13" s="11"/>
      <c r="O13" s="21"/>
      <c r="P13" s="24"/>
      <c r="AB13" s="1"/>
      <c r="AD13" t="s">
        <v>66</v>
      </c>
      <c r="AE13">
        <v>11</v>
      </c>
      <c r="AF13">
        <v>2019</v>
      </c>
      <c r="AG13" t="s">
        <v>422</v>
      </c>
      <c r="AH13">
        <v>461</v>
      </c>
    </row>
    <row r="14" spans="1:34" x14ac:dyDescent="0.25">
      <c r="A14">
        <v>2019</v>
      </c>
      <c r="B14">
        <v>10</v>
      </c>
      <c r="C14" t="s">
        <v>66</v>
      </c>
      <c r="D14" t="s">
        <v>67</v>
      </c>
      <c r="E14" s="1">
        <v>29029</v>
      </c>
      <c r="F14" s="1" t="s">
        <v>411</v>
      </c>
      <c r="L14" s="12"/>
      <c r="N14" s="11"/>
      <c r="O14" s="21"/>
      <c r="P14" s="24"/>
      <c r="AB14" s="1"/>
      <c r="AD14" t="s">
        <v>66</v>
      </c>
      <c r="AE14">
        <v>12</v>
      </c>
      <c r="AF14">
        <v>2019</v>
      </c>
      <c r="AG14" t="s">
        <v>461</v>
      </c>
      <c r="AH14">
        <v>35</v>
      </c>
    </row>
    <row r="15" spans="1:34" x14ac:dyDescent="0.25">
      <c r="A15">
        <v>2019</v>
      </c>
      <c r="B15">
        <v>11</v>
      </c>
      <c r="C15" t="s">
        <v>66</v>
      </c>
      <c r="D15" t="s">
        <v>67</v>
      </c>
      <c r="E15" s="1">
        <v>21785</v>
      </c>
      <c r="F15" s="1" t="s">
        <v>412</v>
      </c>
      <c r="L15" s="12"/>
      <c r="N15" s="11"/>
      <c r="O15" s="21"/>
      <c r="P15" s="24"/>
      <c r="AB15" s="1"/>
      <c r="AD15" t="s">
        <v>66</v>
      </c>
      <c r="AE15">
        <v>12</v>
      </c>
      <c r="AF15">
        <v>2019</v>
      </c>
      <c r="AG15" t="s">
        <v>421</v>
      </c>
      <c r="AH15">
        <v>2116</v>
      </c>
    </row>
    <row r="16" spans="1:34" x14ac:dyDescent="0.25">
      <c r="A16">
        <v>2019</v>
      </c>
      <c r="B16">
        <v>12</v>
      </c>
      <c r="C16" t="s">
        <v>66</v>
      </c>
      <c r="D16" t="s">
        <v>67</v>
      </c>
      <c r="E16" s="1">
        <v>27226</v>
      </c>
      <c r="F16" s="1" t="s">
        <v>413</v>
      </c>
      <c r="L16" s="12"/>
      <c r="N16" s="11"/>
      <c r="O16" s="21"/>
      <c r="P16" s="24"/>
      <c r="AB16" s="1"/>
    </row>
    <row r="17" spans="3:34" x14ac:dyDescent="0.25">
      <c r="E17" s="1"/>
      <c r="F17" s="1"/>
      <c r="L17" s="12"/>
      <c r="N17" s="11"/>
      <c r="O17" s="21"/>
      <c r="P17" s="24"/>
      <c r="AB17" s="1"/>
      <c r="AE17" s="9"/>
      <c r="AH17" s="22"/>
    </row>
    <row r="18" spans="3:34" x14ac:dyDescent="0.25">
      <c r="E18" s="1"/>
      <c r="F18" s="1"/>
      <c r="L18" s="12"/>
      <c r="N18" s="11"/>
      <c r="O18" s="21"/>
      <c r="P18" s="24"/>
      <c r="AB18" s="1"/>
      <c r="AE18" s="9"/>
      <c r="AH18" s="22"/>
    </row>
    <row r="19" spans="3:34" x14ac:dyDescent="0.25">
      <c r="E19" s="1"/>
      <c r="F19" s="1"/>
      <c r="L19" s="12"/>
      <c r="N19" s="4"/>
      <c r="AB19" s="1"/>
      <c r="AE19" s="9"/>
      <c r="AH19" s="22"/>
    </row>
    <row r="20" spans="3:34" x14ac:dyDescent="0.25">
      <c r="E20" s="1"/>
      <c r="F20" s="1"/>
      <c r="L20" s="12"/>
      <c r="N20" s="4"/>
      <c r="AB20" s="1"/>
    </row>
    <row r="21" spans="3:34" x14ac:dyDescent="0.25">
      <c r="E21" s="2"/>
      <c r="F21" s="1"/>
      <c r="L21" s="12"/>
      <c r="N21" s="4"/>
    </row>
    <row r="22" spans="3:34" x14ac:dyDescent="0.25">
      <c r="E22" s="2"/>
      <c r="F22" s="1"/>
      <c r="L22" s="12"/>
      <c r="N22" s="4"/>
    </row>
    <row r="23" spans="3:34" x14ac:dyDescent="0.25">
      <c r="E23" s="2"/>
      <c r="F23" s="1"/>
      <c r="L23" s="12"/>
      <c r="N23" s="4"/>
    </row>
    <row r="24" spans="3:34" x14ac:dyDescent="0.25">
      <c r="E24" s="2"/>
      <c r="F24" s="1"/>
      <c r="L24" s="12"/>
      <c r="N24" s="4"/>
    </row>
    <row r="25" spans="3:34" x14ac:dyDescent="0.25">
      <c r="E25" s="2"/>
      <c r="F25" s="1"/>
      <c r="L25" s="12"/>
      <c r="N25" s="4"/>
    </row>
    <row r="26" spans="3:34" x14ac:dyDescent="0.25">
      <c r="E26" s="2"/>
      <c r="F26" s="1"/>
      <c r="L26" s="12"/>
      <c r="N26" s="4"/>
    </row>
    <row r="27" spans="3:34" x14ac:dyDescent="0.25">
      <c r="E27" s="3">
        <f>SUM(E5:E26)</f>
        <v>302136</v>
      </c>
      <c r="F27" s="3"/>
      <c r="K27" s="3">
        <f>SUM(K5:K26)</f>
        <v>205</v>
      </c>
      <c r="L27" s="12">
        <f t="shared" ref="L27" si="0">IFERROR(P27/K27, 0)</f>
        <v>7.8536585365853657</v>
      </c>
      <c r="P27" s="3">
        <f>SUM(P5:P26)</f>
        <v>1610</v>
      </c>
      <c r="U27" s="3">
        <f>SUM(U5:U26)</f>
        <v>167942</v>
      </c>
      <c r="V27" s="3"/>
      <c r="AB27" s="3">
        <f>SUM(AB5:AB26)</f>
        <v>128104</v>
      </c>
      <c r="AH27" s="3">
        <f>SUM(AH5:AH26)</f>
        <v>5885</v>
      </c>
    </row>
    <row r="31" spans="3:34" x14ac:dyDescent="0.25">
      <c r="C31" s="6" t="s">
        <v>40</v>
      </c>
      <c r="D31" s="1">
        <f>E27</f>
        <v>302136</v>
      </c>
      <c r="G31" s="19"/>
    </row>
    <row r="32" spans="3:34" x14ac:dyDescent="0.25">
      <c r="C32" s="6" t="s">
        <v>41</v>
      </c>
      <c r="D32" s="13">
        <f>K27</f>
        <v>205</v>
      </c>
      <c r="E32" s="12">
        <f>L27</f>
        <v>7.8536585365853657</v>
      </c>
      <c r="F32" s="12">
        <f>P27</f>
        <v>1610</v>
      </c>
      <c r="G32" s="19" t="s">
        <v>449</v>
      </c>
    </row>
    <row r="33" spans="3:7" x14ac:dyDescent="0.25">
      <c r="C33" s="6" t="s">
        <v>242</v>
      </c>
      <c r="D33" s="37">
        <f>U27</f>
        <v>167942</v>
      </c>
      <c r="G33" s="19" t="s">
        <v>543</v>
      </c>
    </row>
    <row r="34" spans="3:7" x14ac:dyDescent="0.25">
      <c r="C34" s="6" t="s">
        <v>260</v>
      </c>
      <c r="D34" s="7">
        <f>AH27</f>
        <v>5885</v>
      </c>
      <c r="G34" s="19" t="s">
        <v>543</v>
      </c>
    </row>
    <row r="35" spans="3:7" x14ac:dyDescent="0.25">
      <c r="C35" s="6" t="s">
        <v>352</v>
      </c>
      <c r="D35" s="13">
        <f>D31 - SUM(D32:D34)</f>
        <v>128104</v>
      </c>
      <c r="G35" s="19" t="s">
        <v>543</v>
      </c>
    </row>
    <row r="36" spans="3:7" x14ac:dyDescent="0.25">
      <c r="C36" s="6" t="s">
        <v>351</v>
      </c>
      <c r="D36" s="13">
        <f>D35 - AB27</f>
        <v>0</v>
      </c>
    </row>
    <row r="37" spans="3:7" x14ac:dyDescent="0.25">
      <c r="C37" s="6"/>
      <c r="D37" s="1"/>
      <c r="G37" s="19"/>
    </row>
    <row r="38" spans="3:7" x14ac:dyDescent="0.25">
      <c r="C38" s="36" t="s">
        <v>537</v>
      </c>
      <c r="D38" s="28">
        <v>2019</v>
      </c>
    </row>
    <row r="39" spans="3:7" x14ac:dyDescent="0.25">
      <c r="C39" s="6" t="s">
        <v>246</v>
      </c>
      <c r="D39" s="38">
        <f>SUMIF($V$5:$V$26, D38, $U$5:$U$26)</f>
        <v>167942</v>
      </c>
    </row>
    <row r="40" spans="3:7" x14ac:dyDescent="0.25">
      <c r="C40" s="6" t="s">
        <v>245</v>
      </c>
      <c r="D40" s="16">
        <v>1.2</v>
      </c>
    </row>
    <row r="41" spans="3:7" x14ac:dyDescent="0.25">
      <c r="C41" s="6" t="s">
        <v>247</v>
      </c>
      <c r="D41" s="1">
        <f>ROUNDDOWN(D39*D40, 0)</f>
        <v>201530</v>
      </c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autoPageBreaks="0" fitToPage="1"/>
  </sheetPr>
  <dimension ref="A1:AL41"/>
  <sheetViews>
    <sheetView showGridLines="0" tabSelected="1" zoomScaleNormal="100" workbookViewId="0">
      <selection activeCell="D39" sqref="D39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8.5703125" bestFit="1" customWidth="1"/>
    <col min="12" max="12" width="10.7109375" customWidth="1"/>
    <col min="13" max="13" width="30.28515625" bestFit="1" customWidth="1"/>
    <col min="14" max="14" width="11.5703125" bestFit="1" customWidth="1"/>
    <col min="18" max="18" width="28.7109375" bestFit="1" customWidth="1"/>
    <col min="25" max="25" width="28.7109375" bestFit="1" customWidth="1"/>
    <col min="31" max="31" width="28.7109375" bestFit="1" customWidth="1"/>
  </cols>
  <sheetData>
    <row r="1" spans="1:38" ht="18.75" x14ac:dyDescent="0.3">
      <c r="A1" s="8">
        <v>2020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350</v>
      </c>
    </row>
    <row r="4" spans="1:38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542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1</v>
      </c>
      <c r="B5" t="s">
        <v>3</v>
      </c>
      <c r="C5" s="2">
        <v>43861</v>
      </c>
      <c r="D5" s="1">
        <v>4269</v>
      </c>
      <c r="F5">
        <v>2020</v>
      </c>
      <c r="G5">
        <v>1</v>
      </c>
      <c r="H5" t="s">
        <v>0</v>
      </c>
      <c r="I5">
        <v>18802</v>
      </c>
      <c r="J5" s="24">
        <v>4.25</v>
      </c>
      <c r="K5" t="s">
        <v>476</v>
      </c>
      <c r="L5" s="11">
        <v>44147.642881944441</v>
      </c>
      <c r="M5" t="s">
        <v>485</v>
      </c>
      <c r="N5" s="35">
        <f>PRODUCT(I5:J5)</f>
        <v>79908.5</v>
      </c>
      <c r="V5" t="s">
        <v>1</v>
      </c>
      <c r="W5">
        <v>1</v>
      </c>
      <c r="X5">
        <v>2020</v>
      </c>
      <c r="Y5" t="s">
        <v>436</v>
      </c>
      <c r="Z5" s="20">
        <v>1747</v>
      </c>
      <c r="AB5" t="s">
        <v>1</v>
      </c>
      <c r="AC5">
        <v>4</v>
      </c>
      <c r="AD5">
        <v>2020</v>
      </c>
      <c r="AE5" t="s">
        <v>451</v>
      </c>
      <c r="AF5" s="20">
        <v>226</v>
      </c>
      <c r="AL5" s="20"/>
    </row>
    <row r="6" spans="1:38" x14ac:dyDescent="0.25">
      <c r="A6" t="s">
        <v>1</v>
      </c>
      <c r="B6" t="s">
        <v>3</v>
      </c>
      <c r="C6" s="2">
        <v>43890</v>
      </c>
      <c r="D6" s="1">
        <v>3457</v>
      </c>
      <c r="F6">
        <v>2020</v>
      </c>
      <c r="G6">
        <v>1</v>
      </c>
      <c r="H6" t="s">
        <v>0</v>
      </c>
      <c r="I6">
        <v>5000</v>
      </c>
      <c r="J6" s="24">
        <v>4</v>
      </c>
      <c r="K6" t="s">
        <v>477</v>
      </c>
      <c r="L6" s="11">
        <v>44168.448969907404</v>
      </c>
      <c r="M6" t="s">
        <v>438</v>
      </c>
      <c r="N6" s="35">
        <f t="shared" ref="N6:N13" si="0">PRODUCT(I6:J6)</f>
        <v>20000</v>
      </c>
      <c r="V6" t="s">
        <v>0</v>
      </c>
      <c r="W6">
        <v>2</v>
      </c>
      <c r="X6">
        <v>2020</v>
      </c>
      <c r="Y6" t="s">
        <v>528</v>
      </c>
      <c r="Z6" s="20">
        <v>13331</v>
      </c>
      <c r="AB6" t="s">
        <v>1</v>
      </c>
      <c r="AC6">
        <v>8</v>
      </c>
      <c r="AD6">
        <v>2020</v>
      </c>
      <c r="AE6" t="s">
        <v>486</v>
      </c>
      <c r="AF6" s="20">
        <v>160</v>
      </c>
      <c r="AL6" s="20"/>
    </row>
    <row r="7" spans="1:38" x14ac:dyDescent="0.25">
      <c r="A7" t="s">
        <v>1</v>
      </c>
      <c r="B7" t="s">
        <v>3</v>
      </c>
      <c r="C7" s="2">
        <v>43921</v>
      </c>
      <c r="D7" s="1">
        <v>3133</v>
      </c>
      <c r="F7">
        <v>2020</v>
      </c>
      <c r="G7">
        <v>7</v>
      </c>
      <c r="H7" t="s">
        <v>0</v>
      </c>
      <c r="I7">
        <v>10486</v>
      </c>
      <c r="J7" s="24">
        <f>64381.5/I7</f>
        <v>6.1397577722677852</v>
      </c>
      <c r="K7" t="s">
        <v>478</v>
      </c>
      <c r="L7">
        <v>44148.345034722224</v>
      </c>
      <c r="M7" t="s">
        <v>18</v>
      </c>
      <c r="N7" s="35">
        <f t="shared" si="0"/>
        <v>64381.499999999993</v>
      </c>
      <c r="V7" t="s">
        <v>1</v>
      </c>
      <c r="W7">
        <v>2</v>
      </c>
      <c r="X7">
        <v>2020</v>
      </c>
      <c r="Y7" t="s">
        <v>452</v>
      </c>
      <c r="Z7" s="20">
        <v>3457</v>
      </c>
      <c r="AB7" t="s">
        <v>1</v>
      </c>
      <c r="AC7">
        <v>9</v>
      </c>
      <c r="AD7">
        <v>2020</v>
      </c>
      <c r="AE7" t="s">
        <v>487</v>
      </c>
      <c r="AF7" s="20">
        <v>123</v>
      </c>
      <c r="AL7" s="20"/>
    </row>
    <row r="8" spans="1:38" x14ac:dyDescent="0.25">
      <c r="A8" t="s">
        <v>1</v>
      </c>
      <c r="B8" t="s">
        <v>3</v>
      </c>
      <c r="C8" s="2">
        <v>43951</v>
      </c>
      <c r="D8" s="1">
        <v>3209</v>
      </c>
      <c r="F8">
        <v>2020</v>
      </c>
      <c r="G8">
        <v>7</v>
      </c>
      <c r="H8" t="s">
        <v>1</v>
      </c>
      <c r="I8">
        <v>1489</v>
      </c>
      <c r="J8" s="24">
        <v>4.5</v>
      </c>
      <c r="K8" t="s">
        <v>479</v>
      </c>
      <c r="L8" s="11">
        <v>44148.345057870371</v>
      </c>
      <c r="M8" t="s">
        <v>18</v>
      </c>
      <c r="N8" s="35">
        <f t="shared" si="0"/>
        <v>6700.5</v>
      </c>
      <c r="V8" t="s">
        <v>0</v>
      </c>
      <c r="W8">
        <v>3</v>
      </c>
      <c r="X8">
        <v>2020</v>
      </c>
      <c r="Y8" t="s">
        <v>453</v>
      </c>
      <c r="Z8" s="20">
        <v>22062</v>
      </c>
      <c r="AB8" t="s">
        <v>1</v>
      </c>
      <c r="AC8">
        <v>1</v>
      </c>
      <c r="AD8">
        <v>2020</v>
      </c>
      <c r="AE8" t="s">
        <v>435</v>
      </c>
      <c r="AF8" s="20">
        <v>2522</v>
      </c>
      <c r="AL8" s="20"/>
    </row>
    <row r="9" spans="1:38" x14ac:dyDescent="0.25">
      <c r="A9" t="s">
        <v>1</v>
      </c>
      <c r="B9" t="s">
        <v>3</v>
      </c>
      <c r="C9" s="2">
        <v>44043</v>
      </c>
      <c r="D9" s="1">
        <v>1489</v>
      </c>
      <c r="F9">
        <v>2020</v>
      </c>
      <c r="G9">
        <v>8</v>
      </c>
      <c r="H9" t="s">
        <v>0</v>
      </c>
      <c r="I9">
        <v>8280</v>
      </c>
      <c r="J9" s="24">
        <f>74290.5/I9</f>
        <v>8.972282608695652</v>
      </c>
      <c r="K9" t="s">
        <v>480</v>
      </c>
      <c r="L9" s="11">
        <v>44174.304328703707</v>
      </c>
      <c r="M9" t="s">
        <v>18</v>
      </c>
      <c r="N9" s="35">
        <f t="shared" si="0"/>
        <v>74290.5</v>
      </c>
      <c r="V9" t="s">
        <v>1</v>
      </c>
      <c r="W9">
        <v>3</v>
      </c>
      <c r="X9">
        <v>2020</v>
      </c>
      <c r="Y9" t="s">
        <v>454</v>
      </c>
      <c r="Z9">
        <v>3123</v>
      </c>
      <c r="AB9" t="s">
        <v>1</v>
      </c>
      <c r="AC9">
        <v>3</v>
      </c>
      <c r="AD9">
        <v>2020</v>
      </c>
      <c r="AE9" t="s">
        <v>450</v>
      </c>
      <c r="AF9" s="20">
        <v>10</v>
      </c>
      <c r="AL9" s="20"/>
    </row>
    <row r="10" spans="1:38" x14ac:dyDescent="0.25">
      <c r="A10" t="s">
        <v>1</v>
      </c>
      <c r="B10" t="s">
        <v>3</v>
      </c>
      <c r="C10" s="2">
        <v>44074</v>
      </c>
      <c r="D10" s="1">
        <v>2900</v>
      </c>
      <c r="F10">
        <v>2020</v>
      </c>
      <c r="G10">
        <v>9</v>
      </c>
      <c r="H10" t="s">
        <v>0</v>
      </c>
      <c r="I10">
        <v>9431</v>
      </c>
      <c r="J10" s="24">
        <f>83097/I10</f>
        <v>8.8110486692821546</v>
      </c>
      <c r="K10" t="s">
        <v>481</v>
      </c>
      <c r="L10" s="11">
        <v>44204.269201388888</v>
      </c>
      <c r="M10" t="s">
        <v>18</v>
      </c>
      <c r="N10" s="35">
        <f t="shared" si="0"/>
        <v>83097</v>
      </c>
      <c r="V10" t="s">
        <v>0</v>
      </c>
      <c r="W10">
        <v>4</v>
      </c>
      <c r="X10">
        <v>2020</v>
      </c>
      <c r="Y10" t="s">
        <v>455</v>
      </c>
      <c r="Z10">
        <v>22597</v>
      </c>
      <c r="AF10" s="20"/>
      <c r="AL10" s="20"/>
    </row>
    <row r="11" spans="1:38" x14ac:dyDescent="0.25">
      <c r="A11" t="s">
        <v>1</v>
      </c>
      <c r="B11" t="s">
        <v>3</v>
      </c>
      <c r="C11" s="2">
        <v>44104</v>
      </c>
      <c r="D11" s="1">
        <v>3948</v>
      </c>
      <c r="F11">
        <v>2020</v>
      </c>
      <c r="G11">
        <v>10</v>
      </c>
      <c r="H11" t="s">
        <v>0</v>
      </c>
      <c r="I11">
        <v>10149</v>
      </c>
      <c r="J11" s="24">
        <f>88371/I11</f>
        <v>8.7073603310671004</v>
      </c>
      <c r="K11" t="s">
        <v>482</v>
      </c>
      <c r="L11">
        <v>44236.445185185185</v>
      </c>
      <c r="M11" t="s">
        <v>18</v>
      </c>
      <c r="N11" s="35">
        <f t="shared" si="0"/>
        <v>88371</v>
      </c>
      <c r="V11" t="s">
        <v>1</v>
      </c>
      <c r="W11">
        <v>4</v>
      </c>
      <c r="X11">
        <v>2020</v>
      </c>
      <c r="Y11" t="s">
        <v>456</v>
      </c>
      <c r="Z11">
        <v>2983</v>
      </c>
      <c r="AF11" s="20"/>
      <c r="AL11" s="20"/>
    </row>
    <row r="12" spans="1:38" x14ac:dyDescent="0.25">
      <c r="A12" t="s">
        <v>1</v>
      </c>
      <c r="B12" t="s">
        <v>3</v>
      </c>
      <c r="C12" s="2">
        <v>44135</v>
      </c>
      <c r="D12" s="1">
        <v>3970</v>
      </c>
      <c r="F12">
        <v>2020</v>
      </c>
      <c r="G12">
        <v>11</v>
      </c>
      <c r="H12" t="s">
        <v>0</v>
      </c>
      <c r="I12">
        <v>6643</v>
      </c>
      <c r="J12" s="24">
        <f>53311.5/I12</f>
        <v>8.0252145115158822</v>
      </c>
      <c r="K12" t="s">
        <v>483</v>
      </c>
      <c r="L12">
        <v>44266.342638888891</v>
      </c>
      <c r="M12" t="s">
        <v>18</v>
      </c>
      <c r="N12" s="35">
        <f t="shared" si="0"/>
        <v>53311.500000000007</v>
      </c>
      <c r="V12" t="s">
        <v>0</v>
      </c>
      <c r="W12">
        <v>8</v>
      </c>
      <c r="X12">
        <v>2020</v>
      </c>
      <c r="Y12" t="s">
        <v>489</v>
      </c>
      <c r="Z12">
        <v>12142</v>
      </c>
      <c r="AF12" s="20"/>
      <c r="AL12" s="20"/>
    </row>
    <row r="13" spans="1:38" x14ac:dyDescent="0.25">
      <c r="A13" t="s">
        <v>1</v>
      </c>
      <c r="B13" t="s">
        <v>3</v>
      </c>
      <c r="C13" s="2">
        <v>44165</v>
      </c>
      <c r="D13" s="1">
        <v>2540</v>
      </c>
      <c r="F13">
        <v>2020</v>
      </c>
      <c r="G13">
        <v>12</v>
      </c>
      <c r="H13" t="s">
        <v>0</v>
      </c>
      <c r="I13">
        <v>8305</v>
      </c>
      <c r="J13" s="24">
        <f>37372.5/I13</f>
        <v>4.5</v>
      </c>
      <c r="K13" t="s">
        <v>484</v>
      </c>
      <c r="L13" s="11">
        <v>44288.814074074071</v>
      </c>
      <c r="M13" t="s">
        <v>18</v>
      </c>
      <c r="N13" s="35">
        <f t="shared" si="0"/>
        <v>37372.5</v>
      </c>
      <c r="V13" t="s">
        <v>1</v>
      </c>
      <c r="W13">
        <v>8</v>
      </c>
      <c r="X13">
        <v>2020</v>
      </c>
      <c r="Y13" t="s">
        <v>491</v>
      </c>
      <c r="Z13" s="20">
        <v>2740</v>
      </c>
      <c r="AF13" s="20"/>
      <c r="AL13" s="20"/>
    </row>
    <row r="14" spans="1:38" x14ac:dyDescent="0.25">
      <c r="A14" t="s">
        <v>1</v>
      </c>
      <c r="B14" t="s">
        <v>3</v>
      </c>
      <c r="C14" s="2">
        <v>44196</v>
      </c>
      <c r="D14" s="1">
        <v>4066</v>
      </c>
      <c r="F14">
        <v>2020</v>
      </c>
      <c r="G14">
        <v>1</v>
      </c>
      <c r="H14" t="s">
        <v>0</v>
      </c>
      <c r="I14">
        <v>6257</v>
      </c>
      <c r="J14" s="24">
        <v>4</v>
      </c>
      <c r="K14" t="s">
        <v>488</v>
      </c>
      <c r="L14" s="11">
        <v>44321.591504629629</v>
      </c>
      <c r="M14" t="s">
        <v>191</v>
      </c>
      <c r="N14" s="35">
        <f t="shared" ref="N14:N15" si="1">PRODUCT(I14:J14)</f>
        <v>25028</v>
      </c>
      <c r="V14" t="s">
        <v>0</v>
      </c>
      <c r="W14">
        <v>9</v>
      </c>
      <c r="X14">
        <v>2020</v>
      </c>
      <c r="Y14" t="s">
        <v>490</v>
      </c>
      <c r="Z14" s="20">
        <v>18365</v>
      </c>
      <c r="AF14" s="20"/>
      <c r="AL14" s="20"/>
    </row>
    <row r="15" spans="1:38" x14ac:dyDescent="0.25">
      <c r="A15" t="s">
        <v>0</v>
      </c>
      <c r="B15" t="s">
        <v>2</v>
      </c>
      <c r="C15" s="2">
        <v>43861</v>
      </c>
      <c r="D15" s="1">
        <v>30059</v>
      </c>
      <c r="F15">
        <v>2020</v>
      </c>
      <c r="G15">
        <v>2</v>
      </c>
      <c r="H15" t="s">
        <v>0</v>
      </c>
      <c r="I15">
        <v>11012</v>
      </c>
      <c r="J15" s="24">
        <v>4</v>
      </c>
      <c r="K15" t="s">
        <v>527</v>
      </c>
      <c r="L15" s="11">
        <v>44321.591493055559</v>
      </c>
      <c r="M15" t="s">
        <v>191</v>
      </c>
      <c r="N15" s="35">
        <f t="shared" si="1"/>
        <v>44048</v>
      </c>
      <c r="V15" t="s">
        <v>1</v>
      </c>
      <c r="W15">
        <v>9</v>
      </c>
      <c r="X15">
        <v>2020</v>
      </c>
      <c r="Y15" t="s">
        <v>494</v>
      </c>
      <c r="Z15" s="20">
        <v>3825</v>
      </c>
      <c r="AF15" s="20"/>
      <c r="AL15" s="20"/>
    </row>
    <row r="16" spans="1:38" x14ac:dyDescent="0.25">
      <c r="A16" t="s">
        <v>0</v>
      </c>
      <c r="B16" t="s">
        <v>2</v>
      </c>
      <c r="C16" s="2">
        <v>43890</v>
      </c>
      <c r="D16" s="1">
        <v>24343</v>
      </c>
      <c r="I16" s="18"/>
      <c r="J16" s="26"/>
      <c r="L16" s="11"/>
      <c r="N16" s="24"/>
      <c r="V16" t="s">
        <v>0</v>
      </c>
      <c r="W16">
        <v>10</v>
      </c>
      <c r="X16">
        <v>2020</v>
      </c>
      <c r="Y16" t="s">
        <v>492</v>
      </c>
      <c r="Z16" s="20">
        <v>17810</v>
      </c>
      <c r="AF16" s="20"/>
      <c r="AL16" s="20"/>
    </row>
    <row r="17" spans="1:38" x14ac:dyDescent="0.25">
      <c r="A17" t="s">
        <v>0</v>
      </c>
      <c r="B17" s="15" t="s">
        <v>2</v>
      </c>
      <c r="C17" s="2">
        <v>43921</v>
      </c>
      <c r="D17" s="1">
        <v>22062</v>
      </c>
      <c r="I17" s="18"/>
      <c r="J17" s="26"/>
      <c r="L17" s="11"/>
      <c r="N17" s="24"/>
      <c r="V17" t="s">
        <v>1</v>
      </c>
      <c r="W17">
        <v>10</v>
      </c>
      <c r="X17">
        <v>2020</v>
      </c>
      <c r="Y17" t="s">
        <v>493</v>
      </c>
      <c r="Z17" s="20">
        <v>3970</v>
      </c>
      <c r="AF17" s="20"/>
      <c r="AL17" s="20"/>
    </row>
    <row r="18" spans="1:38" x14ac:dyDescent="0.25">
      <c r="A18" t="s">
        <v>0</v>
      </c>
      <c r="B18" s="15" t="s">
        <v>2</v>
      </c>
      <c r="C18" s="2">
        <v>43951</v>
      </c>
      <c r="D18" s="1">
        <v>22597</v>
      </c>
      <c r="I18" s="18"/>
      <c r="J18" s="26"/>
      <c r="L18" s="11"/>
      <c r="N18" s="24"/>
      <c r="V18" t="s">
        <v>0</v>
      </c>
      <c r="W18">
        <v>11</v>
      </c>
      <c r="X18">
        <v>2020</v>
      </c>
      <c r="Y18" t="s">
        <v>495</v>
      </c>
      <c r="Z18" s="20">
        <v>11240</v>
      </c>
      <c r="AF18" s="20"/>
      <c r="AL18" s="20"/>
    </row>
    <row r="19" spans="1:38" x14ac:dyDescent="0.25">
      <c r="A19" t="s">
        <v>0</v>
      </c>
      <c r="B19" t="s">
        <v>2</v>
      </c>
      <c r="C19" s="2">
        <v>44043</v>
      </c>
      <c r="D19" s="1">
        <v>10486</v>
      </c>
      <c r="L19" s="11"/>
      <c r="N19" s="24"/>
      <c r="V19" t="s">
        <v>1</v>
      </c>
      <c r="W19">
        <v>11</v>
      </c>
      <c r="X19">
        <v>2020</v>
      </c>
      <c r="Y19" t="s">
        <v>496</v>
      </c>
      <c r="Z19" s="20">
        <v>2540</v>
      </c>
      <c r="AF19" s="18"/>
      <c r="AL19" s="18"/>
    </row>
    <row r="20" spans="1:38" x14ac:dyDescent="0.25">
      <c r="A20" t="s">
        <v>0</v>
      </c>
      <c r="B20" t="s">
        <v>2</v>
      </c>
      <c r="C20" s="2">
        <v>44074</v>
      </c>
      <c r="D20" s="1">
        <v>20422</v>
      </c>
      <c r="L20" s="11"/>
      <c r="N20" s="24"/>
      <c r="V20" t="s">
        <v>0</v>
      </c>
      <c r="W20">
        <v>12</v>
      </c>
      <c r="X20">
        <v>2020</v>
      </c>
      <c r="Y20" t="s">
        <v>497</v>
      </c>
      <c r="Z20" s="20">
        <v>20326</v>
      </c>
    </row>
    <row r="21" spans="1:38" x14ac:dyDescent="0.25">
      <c r="A21" t="s">
        <v>0</v>
      </c>
      <c r="B21" t="s">
        <v>2</v>
      </c>
      <c r="C21" s="2">
        <v>44104</v>
      </c>
      <c r="D21" s="1">
        <v>27796</v>
      </c>
      <c r="L21" s="11"/>
      <c r="N21" s="24"/>
      <c r="V21" t="s">
        <v>1</v>
      </c>
      <c r="W21">
        <v>12</v>
      </c>
      <c r="X21">
        <v>2020</v>
      </c>
      <c r="Y21" t="s">
        <v>498</v>
      </c>
      <c r="Z21" s="20">
        <v>4066</v>
      </c>
    </row>
    <row r="22" spans="1:38" x14ac:dyDescent="0.25">
      <c r="A22" t="s">
        <v>0</v>
      </c>
      <c r="B22" t="s">
        <v>2</v>
      </c>
      <c r="C22" s="2">
        <v>44135</v>
      </c>
      <c r="D22" s="1">
        <v>27959</v>
      </c>
      <c r="L22" s="11"/>
      <c r="N22" s="12"/>
      <c r="Z22" s="20"/>
    </row>
    <row r="23" spans="1:38" x14ac:dyDescent="0.25">
      <c r="A23" t="s">
        <v>0</v>
      </c>
      <c r="B23" t="s">
        <v>2</v>
      </c>
      <c r="C23" s="2">
        <v>44165</v>
      </c>
      <c r="D23" s="1">
        <v>17883</v>
      </c>
      <c r="J23" s="12"/>
      <c r="L23" s="11"/>
      <c r="N23" s="12"/>
      <c r="Z23" s="20"/>
    </row>
    <row r="24" spans="1:38" x14ac:dyDescent="0.25">
      <c r="A24" t="s">
        <v>0</v>
      </c>
      <c r="B24" t="s">
        <v>2</v>
      </c>
      <c r="C24" s="2">
        <v>44196</v>
      </c>
      <c r="D24" s="1">
        <v>28631</v>
      </c>
      <c r="J24" s="12"/>
      <c r="L24" s="11"/>
      <c r="Z24" s="20"/>
    </row>
    <row r="25" spans="1:38" x14ac:dyDescent="0.25">
      <c r="C25" s="2"/>
      <c r="D25" s="1"/>
      <c r="J25" s="12"/>
      <c r="L25" s="4"/>
    </row>
    <row r="26" spans="1:38" x14ac:dyDescent="0.25">
      <c r="C26" s="2"/>
      <c r="D26" s="1"/>
      <c r="J26" s="12"/>
    </row>
    <row r="27" spans="1:38" x14ac:dyDescent="0.25">
      <c r="C27" s="2"/>
      <c r="D27" s="1"/>
      <c r="J27" s="12"/>
    </row>
    <row r="28" spans="1:38" x14ac:dyDescent="0.25">
      <c r="C28" s="2"/>
      <c r="D28" s="1"/>
    </row>
    <row r="29" spans="1:38" x14ac:dyDescent="0.25">
      <c r="D29" s="3">
        <f>SUM(D5:D28)</f>
        <v>265219</v>
      </c>
      <c r="I29" s="3">
        <f>SUM(I5:I28)</f>
        <v>95854</v>
      </c>
      <c r="J29" s="12">
        <f>IFERROR(N29/I29, 0)</f>
        <v>6.0144490579422873</v>
      </c>
      <c r="N29" s="3">
        <f>SUM(N5:N28)</f>
        <v>576509</v>
      </c>
      <c r="S29" s="3">
        <f>SUM(S5:S28)</f>
        <v>0</v>
      </c>
      <c r="T29" s="3"/>
      <c r="Z29" s="3">
        <f>SUM(Z5:Z28)</f>
        <v>166324</v>
      </c>
      <c r="AF29" s="3">
        <f>SUM(AF5:AF28)</f>
        <v>3041</v>
      </c>
      <c r="AL29" s="3">
        <f>SUM(AL5:AL28)</f>
        <v>0</v>
      </c>
    </row>
    <row r="33" spans="3:7" x14ac:dyDescent="0.25">
      <c r="C33" s="6" t="s">
        <v>40</v>
      </c>
      <c r="D33" s="1">
        <f>D29</f>
        <v>265219</v>
      </c>
      <c r="G33" s="19" t="s">
        <v>474</v>
      </c>
    </row>
    <row r="34" spans="3:7" x14ac:dyDescent="0.25">
      <c r="C34" s="6" t="s">
        <v>41</v>
      </c>
      <c r="D34" s="13">
        <f>I29</f>
        <v>95854</v>
      </c>
      <c r="E34" s="12">
        <f>J29</f>
        <v>6.0144490579422873</v>
      </c>
      <c r="F34" s="12">
        <f>D34 * E34</f>
        <v>576509</v>
      </c>
      <c r="G34" s="19" t="s">
        <v>526</v>
      </c>
    </row>
    <row r="35" spans="3:7" x14ac:dyDescent="0.25">
      <c r="C35" s="6" t="s">
        <v>242</v>
      </c>
      <c r="D35" s="13">
        <f>S29</f>
        <v>0</v>
      </c>
    </row>
    <row r="36" spans="3:7" x14ac:dyDescent="0.25">
      <c r="C36" s="6" t="s">
        <v>260</v>
      </c>
      <c r="D36" s="13">
        <f>AF29</f>
        <v>3041</v>
      </c>
      <c r="G36" s="19" t="s">
        <v>543</v>
      </c>
    </row>
    <row r="37" spans="3:7" x14ac:dyDescent="0.25">
      <c r="C37" s="6" t="s">
        <v>350</v>
      </c>
      <c r="D37" s="13">
        <f>AL29</f>
        <v>0</v>
      </c>
      <c r="G37" s="19"/>
    </row>
    <row r="38" spans="3:7" x14ac:dyDescent="0.25">
      <c r="C38" s="6"/>
      <c r="D38" s="13"/>
      <c r="G38" s="19"/>
    </row>
    <row r="39" spans="3:7" x14ac:dyDescent="0.25">
      <c r="C39" s="6" t="s">
        <v>291</v>
      </c>
      <c r="D39" s="13">
        <f>D33 - D34 - D35 - D36 - D37</f>
        <v>166324</v>
      </c>
      <c r="E39" t="s">
        <v>437</v>
      </c>
      <c r="G39" s="19"/>
    </row>
    <row r="40" spans="3:7" x14ac:dyDescent="0.25">
      <c r="C40" s="6" t="s">
        <v>290</v>
      </c>
      <c r="D40" s="1">
        <f>D39 + D37</f>
        <v>166324</v>
      </c>
      <c r="G40" s="19" t="s">
        <v>543</v>
      </c>
    </row>
    <row r="41" spans="3:7" x14ac:dyDescent="0.25">
      <c r="C41" s="6" t="s">
        <v>351</v>
      </c>
      <c r="D41" s="1">
        <f>D40 - Z29</f>
        <v>0</v>
      </c>
    </row>
  </sheetData>
  <pageMargins left="0.2" right="0.2" top="0.75" bottom="0.75" header="0.3" footer="0.3"/>
  <pageSetup scale="57" orientation="landscape" r:id="rId1"/>
  <headerFoot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autoPageBreaks="0" fitToPage="1"/>
  </sheetPr>
  <dimension ref="A1:AH40"/>
  <sheetViews>
    <sheetView showGridLines="0" zoomScaleNormal="100" workbookViewId="0">
      <selection activeCell="G37" sqref="G37"/>
    </sheetView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5.28515625" bestFit="1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2020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2020</v>
      </c>
      <c r="B5">
        <v>1</v>
      </c>
      <c r="C5" s="2" t="s">
        <v>66</v>
      </c>
      <c r="D5" s="1" t="s">
        <v>67</v>
      </c>
      <c r="E5" s="1">
        <v>53159</v>
      </c>
      <c r="F5" s="1" t="s">
        <v>434</v>
      </c>
      <c r="H5">
        <v>2020</v>
      </c>
      <c r="I5">
        <v>7</v>
      </c>
      <c r="J5" t="s">
        <v>66</v>
      </c>
      <c r="K5" s="1">
        <v>42</v>
      </c>
      <c r="L5" s="12">
        <v>5</v>
      </c>
      <c r="M5" t="s">
        <v>510</v>
      </c>
      <c r="N5" s="11">
        <v>44417.54246527778</v>
      </c>
      <c r="O5" s="21" t="s">
        <v>191</v>
      </c>
      <c r="P5" s="39">
        <f>PRODUCT(K5:L5)</f>
        <v>210</v>
      </c>
      <c r="X5" t="s">
        <v>66</v>
      </c>
      <c r="Y5">
        <v>1</v>
      </c>
      <c r="Z5">
        <v>2020</v>
      </c>
      <c r="AA5" t="s">
        <v>466</v>
      </c>
      <c r="AB5">
        <v>23</v>
      </c>
      <c r="AD5" t="s">
        <v>66</v>
      </c>
      <c r="AE5">
        <v>3</v>
      </c>
      <c r="AF5">
        <v>2020</v>
      </c>
      <c r="AG5" t="s">
        <v>468</v>
      </c>
      <c r="AH5">
        <v>344</v>
      </c>
    </row>
    <row r="6" spans="1:34" x14ac:dyDescent="0.25">
      <c r="A6">
        <v>2020</v>
      </c>
      <c r="B6">
        <v>2</v>
      </c>
      <c r="C6" s="2" t="s">
        <v>66</v>
      </c>
      <c r="D6" s="1" t="s">
        <v>67</v>
      </c>
      <c r="E6" s="1">
        <v>34444</v>
      </c>
      <c r="F6" s="1" t="s">
        <v>470</v>
      </c>
      <c r="H6">
        <v>2020</v>
      </c>
      <c r="I6">
        <v>7</v>
      </c>
      <c r="J6" t="s">
        <v>66</v>
      </c>
      <c r="K6" s="1">
        <v>22337</v>
      </c>
      <c r="L6" s="12">
        <v>5</v>
      </c>
      <c r="M6" t="s">
        <v>511</v>
      </c>
      <c r="N6" s="11">
        <v>44417.54246527778</v>
      </c>
      <c r="O6" s="21" t="s">
        <v>191</v>
      </c>
      <c r="P6" s="39">
        <f t="shared" ref="P6:P7" si="0">PRODUCT(K6:L6)</f>
        <v>111685</v>
      </c>
      <c r="X6" t="s">
        <v>66</v>
      </c>
      <c r="Y6">
        <v>1</v>
      </c>
      <c r="Z6">
        <v>2020</v>
      </c>
      <c r="AA6" t="s">
        <v>469</v>
      </c>
      <c r="AB6">
        <v>51470</v>
      </c>
      <c r="AD6" t="s">
        <v>66</v>
      </c>
      <c r="AE6">
        <v>6</v>
      </c>
      <c r="AF6">
        <v>2020</v>
      </c>
      <c r="AG6" t="s">
        <v>519</v>
      </c>
      <c r="AH6">
        <v>90</v>
      </c>
    </row>
    <row r="7" spans="1:34" x14ac:dyDescent="0.25">
      <c r="A7">
        <v>2020</v>
      </c>
      <c r="B7">
        <v>3</v>
      </c>
      <c r="C7" t="s">
        <v>66</v>
      </c>
      <c r="D7" s="1" t="s">
        <v>67</v>
      </c>
      <c r="E7" s="1">
        <v>38364</v>
      </c>
      <c r="F7" s="1" t="s">
        <v>473</v>
      </c>
      <c r="H7">
        <v>2020</v>
      </c>
      <c r="I7">
        <v>8</v>
      </c>
      <c r="J7" t="s">
        <v>66</v>
      </c>
      <c r="K7" s="1">
        <v>14778</v>
      </c>
      <c r="L7" s="12">
        <v>5</v>
      </c>
      <c r="M7" t="s">
        <v>545</v>
      </c>
      <c r="N7" s="11">
        <v>44417.54247685185</v>
      </c>
      <c r="O7" s="21" t="s">
        <v>191</v>
      </c>
      <c r="P7" s="39">
        <f t="shared" si="0"/>
        <v>73890</v>
      </c>
      <c r="X7" t="s">
        <v>66</v>
      </c>
      <c r="Y7">
        <v>2</v>
      </c>
      <c r="Z7">
        <v>2020</v>
      </c>
      <c r="AA7" t="s">
        <v>470</v>
      </c>
      <c r="AB7">
        <v>34444</v>
      </c>
      <c r="AD7" t="s">
        <v>66</v>
      </c>
      <c r="AE7">
        <v>7</v>
      </c>
      <c r="AF7">
        <v>2020</v>
      </c>
      <c r="AG7" t="s">
        <v>520</v>
      </c>
      <c r="AH7">
        <v>648</v>
      </c>
    </row>
    <row r="8" spans="1:34" x14ac:dyDescent="0.25">
      <c r="A8">
        <v>2020</v>
      </c>
      <c r="B8">
        <v>4</v>
      </c>
      <c r="C8" t="s">
        <v>66</v>
      </c>
      <c r="D8" s="1" t="s">
        <v>67</v>
      </c>
      <c r="E8" s="1">
        <v>30138</v>
      </c>
      <c r="F8" s="1" t="s">
        <v>472</v>
      </c>
      <c r="K8" s="18"/>
      <c r="L8" s="12"/>
      <c r="N8" s="11"/>
      <c r="O8" s="21"/>
      <c r="P8" s="24"/>
      <c r="X8" t="s">
        <v>66</v>
      </c>
      <c r="Y8">
        <v>3</v>
      </c>
      <c r="Z8">
        <v>2020</v>
      </c>
      <c r="AA8" t="s">
        <v>467</v>
      </c>
      <c r="AB8">
        <v>4</v>
      </c>
      <c r="AD8" t="s">
        <v>66</v>
      </c>
      <c r="AE8">
        <v>8</v>
      </c>
      <c r="AF8">
        <v>2020</v>
      </c>
      <c r="AG8" t="s">
        <v>521</v>
      </c>
      <c r="AH8">
        <v>951</v>
      </c>
    </row>
    <row r="9" spans="1:34" x14ac:dyDescent="0.25">
      <c r="A9">
        <v>2020</v>
      </c>
      <c r="B9">
        <v>5</v>
      </c>
      <c r="C9" t="s">
        <v>66</v>
      </c>
      <c r="D9" s="1" t="s">
        <v>67</v>
      </c>
      <c r="E9" s="1">
        <v>25633</v>
      </c>
      <c r="F9" s="1" t="s">
        <v>500</v>
      </c>
      <c r="K9" s="18"/>
      <c r="L9" s="12"/>
      <c r="N9" s="11"/>
      <c r="O9" s="21"/>
      <c r="P9" s="24"/>
      <c r="X9" t="s">
        <v>66</v>
      </c>
      <c r="Y9">
        <v>3</v>
      </c>
      <c r="Z9">
        <v>2020</v>
      </c>
      <c r="AA9" t="s">
        <v>471</v>
      </c>
      <c r="AB9">
        <v>38016</v>
      </c>
      <c r="AD9" t="s">
        <v>66</v>
      </c>
      <c r="AE9">
        <v>9</v>
      </c>
      <c r="AF9">
        <v>2020</v>
      </c>
      <c r="AG9" t="s">
        <v>522</v>
      </c>
      <c r="AH9">
        <v>485</v>
      </c>
    </row>
    <row r="10" spans="1:34" x14ac:dyDescent="0.25">
      <c r="A10">
        <v>2020</v>
      </c>
      <c r="B10">
        <v>6</v>
      </c>
      <c r="C10" t="s">
        <v>66</v>
      </c>
      <c r="D10" s="1" t="s">
        <v>67</v>
      </c>
      <c r="E10" s="1">
        <v>22787</v>
      </c>
      <c r="F10" s="1" t="s">
        <v>501</v>
      </c>
      <c r="K10" s="18"/>
      <c r="L10" s="12"/>
      <c r="N10" s="11"/>
      <c r="O10" s="21"/>
      <c r="P10" s="24"/>
      <c r="X10" t="s">
        <v>66</v>
      </c>
      <c r="Y10">
        <v>4</v>
      </c>
      <c r="Z10">
        <v>2020</v>
      </c>
      <c r="AA10" t="s">
        <v>472</v>
      </c>
      <c r="AB10">
        <v>30138</v>
      </c>
      <c r="AD10" t="s">
        <v>66</v>
      </c>
      <c r="AE10">
        <v>11</v>
      </c>
      <c r="AF10">
        <v>2020</v>
      </c>
      <c r="AG10" t="s">
        <v>523</v>
      </c>
      <c r="AH10">
        <v>721</v>
      </c>
    </row>
    <row r="11" spans="1:34" x14ac:dyDescent="0.25">
      <c r="A11">
        <v>2020</v>
      </c>
      <c r="B11">
        <v>7</v>
      </c>
      <c r="C11" t="s">
        <v>66</v>
      </c>
      <c r="D11" s="1" t="s">
        <v>67</v>
      </c>
      <c r="E11" s="1">
        <v>23027</v>
      </c>
      <c r="F11" s="1" t="s">
        <v>502</v>
      </c>
      <c r="K11" s="18"/>
      <c r="N11" s="11"/>
      <c r="O11" s="21"/>
      <c r="P11" s="24"/>
      <c r="X11" t="s">
        <v>66</v>
      </c>
      <c r="Y11">
        <v>5</v>
      </c>
      <c r="Z11">
        <v>2020</v>
      </c>
      <c r="AA11" t="s">
        <v>500</v>
      </c>
      <c r="AB11">
        <v>25633</v>
      </c>
      <c r="AD11" t="s">
        <v>66</v>
      </c>
      <c r="AE11">
        <v>12</v>
      </c>
      <c r="AF11">
        <v>2020</v>
      </c>
      <c r="AG11" t="s">
        <v>524</v>
      </c>
      <c r="AH11">
        <v>903</v>
      </c>
    </row>
    <row r="12" spans="1:34" x14ac:dyDescent="0.25">
      <c r="A12">
        <v>2020</v>
      </c>
      <c r="B12">
        <v>8</v>
      </c>
      <c r="C12" t="s">
        <v>66</v>
      </c>
      <c r="D12" s="1" t="s">
        <v>67</v>
      </c>
      <c r="E12" s="1">
        <v>17332</v>
      </c>
      <c r="F12" s="1" t="s">
        <v>503</v>
      </c>
      <c r="K12" s="18"/>
      <c r="N12" s="11"/>
      <c r="O12" s="21"/>
      <c r="P12" s="24"/>
      <c r="X12" t="s">
        <v>66</v>
      </c>
      <c r="Y12">
        <v>6</v>
      </c>
      <c r="Z12">
        <v>2020</v>
      </c>
      <c r="AA12" t="s">
        <v>509</v>
      </c>
      <c r="AB12" s="20">
        <v>30</v>
      </c>
      <c r="AD12" t="s">
        <v>66</v>
      </c>
      <c r="AE12">
        <v>10</v>
      </c>
      <c r="AF12">
        <v>2020</v>
      </c>
      <c r="AG12" t="s">
        <v>525</v>
      </c>
      <c r="AH12">
        <v>671</v>
      </c>
    </row>
    <row r="13" spans="1:34" x14ac:dyDescent="0.25">
      <c r="A13">
        <v>2020</v>
      </c>
      <c r="B13">
        <v>9</v>
      </c>
      <c r="C13" t="s">
        <v>66</v>
      </c>
      <c r="D13" s="1" t="s">
        <v>67</v>
      </c>
      <c r="E13" s="1">
        <v>19258</v>
      </c>
      <c r="F13" s="1" t="s">
        <v>504</v>
      </c>
      <c r="K13" s="18"/>
      <c r="L13" s="12"/>
      <c r="N13" s="11"/>
      <c r="O13" s="21"/>
      <c r="P13" s="24"/>
      <c r="X13" t="s">
        <v>66</v>
      </c>
      <c r="Y13">
        <v>6</v>
      </c>
      <c r="Z13">
        <v>2020</v>
      </c>
      <c r="AA13" t="s">
        <v>508</v>
      </c>
      <c r="AB13" s="20">
        <v>22667</v>
      </c>
      <c r="AD13" t="s">
        <v>66</v>
      </c>
      <c r="AE13">
        <v>1</v>
      </c>
      <c r="AF13">
        <v>2020</v>
      </c>
      <c r="AG13" t="s">
        <v>439</v>
      </c>
      <c r="AH13">
        <v>1666</v>
      </c>
    </row>
    <row r="14" spans="1:34" x14ac:dyDescent="0.25">
      <c r="A14">
        <v>2020</v>
      </c>
      <c r="B14">
        <v>10</v>
      </c>
      <c r="C14" s="15" t="s">
        <v>66</v>
      </c>
      <c r="D14" s="23" t="s">
        <v>67</v>
      </c>
      <c r="E14" s="1">
        <v>32483</v>
      </c>
      <c r="F14" s="1" t="s">
        <v>505</v>
      </c>
      <c r="K14" s="18"/>
      <c r="L14" s="12"/>
      <c r="N14" s="11"/>
      <c r="O14" s="21"/>
      <c r="P14" s="24"/>
      <c r="X14" t="s">
        <v>66</v>
      </c>
      <c r="Y14">
        <v>8</v>
      </c>
      <c r="Z14">
        <v>2020</v>
      </c>
      <c r="AA14" t="s">
        <v>512</v>
      </c>
      <c r="AB14" s="20">
        <v>80</v>
      </c>
    </row>
    <row r="15" spans="1:34" x14ac:dyDescent="0.25">
      <c r="A15">
        <v>2020</v>
      </c>
      <c r="B15">
        <v>11</v>
      </c>
      <c r="C15" s="15" t="s">
        <v>66</v>
      </c>
      <c r="D15" s="23" t="s">
        <v>67</v>
      </c>
      <c r="E15" s="1">
        <v>42244</v>
      </c>
      <c r="F15" s="1" t="s">
        <v>506</v>
      </c>
      <c r="K15" s="18"/>
      <c r="L15" s="12"/>
      <c r="N15" s="11"/>
      <c r="O15" s="21"/>
      <c r="P15" s="24"/>
      <c r="X15" t="s">
        <v>66</v>
      </c>
      <c r="Y15">
        <v>8</v>
      </c>
      <c r="Z15">
        <v>2020</v>
      </c>
      <c r="AA15" t="s">
        <v>546</v>
      </c>
      <c r="AB15" s="20">
        <v>1523</v>
      </c>
    </row>
    <row r="16" spans="1:34" x14ac:dyDescent="0.25">
      <c r="A16">
        <v>2020</v>
      </c>
      <c r="B16">
        <v>12</v>
      </c>
      <c r="C16" t="s">
        <v>66</v>
      </c>
      <c r="D16" s="1" t="s">
        <v>67</v>
      </c>
      <c r="E16" s="1">
        <v>31273</v>
      </c>
      <c r="F16" s="1" t="s">
        <v>507</v>
      </c>
      <c r="K16" s="18"/>
      <c r="L16" s="12"/>
      <c r="N16" s="11"/>
      <c r="O16" s="21"/>
      <c r="P16" s="24"/>
      <c r="X16" t="s">
        <v>66</v>
      </c>
      <c r="Y16">
        <v>9</v>
      </c>
      <c r="Z16">
        <v>2020</v>
      </c>
      <c r="AA16" t="s">
        <v>513</v>
      </c>
      <c r="AB16" s="20">
        <v>18773</v>
      </c>
    </row>
    <row r="17" spans="1:34" x14ac:dyDescent="0.25">
      <c r="A17" s="1"/>
      <c r="B17" s="1"/>
      <c r="C17" s="1"/>
      <c r="D17" s="1"/>
      <c r="E17" s="1"/>
      <c r="F17" s="1"/>
      <c r="K17" s="18"/>
      <c r="L17" s="12"/>
      <c r="N17" s="11"/>
      <c r="O17" s="21"/>
      <c r="P17" s="24"/>
      <c r="X17" t="s">
        <v>66</v>
      </c>
      <c r="Y17">
        <v>10</v>
      </c>
      <c r="Z17">
        <v>2020</v>
      </c>
      <c r="AA17" t="s">
        <v>515</v>
      </c>
      <c r="AB17" s="20">
        <v>42</v>
      </c>
      <c r="AE17" s="9"/>
      <c r="AH17" s="22"/>
    </row>
    <row r="18" spans="1:34" x14ac:dyDescent="0.25">
      <c r="A18" s="1"/>
      <c r="B18" s="1"/>
      <c r="C18" s="1"/>
      <c r="D18" s="1"/>
      <c r="E18" s="1"/>
      <c r="F18" s="1"/>
      <c r="K18" s="18"/>
      <c r="L18" s="12"/>
      <c r="N18" s="11"/>
      <c r="O18" s="21"/>
      <c r="P18" s="24"/>
      <c r="X18" t="s">
        <v>66</v>
      </c>
      <c r="Y18">
        <v>10</v>
      </c>
      <c r="Z18">
        <v>2020</v>
      </c>
      <c r="AA18" t="s">
        <v>516</v>
      </c>
      <c r="AB18" s="20">
        <v>31770</v>
      </c>
      <c r="AE18" s="9"/>
      <c r="AH18" s="22"/>
    </row>
    <row r="19" spans="1:34" x14ac:dyDescent="0.25">
      <c r="L19" s="12"/>
      <c r="N19" s="4"/>
      <c r="X19" t="s">
        <v>66</v>
      </c>
      <c r="Y19">
        <v>11</v>
      </c>
      <c r="Z19">
        <v>2020</v>
      </c>
      <c r="AA19" t="s">
        <v>514</v>
      </c>
      <c r="AB19" s="20">
        <v>41523</v>
      </c>
      <c r="AE19" s="9"/>
      <c r="AH19" s="22"/>
    </row>
    <row r="20" spans="1:34" x14ac:dyDescent="0.25">
      <c r="L20" s="12"/>
      <c r="N20" s="4"/>
      <c r="X20" t="s">
        <v>66</v>
      </c>
      <c r="Y20">
        <v>12</v>
      </c>
      <c r="Z20">
        <v>2020</v>
      </c>
      <c r="AA20" t="s">
        <v>518</v>
      </c>
      <c r="AB20" s="20">
        <v>30364</v>
      </c>
    </row>
    <row r="21" spans="1:34" x14ac:dyDescent="0.25">
      <c r="A21" s="1"/>
      <c r="B21" s="1"/>
      <c r="C21" s="1"/>
      <c r="D21" s="1"/>
      <c r="E21" s="1"/>
      <c r="F21" s="1"/>
      <c r="L21" s="12"/>
      <c r="N21" s="4"/>
      <c r="X21" t="s">
        <v>66</v>
      </c>
      <c r="Y21">
        <v>12</v>
      </c>
      <c r="Z21">
        <v>2020</v>
      </c>
      <c r="AA21" t="s">
        <v>517</v>
      </c>
      <c r="AB21">
        <v>6</v>
      </c>
    </row>
    <row r="22" spans="1:34" x14ac:dyDescent="0.25">
      <c r="A22" s="1"/>
      <c r="B22" s="1"/>
      <c r="C22" s="1"/>
      <c r="D22" s="1"/>
      <c r="E22" s="1"/>
      <c r="F22" s="1"/>
      <c r="L22" s="12"/>
      <c r="N22" s="4"/>
    </row>
    <row r="23" spans="1:34" x14ac:dyDescent="0.25">
      <c r="E23" s="2"/>
      <c r="F23" s="1"/>
      <c r="L23" s="12"/>
      <c r="N23" s="4"/>
    </row>
    <row r="24" spans="1:34" x14ac:dyDescent="0.25">
      <c r="E24" s="2"/>
      <c r="F24" s="1"/>
      <c r="L24" s="12"/>
      <c r="N24" s="4"/>
    </row>
    <row r="25" spans="1:34" x14ac:dyDescent="0.25">
      <c r="E25" s="2"/>
      <c r="F25" s="1"/>
      <c r="L25" s="12"/>
      <c r="N25" s="4"/>
    </row>
    <row r="26" spans="1:34" x14ac:dyDescent="0.25">
      <c r="E26" s="2"/>
      <c r="F26" s="1"/>
      <c r="L26" s="12"/>
      <c r="N26" s="4"/>
    </row>
    <row r="27" spans="1:34" x14ac:dyDescent="0.25">
      <c r="E27" s="2"/>
      <c r="F27" s="1"/>
      <c r="L27" s="12"/>
      <c r="N27" s="4"/>
    </row>
    <row r="28" spans="1:34" x14ac:dyDescent="0.25">
      <c r="E28" s="2"/>
      <c r="F28" s="1"/>
    </row>
    <row r="29" spans="1:34" x14ac:dyDescent="0.25">
      <c r="E29" s="3">
        <f>SUM(E5:E28)</f>
        <v>370142</v>
      </c>
      <c r="F29" s="3"/>
      <c r="K29" s="3">
        <f>SUM(K5:K28)</f>
        <v>37157</v>
      </c>
      <c r="L29" s="12">
        <f t="shared" ref="L29" si="1">IFERROR(P29/K29, 0)</f>
        <v>5</v>
      </c>
      <c r="P29" s="3">
        <f>SUM(P5:P28)</f>
        <v>185785</v>
      </c>
      <c r="U29" s="3">
        <f>SUM(U5:U28)</f>
        <v>0</v>
      </c>
      <c r="V29" s="3"/>
      <c r="AB29" s="3">
        <f>SUM(AB5:AB28)</f>
        <v>326506</v>
      </c>
      <c r="AH29" s="3">
        <f>SUM(AH5:AH28)</f>
        <v>6479</v>
      </c>
    </row>
    <row r="33" spans="3:7" x14ac:dyDescent="0.25">
      <c r="C33" s="6" t="s">
        <v>40</v>
      </c>
      <c r="D33" s="1">
        <f>E29</f>
        <v>370142</v>
      </c>
      <c r="G33" s="19" t="s">
        <v>474</v>
      </c>
    </row>
    <row r="34" spans="3:7" x14ac:dyDescent="0.25">
      <c r="C34" s="6" t="s">
        <v>41</v>
      </c>
      <c r="D34" s="13">
        <f>K29</f>
        <v>37157</v>
      </c>
      <c r="E34" s="12">
        <f>L29</f>
        <v>5</v>
      </c>
      <c r="F34" s="12">
        <f>P29</f>
        <v>185785</v>
      </c>
      <c r="G34" s="19"/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6479</v>
      </c>
      <c r="G36" s="19" t="s">
        <v>543</v>
      </c>
    </row>
    <row r="37" spans="3:7" x14ac:dyDescent="0.25">
      <c r="C37" s="6" t="s">
        <v>352</v>
      </c>
      <c r="D37" s="13">
        <f>D33 - SUM(D34:D36)</f>
        <v>326506</v>
      </c>
      <c r="E37" s="9" t="s">
        <v>440</v>
      </c>
      <c r="G37" s="19" t="s">
        <v>543</v>
      </c>
    </row>
    <row r="38" spans="3:7" x14ac:dyDescent="0.25">
      <c r="C38" s="6" t="s">
        <v>351</v>
      </c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A90D-42C1-491A-B7E8-81A02C3B36DF}">
  <sheetPr>
    <pageSetUpPr autoPageBreaks="0" fitToPage="1"/>
  </sheetPr>
  <dimension ref="A1:AH40"/>
  <sheetViews>
    <sheetView showGridLines="0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5.28515625" bestFit="1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2020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2020</v>
      </c>
      <c r="B5">
        <v>9</v>
      </c>
      <c r="C5" s="2" t="s">
        <v>623</v>
      </c>
      <c r="D5" s="1" t="s">
        <v>624</v>
      </c>
      <c r="E5" s="1">
        <v>397</v>
      </c>
      <c r="F5" s="1" t="s">
        <v>625</v>
      </c>
      <c r="K5" s="1"/>
      <c r="L5" s="12"/>
      <c r="N5" s="11"/>
      <c r="O5" s="21"/>
      <c r="P5" s="39">
        <f>PRODUCT(K5:L5)</f>
        <v>0</v>
      </c>
      <c r="X5" t="s">
        <v>623</v>
      </c>
      <c r="Y5">
        <v>9</v>
      </c>
      <c r="Z5">
        <v>2020</v>
      </c>
      <c r="AA5" t="s">
        <v>625</v>
      </c>
      <c r="AB5">
        <v>397</v>
      </c>
    </row>
    <row r="6" spans="1:34" x14ac:dyDescent="0.25">
      <c r="A6">
        <v>2020</v>
      </c>
      <c r="B6">
        <v>10</v>
      </c>
      <c r="C6" s="2" t="s">
        <v>623</v>
      </c>
      <c r="D6" s="1" t="s">
        <v>624</v>
      </c>
      <c r="E6" s="1">
        <v>4683</v>
      </c>
      <c r="F6" s="1" t="s">
        <v>626</v>
      </c>
      <c r="K6" s="1"/>
      <c r="L6" s="12"/>
      <c r="N6" s="11"/>
      <c r="O6" s="21"/>
      <c r="P6" s="39">
        <f t="shared" ref="P6:P7" si="0">PRODUCT(K6:L6)</f>
        <v>0</v>
      </c>
      <c r="X6" t="s">
        <v>623</v>
      </c>
      <c r="Y6">
        <v>10</v>
      </c>
      <c r="Z6">
        <v>2020</v>
      </c>
      <c r="AA6" t="s">
        <v>626</v>
      </c>
      <c r="AB6">
        <v>4683</v>
      </c>
    </row>
    <row r="7" spans="1:34" x14ac:dyDescent="0.25">
      <c r="A7">
        <v>2020</v>
      </c>
      <c r="B7">
        <v>11</v>
      </c>
      <c r="C7" t="s">
        <v>623</v>
      </c>
      <c r="D7" s="1" t="s">
        <v>624</v>
      </c>
      <c r="E7" s="1">
        <v>9379</v>
      </c>
      <c r="F7" s="1" t="s">
        <v>627</v>
      </c>
      <c r="K7" s="1"/>
      <c r="L7" s="12"/>
      <c r="N7" s="11"/>
      <c r="O7" s="21"/>
      <c r="P7" s="39">
        <f t="shared" si="0"/>
        <v>0</v>
      </c>
      <c r="X7" t="s">
        <v>623</v>
      </c>
      <c r="Y7">
        <v>11</v>
      </c>
      <c r="Z7">
        <v>2020</v>
      </c>
      <c r="AA7" t="s">
        <v>627</v>
      </c>
      <c r="AB7">
        <v>9379</v>
      </c>
    </row>
    <row r="8" spans="1:34" x14ac:dyDescent="0.25">
      <c r="A8">
        <v>2020</v>
      </c>
      <c r="B8">
        <v>12</v>
      </c>
      <c r="C8" t="s">
        <v>623</v>
      </c>
      <c r="D8" s="1" t="s">
        <v>624</v>
      </c>
      <c r="E8" s="1">
        <v>22698</v>
      </c>
      <c r="F8" s="1" t="s">
        <v>628</v>
      </c>
      <c r="K8" s="18"/>
      <c r="L8" s="12"/>
      <c r="N8" s="11"/>
      <c r="O8" s="21"/>
      <c r="P8" s="24"/>
      <c r="X8" t="s">
        <v>623</v>
      </c>
      <c r="Y8">
        <v>12</v>
      </c>
      <c r="Z8">
        <v>2020</v>
      </c>
      <c r="AA8" t="s">
        <v>628</v>
      </c>
      <c r="AB8">
        <v>22698</v>
      </c>
    </row>
    <row r="9" spans="1:34" x14ac:dyDescent="0.25">
      <c r="D9" s="1"/>
      <c r="E9" s="1"/>
      <c r="F9" s="1"/>
      <c r="K9" s="18"/>
      <c r="L9" s="12"/>
      <c r="N9" s="11"/>
      <c r="O9" s="21"/>
      <c r="P9" s="24"/>
    </row>
    <row r="10" spans="1:34" x14ac:dyDescent="0.25">
      <c r="D10" s="1"/>
      <c r="E10" s="1"/>
      <c r="F10" s="1"/>
      <c r="K10" s="18"/>
      <c r="L10" s="12"/>
      <c r="N10" s="11"/>
      <c r="O10" s="21"/>
      <c r="P10" s="24"/>
    </row>
    <row r="11" spans="1:34" x14ac:dyDescent="0.25">
      <c r="D11" s="1"/>
      <c r="E11" s="1"/>
      <c r="F11" s="1"/>
      <c r="K11" s="18"/>
      <c r="N11" s="11"/>
      <c r="O11" s="21"/>
      <c r="P11" s="24"/>
    </row>
    <row r="12" spans="1:34" x14ac:dyDescent="0.25">
      <c r="D12" s="1"/>
      <c r="E12" s="1"/>
      <c r="F12" s="1"/>
      <c r="K12" s="18"/>
      <c r="N12" s="11"/>
      <c r="O12" s="21"/>
      <c r="P12" s="24"/>
      <c r="AB12" s="20"/>
    </row>
    <row r="13" spans="1:34" x14ac:dyDescent="0.25">
      <c r="D13" s="1"/>
      <c r="E13" s="1"/>
      <c r="F13" s="1"/>
      <c r="K13" s="18"/>
      <c r="L13" s="12"/>
      <c r="N13" s="11"/>
      <c r="O13" s="21"/>
      <c r="P13" s="24"/>
      <c r="AB13" s="20"/>
    </row>
    <row r="14" spans="1:34" x14ac:dyDescent="0.25">
      <c r="C14" s="15"/>
      <c r="D14" s="23"/>
      <c r="E14" s="1"/>
      <c r="F14" s="1"/>
      <c r="K14" s="18"/>
      <c r="L14" s="12"/>
      <c r="N14" s="11"/>
      <c r="O14" s="21"/>
      <c r="P14" s="24"/>
      <c r="AB14" s="20"/>
    </row>
    <row r="15" spans="1:34" x14ac:dyDescent="0.25">
      <c r="C15" s="15"/>
      <c r="D15" s="23"/>
      <c r="E15" s="1"/>
      <c r="F15" s="1"/>
      <c r="K15" s="18"/>
      <c r="L15" s="12"/>
      <c r="N15" s="11"/>
      <c r="O15" s="21"/>
      <c r="P15" s="24"/>
      <c r="AB15" s="20"/>
    </row>
    <row r="16" spans="1:34" x14ac:dyDescent="0.25">
      <c r="D16" s="1"/>
      <c r="E16" s="1"/>
      <c r="F16" s="1"/>
      <c r="K16" s="18"/>
      <c r="L16" s="12"/>
      <c r="N16" s="11"/>
      <c r="O16" s="21"/>
      <c r="P16" s="24"/>
      <c r="AB16" s="20"/>
    </row>
    <row r="17" spans="1:34" x14ac:dyDescent="0.25">
      <c r="A17" s="1"/>
      <c r="B17" s="1"/>
      <c r="C17" s="1"/>
      <c r="D17" s="1"/>
      <c r="E17" s="1"/>
      <c r="F17" s="1"/>
      <c r="K17" s="18"/>
      <c r="L17" s="12"/>
      <c r="N17" s="11"/>
      <c r="O17" s="21"/>
      <c r="P17" s="24"/>
      <c r="AB17" s="20"/>
      <c r="AE17" s="9"/>
      <c r="AH17" s="22"/>
    </row>
    <row r="18" spans="1:34" x14ac:dyDescent="0.25">
      <c r="A18" s="1"/>
      <c r="B18" s="1"/>
      <c r="C18" s="1"/>
      <c r="D18" s="1"/>
      <c r="E18" s="1"/>
      <c r="F18" s="1"/>
      <c r="K18" s="18"/>
      <c r="L18" s="12"/>
      <c r="N18" s="11"/>
      <c r="O18" s="21"/>
      <c r="P18" s="24"/>
      <c r="AB18" s="20"/>
      <c r="AE18" s="9"/>
      <c r="AH18" s="22"/>
    </row>
    <row r="19" spans="1:34" x14ac:dyDescent="0.25">
      <c r="L19" s="12"/>
      <c r="N19" s="4"/>
      <c r="AB19" s="20"/>
      <c r="AE19" s="9"/>
      <c r="AH19" s="22"/>
    </row>
    <row r="20" spans="1:34" x14ac:dyDescent="0.25">
      <c r="L20" s="12"/>
      <c r="N20" s="4"/>
      <c r="AB20" s="20"/>
    </row>
    <row r="21" spans="1:34" x14ac:dyDescent="0.25">
      <c r="A21" s="1"/>
      <c r="B21" s="1"/>
      <c r="C21" s="1"/>
      <c r="D21" s="1"/>
      <c r="E21" s="1"/>
      <c r="F21" s="1"/>
      <c r="L21" s="12"/>
      <c r="N21" s="4"/>
    </row>
    <row r="22" spans="1:34" x14ac:dyDescent="0.25">
      <c r="A22" s="1"/>
      <c r="B22" s="1"/>
      <c r="C22" s="1"/>
      <c r="D22" s="1"/>
      <c r="E22" s="1"/>
      <c r="F22" s="1"/>
      <c r="L22" s="12"/>
      <c r="N22" s="4"/>
    </row>
    <row r="23" spans="1:34" x14ac:dyDescent="0.25">
      <c r="E23" s="2"/>
      <c r="F23" s="1"/>
      <c r="L23" s="12"/>
      <c r="N23" s="4"/>
    </row>
    <row r="24" spans="1:34" x14ac:dyDescent="0.25">
      <c r="E24" s="2"/>
      <c r="F24" s="1"/>
      <c r="L24" s="12"/>
      <c r="N24" s="4"/>
    </row>
    <row r="25" spans="1:34" x14ac:dyDescent="0.25">
      <c r="E25" s="2"/>
      <c r="F25" s="1"/>
      <c r="L25" s="12"/>
      <c r="N25" s="4"/>
    </row>
    <row r="26" spans="1:34" x14ac:dyDescent="0.25">
      <c r="E26" s="2"/>
      <c r="F26" s="1"/>
      <c r="L26" s="12"/>
      <c r="N26" s="4"/>
    </row>
    <row r="27" spans="1:34" x14ac:dyDescent="0.25">
      <c r="E27" s="2"/>
      <c r="F27" s="1"/>
      <c r="L27" s="12"/>
      <c r="N27" s="4"/>
    </row>
    <row r="28" spans="1:34" x14ac:dyDescent="0.25">
      <c r="E28" s="2"/>
      <c r="F28" s="1"/>
    </row>
    <row r="29" spans="1:34" x14ac:dyDescent="0.25">
      <c r="E29" s="3">
        <f>SUM(E5:E28)</f>
        <v>37157</v>
      </c>
      <c r="F29" s="3"/>
      <c r="K29" s="3">
        <f>SUM(K5:K28)</f>
        <v>0</v>
      </c>
      <c r="L29" s="12">
        <f t="shared" ref="L29" si="1">IFERROR(P29/K29, 0)</f>
        <v>0</v>
      </c>
      <c r="P29" s="3">
        <f>SUM(P5:P28)</f>
        <v>0</v>
      </c>
      <c r="U29" s="3">
        <f>SUM(U5:U28)</f>
        <v>0</v>
      </c>
      <c r="V29" s="3"/>
      <c r="AB29" s="3">
        <f>SUM(AB5:AB28)</f>
        <v>37157</v>
      </c>
      <c r="AH29" s="3">
        <f>SUM(AH5:AH28)</f>
        <v>0</v>
      </c>
    </row>
    <row r="33" spans="3:7" x14ac:dyDescent="0.25">
      <c r="C33" s="6" t="s">
        <v>40</v>
      </c>
      <c r="D33" s="1">
        <f>E29</f>
        <v>37157</v>
      </c>
      <c r="G33" s="19" t="s">
        <v>474</v>
      </c>
    </row>
    <row r="34" spans="3:7" x14ac:dyDescent="0.25">
      <c r="C34" s="6" t="s">
        <v>41</v>
      </c>
      <c r="D34" s="13">
        <f>K29</f>
        <v>0</v>
      </c>
      <c r="E34" s="12">
        <f>L29</f>
        <v>0</v>
      </c>
      <c r="F34" s="12">
        <f>P29</f>
        <v>0</v>
      </c>
      <c r="G34" s="19"/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0</v>
      </c>
      <c r="G36" s="19" t="s">
        <v>543</v>
      </c>
    </row>
    <row r="37" spans="3:7" x14ac:dyDescent="0.25">
      <c r="C37" s="6" t="s">
        <v>352</v>
      </c>
      <c r="D37" s="13">
        <f>D33 - SUM(D34:D36)</f>
        <v>37157</v>
      </c>
      <c r="E37" s="9" t="s">
        <v>440</v>
      </c>
      <c r="G37" s="19" t="s">
        <v>543</v>
      </c>
    </row>
    <row r="38" spans="3:7" x14ac:dyDescent="0.25">
      <c r="C38" s="6" t="s">
        <v>351</v>
      </c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autoPageBreaks="0" fitToPage="1"/>
  </sheetPr>
  <dimension ref="A1:AL41"/>
  <sheetViews>
    <sheetView showGridLines="0" zoomScaleNormal="100" workbookViewId="0">
      <selection activeCell="E39" sqref="E39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8.5703125" bestFit="1" customWidth="1"/>
    <col min="12" max="12" width="10.7109375" customWidth="1"/>
    <col min="13" max="13" width="30.28515625" bestFit="1" customWidth="1"/>
    <col min="14" max="14" width="11.5703125" bestFit="1" customWidth="1"/>
    <col min="18" max="18" width="28.7109375" bestFit="1" customWidth="1"/>
    <col min="25" max="25" width="28.7109375" bestFit="1" customWidth="1"/>
    <col min="31" max="31" width="28.7109375" bestFit="1" customWidth="1"/>
  </cols>
  <sheetData>
    <row r="1" spans="1:38" ht="18.75" x14ac:dyDescent="0.3">
      <c r="A1" s="8">
        <v>2021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350</v>
      </c>
    </row>
    <row r="4" spans="1:38" x14ac:dyDescent="0.25">
      <c r="A4" t="s">
        <v>4</v>
      </c>
      <c r="B4" t="s">
        <v>5</v>
      </c>
      <c r="C4" t="s">
        <v>529</v>
      </c>
      <c r="D4" t="s">
        <v>36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542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0</v>
      </c>
      <c r="B5" t="s">
        <v>2</v>
      </c>
      <c r="C5" s="2">
        <v>44227</v>
      </c>
      <c r="D5" s="18">
        <v>21374</v>
      </c>
      <c r="F5">
        <v>2021</v>
      </c>
      <c r="G5">
        <v>1</v>
      </c>
      <c r="H5" t="s">
        <v>0</v>
      </c>
      <c r="I5" s="18">
        <v>7534</v>
      </c>
      <c r="J5" s="24">
        <v>4.3499999999999996</v>
      </c>
      <c r="K5" t="s">
        <v>532</v>
      </c>
      <c r="L5" s="11">
        <v>44412.367858796293</v>
      </c>
      <c r="M5" t="s">
        <v>582</v>
      </c>
      <c r="N5" s="39">
        <f>PRODUCT(I5:J5)</f>
        <v>32772.899999999994</v>
      </c>
      <c r="V5" t="s">
        <v>0</v>
      </c>
      <c r="W5">
        <v>2</v>
      </c>
      <c r="X5">
        <v>2021</v>
      </c>
      <c r="Y5" t="s">
        <v>549</v>
      </c>
      <c r="Z5" s="20">
        <v>8446</v>
      </c>
      <c r="AB5" t="s">
        <v>0</v>
      </c>
      <c r="AC5">
        <v>8</v>
      </c>
      <c r="AD5">
        <v>2021</v>
      </c>
      <c r="AE5" t="s">
        <v>547</v>
      </c>
      <c r="AF5" s="20">
        <v>180</v>
      </c>
      <c r="AL5" s="20"/>
    </row>
    <row r="6" spans="1:38" x14ac:dyDescent="0.25">
      <c r="A6" t="s">
        <v>0</v>
      </c>
      <c r="B6" t="s">
        <v>2</v>
      </c>
      <c r="C6" s="2">
        <v>44255</v>
      </c>
      <c r="D6" s="18">
        <v>22056</v>
      </c>
      <c r="F6" s="6">
        <v>2021</v>
      </c>
      <c r="G6">
        <v>1</v>
      </c>
      <c r="H6" t="s">
        <v>1</v>
      </c>
      <c r="I6" s="18">
        <v>3035</v>
      </c>
      <c r="J6" s="24">
        <v>4.3499999999999996</v>
      </c>
      <c r="K6" t="s">
        <v>533</v>
      </c>
      <c r="L6" s="11">
        <v>44412.367858796293</v>
      </c>
      <c r="M6" t="s">
        <v>582</v>
      </c>
      <c r="N6" s="39">
        <f>PRODUCT(I6:J6)</f>
        <v>13202.249999999998</v>
      </c>
      <c r="V6" t="s">
        <v>0</v>
      </c>
      <c r="W6">
        <v>3</v>
      </c>
      <c r="X6">
        <v>2021</v>
      </c>
      <c r="Y6" t="s">
        <v>550</v>
      </c>
      <c r="Z6" s="20">
        <v>14485</v>
      </c>
      <c r="AB6" t="s">
        <v>0</v>
      </c>
      <c r="AC6">
        <v>7</v>
      </c>
      <c r="AD6">
        <v>2021</v>
      </c>
      <c r="AE6" t="s">
        <v>548</v>
      </c>
      <c r="AF6" s="20">
        <v>140</v>
      </c>
      <c r="AL6" s="20"/>
    </row>
    <row r="7" spans="1:38" x14ac:dyDescent="0.25">
      <c r="A7" t="s">
        <v>0</v>
      </c>
      <c r="B7" t="s">
        <v>2</v>
      </c>
      <c r="C7" s="2">
        <v>44286</v>
      </c>
      <c r="D7" s="18">
        <v>23677</v>
      </c>
      <c r="F7">
        <v>2021</v>
      </c>
      <c r="G7">
        <v>2</v>
      </c>
      <c r="H7" t="s">
        <v>0</v>
      </c>
      <c r="I7" s="18">
        <v>5086</v>
      </c>
      <c r="J7" s="24">
        <v>4.3499999999999996</v>
      </c>
      <c r="K7" t="s">
        <v>568</v>
      </c>
      <c r="L7" s="11">
        <v>44412.36787037037</v>
      </c>
      <c r="M7" t="s">
        <v>582</v>
      </c>
      <c r="N7" s="39">
        <f>PRODUCT(I7:J7)</f>
        <v>22124.1</v>
      </c>
      <c r="V7" t="s">
        <v>0</v>
      </c>
      <c r="W7">
        <v>4</v>
      </c>
      <c r="X7">
        <v>2021</v>
      </c>
      <c r="Y7" t="s">
        <v>551</v>
      </c>
      <c r="Z7" s="20">
        <v>12930</v>
      </c>
      <c r="AF7" s="20"/>
      <c r="AL7" s="20"/>
    </row>
    <row r="8" spans="1:38" x14ac:dyDescent="0.25">
      <c r="A8" t="s">
        <v>0</v>
      </c>
      <c r="B8" t="s">
        <v>2</v>
      </c>
      <c r="C8" s="2">
        <v>44316</v>
      </c>
      <c r="D8" s="18">
        <v>20071</v>
      </c>
      <c r="F8" s="6">
        <v>2021</v>
      </c>
      <c r="G8">
        <v>2</v>
      </c>
      <c r="H8" t="s">
        <v>1</v>
      </c>
      <c r="I8" s="18">
        <v>3132</v>
      </c>
      <c r="J8" s="24">
        <v>4.3499999999999996</v>
      </c>
      <c r="K8" t="s">
        <v>570</v>
      </c>
      <c r="L8" s="11">
        <v>44412.36787037037</v>
      </c>
      <c r="M8" t="s">
        <v>582</v>
      </c>
      <c r="N8" s="39">
        <f>PRODUCT(I8:J8)</f>
        <v>13624.199999999999</v>
      </c>
      <c r="V8" t="s">
        <v>0</v>
      </c>
      <c r="W8">
        <v>5</v>
      </c>
      <c r="X8">
        <v>2021</v>
      </c>
      <c r="Y8" t="s">
        <v>552</v>
      </c>
      <c r="Z8" s="20">
        <v>1916</v>
      </c>
      <c r="AF8" s="20"/>
      <c r="AL8" s="20"/>
    </row>
    <row r="9" spans="1:38" x14ac:dyDescent="0.25">
      <c r="A9" t="s">
        <v>0</v>
      </c>
      <c r="B9" t="s">
        <v>2</v>
      </c>
      <c r="C9" s="2">
        <v>44347</v>
      </c>
      <c r="D9" s="18">
        <v>1916</v>
      </c>
      <c r="F9">
        <v>2021</v>
      </c>
      <c r="G9">
        <v>3</v>
      </c>
      <c r="H9" t="s">
        <v>1</v>
      </c>
      <c r="I9" s="18">
        <v>3363</v>
      </c>
      <c r="J9" s="24">
        <v>4.3499999999999996</v>
      </c>
      <c r="K9" t="s">
        <v>572</v>
      </c>
      <c r="L9" s="11">
        <v>44412.36787037037</v>
      </c>
      <c r="M9" t="s">
        <v>582</v>
      </c>
      <c r="N9" s="39">
        <f>PRODUCT(I9:J9)</f>
        <v>14629.05</v>
      </c>
      <c r="V9" t="s">
        <v>1</v>
      </c>
      <c r="W9">
        <v>5</v>
      </c>
      <c r="X9">
        <v>2021</v>
      </c>
      <c r="Y9" t="s">
        <v>553</v>
      </c>
      <c r="Z9" s="20">
        <v>272</v>
      </c>
      <c r="AF9" s="20"/>
      <c r="AL9" s="20"/>
    </row>
    <row r="10" spans="1:38" x14ac:dyDescent="0.25">
      <c r="A10" t="s">
        <v>0</v>
      </c>
      <c r="B10" t="s">
        <v>2</v>
      </c>
      <c r="C10" s="2">
        <v>44377</v>
      </c>
      <c r="D10" s="18">
        <v>24142</v>
      </c>
      <c r="F10">
        <v>2021</v>
      </c>
      <c r="G10">
        <v>4</v>
      </c>
      <c r="H10" t="s">
        <v>1</v>
      </c>
      <c r="I10" s="18">
        <v>2850</v>
      </c>
      <c r="J10" s="24">
        <v>4.3499999999999996</v>
      </c>
      <c r="K10" t="s">
        <v>574</v>
      </c>
      <c r="L10" s="11">
        <v>44412.36787037037</v>
      </c>
      <c r="M10" t="s">
        <v>582</v>
      </c>
      <c r="N10" s="39">
        <f>PRODUCT(I10:J10)</f>
        <v>12397.499999999998</v>
      </c>
      <c r="V10" t="s">
        <v>0</v>
      </c>
      <c r="W10">
        <v>6</v>
      </c>
      <c r="X10">
        <v>2021</v>
      </c>
      <c r="Y10" t="s">
        <v>554</v>
      </c>
      <c r="Z10" s="20">
        <v>17256</v>
      </c>
      <c r="AF10" s="20"/>
      <c r="AL10" s="20"/>
    </row>
    <row r="11" spans="1:38" x14ac:dyDescent="0.25">
      <c r="A11" t="s">
        <v>0</v>
      </c>
      <c r="B11" t="s">
        <v>2</v>
      </c>
      <c r="C11" s="2">
        <v>44408</v>
      </c>
      <c r="D11" s="18">
        <v>24425</v>
      </c>
      <c r="F11">
        <v>2021</v>
      </c>
      <c r="G11">
        <v>1</v>
      </c>
      <c r="H11" t="s">
        <v>0</v>
      </c>
      <c r="I11" s="18">
        <v>8840</v>
      </c>
      <c r="J11" s="24">
        <v>9</v>
      </c>
      <c r="K11" t="s">
        <v>530</v>
      </c>
      <c r="L11" s="11">
        <v>44322.525393518517</v>
      </c>
      <c r="M11" t="s">
        <v>18</v>
      </c>
      <c r="N11" s="39">
        <f>PRODUCT(I11:J11)</f>
        <v>79560</v>
      </c>
      <c r="V11" t="s">
        <v>1</v>
      </c>
      <c r="W11">
        <v>6</v>
      </c>
      <c r="X11">
        <v>2021</v>
      </c>
      <c r="Y11" t="s">
        <v>555</v>
      </c>
      <c r="Z11" s="20">
        <v>3429</v>
      </c>
      <c r="AF11" s="20"/>
      <c r="AL11" s="20"/>
    </row>
    <row r="12" spans="1:38" x14ac:dyDescent="0.25">
      <c r="A12" t="s">
        <v>0</v>
      </c>
      <c r="B12" t="s">
        <v>2</v>
      </c>
      <c r="C12" s="2">
        <v>44439</v>
      </c>
      <c r="D12" s="18">
        <v>27279</v>
      </c>
      <c r="F12">
        <v>2021</v>
      </c>
      <c r="G12">
        <v>2</v>
      </c>
      <c r="H12" t="s">
        <v>0</v>
      </c>
      <c r="I12" s="18">
        <v>8524</v>
      </c>
      <c r="J12" s="24">
        <v>9</v>
      </c>
      <c r="K12" t="s">
        <v>569</v>
      </c>
      <c r="L12" s="11">
        <v>44355.224131944444</v>
      </c>
      <c r="M12" t="s">
        <v>18</v>
      </c>
      <c r="N12" s="39">
        <f>PRODUCT(I12:J12)</f>
        <v>76716</v>
      </c>
      <c r="V12" t="s">
        <v>0</v>
      </c>
      <c r="W12">
        <v>7</v>
      </c>
      <c r="X12">
        <v>2021</v>
      </c>
      <c r="Y12" t="s">
        <v>556</v>
      </c>
      <c r="Z12" s="20">
        <v>17802</v>
      </c>
      <c r="AF12" s="20"/>
      <c r="AL12" s="20"/>
    </row>
    <row r="13" spans="1:38" x14ac:dyDescent="0.25">
      <c r="A13" t="s">
        <v>0</v>
      </c>
      <c r="B13" t="s">
        <v>2</v>
      </c>
      <c r="C13" s="2">
        <v>44469</v>
      </c>
      <c r="D13" s="18">
        <v>27770</v>
      </c>
      <c r="F13">
        <v>2021</v>
      </c>
      <c r="G13">
        <v>3</v>
      </c>
      <c r="H13" t="s">
        <v>0</v>
      </c>
      <c r="I13" s="18">
        <v>9192</v>
      </c>
      <c r="J13" s="24">
        <f>(9075*9 + 117 * 4.5)/I13</f>
        <v>8.9427219321148819</v>
      </c>
      <c r="K13" t="s">
        <v>571</v>
      </c>
      <c r="L13" s="11">
        <v>44392.329016203701</v>
      </c>
      <c r="M13" t="s">
        <v>18</v>
      </c>
      <c r="N13" s="39">
        <f>PRODUCT(I13:J13)</f>
        <v>82201.5</v>
      </c>
      <c r="V13" t="s">
        <v>1</v>
      </c>
      <c r="W13">
        <v>7</v>
      </c>
      <c r="X13">
        <v>2021</v>
      </c>
      <c r="Y13" t="s">
        <v>557</v>
      </c>
      <c r="Z13" s="20">
        <v>3468</v>
      </c>
      <c r="AF13" s="20"/>
      <c r="AL13" s="20"/>
    </row>
    <row r="14" spans="1:38" x14ac:dyDescent="0.25">
      <c r="A14" t="s">
        <v>0</v>
      </c>
      <c r="B14" t="s">
        <v>2</v>
      </c>
      <c r="C14" s="2">
        <v>44500</v>
      </c>
      <c r="D14" s="18">
        <v>30475</v>
      </c>
      <c r="F14">
        <v>2021</v>
      </c>
      <c r="G14">
        <v>4</v>
      </c>
      <c r="H14" t="s">
        <v>0</v>
      </c>
      <c r="I14" s="18">
        <v>7141</v>
      </c>
      <c r="J14" s="24">
        <f>(6710*9 + 431 * 4.5)/I14</f>
        <v>8.7283993838397986</v>
      </c>
      <c r="K14" t="s">
        <v>573</v>
      </c>
      <c r="L14" s="11">
        <v>44414.432650462964</v>
      </c>
      <c r="M14" t="s">
        <v>18</v>
      </c>
      <c r="N14" s="39">
        <f>PRODUCT(I14:J14)</f>
        <v>62329.5</v>
      </c>
      <c r="V14" t="s">
        <v>0</v>
      </c>
      <c r="W14">
        <v>8</v>
      </c>
      <c r="X14">
        <v>2021</v>
      </c>
      <c r="Y14" t="s">
        <v>558</v>
      </c>
      <c r="Z14" s="20">
        <v>19708</v>
      </c>
      <c r="AF14" s="20"/>
      <c r="AL14" s="20"/>
    </row>
    <row r="15" spans="1:38" x14ac:dyDescent="0.25">
      <c r="A15" t="s">
        <v>0</v>
      </c>
      <c r="B15" t="s">
        <v>2</v>
      </c>
      <c r="C15" s="2">
        <v>44530</v>
      </c>
      <c r="D15" s="18">
        <v>29323</v>
      </c>
      <c r="F15">
        <v>2021</v>
      </c>
      <c r="G15">
        <v>6</v>
      </c>
      <c r="H15" t="s">
        <v>0</v>
      </c>
      <c r="I15" s="18">
        <v>6886</v>
      </c>
      <c r="J15" s="24">
        <f>(5626*9 + 1260 * 4.5)/I15</f>
        <v>8.1765901829799592</v>
      </c>
      <c r="K15" t="s">
        <v>575</v>
      </c>
      <c r="L15" s="11">
        <v>44473.573761574073</v>
      </c>
      <c r="M15" t="s">
        <v>18</v>
      </c>
      <c r="N15" s="39">
        <f>PRODUCT(I15:J15)</f>
        <v>56304</v>
      </c>
      <c r="V15" t="s">
        <v>1</v>
      </c>
      <c r="W15">
        <v>8</v>
      </c>
      <c r="X15">
        <v>2021</v>
      </c>
      <c r="Y15" t="s">
        <v>559</v>
      </c>
      <c r="Z15" s="20">
        <v>3874</v>
      </c>
      <c r="AF15" s="20"/>
      <c r="AL15" s="20"/>
    </row>
    <row r="16" spans="1:38" x14ac:dyDescent="0.25">
      <c r="A16" t="s">
        <v>0</v>
      </c>
      <c r="B16" t="s">
        <v>2</v>
      </c>
      <c r="C16" s="2">
        <v>44561</v>
      </c>
      <c r="D16" s="18">
        <v>29769</v>
      </c>
      <c r="F16">
        <v>2021</v>
      </c>
      <c r="G16">
        <v>7</v>
      </c>
      <c r="H16" t="s">
        <v>0</v>
      </c>
      <c r="I16" s="18">
        <v>6483</v>
      </c>
      <c r="J16" s="24">
        <f>(5264*9 + 1219 * 4.5)/I16</f>
        <v>8.1538639518741327</v>
      </c>
      <c r="K16" t="s">
        <v>576</v>
      </c>
      <c r="L16" s="11">
        <v>44508.270370370374</v>
      </c>
      <c r="M16" t="s">
        <v>18</v>
      </c>
      <c r="N16" s="39">
        <f>PRODUCT(I16:J16)</f>
        <v>52861.5</v>
      </c>
      <c r="V16" t="s">
        <v>0</v>
      </c>
      <c r="W16">
        <v>9</v>
      </c>
      <c r="X16">
        <v>2021</v>
      </c>
      <c r="Y16" t="s">
        <v>560</v>
      </c>
      <c r="Z16" s="20">
        <v>19783</v>
      </c>
      <c r="AF16" s="20"/>
      <c r="AL16" s="20"/>
    </row>
    <row r="17" spans="1:38" x14ac:dyDescent="0.25">
      <c r="A17" t="s">
        <v>1</v>
      </c>
      <c r="B17" t="s">
        <v>3</v>
      </c>
      <c r="C17" s="2">
        <v>44227</v>
      </c>
      <c r="D17" s="18">
        <v>3035</v>
      </c>
      <c r="F17">
        <v>2021</v>
      </c>
      <c r="G17">
        <v>8</v>
      </c>
      <c r="H17" t="s">
        <v>0</v>
      </c>
      <c r="I17" s="18">
        <v>7391</v>
      </c>
      <c r="J17" s="24">
        <f>(6027*9 + 1364 * 4.5)/I17</f>
        <v>8.1695305100798272</v>
      </c>
      <c r="K17" t="s">
        <v>577</v>
      </c>
      <c r="L17" s="11">
        <v>44541.337870370371</v>
      </c>
      <c r="M17" t="s">
        <v>18</v>
      </c>
      <c r="N17" s="39">
        <f>PRODUCT(I17:J17)</f>
        <v>60381</v>
      </c>
      <c r="V17" t="s">
        <v>1</v>
      </c>
      <c r="W17">
        <v>9</v>
      </c>
      <c r="X17">
        <v>2021</v>
      </c>
      <c r="Y17" t="s">
        <v>561</v>
      </c>
      <c r="Z17" s="20">
        <v>3944</v>
      </c>
      <c r="AF17" s="20"/>
      <c r="AL17" s="20"/>
    </row>
    <row r="18" spans="1:38" x14ac:dyDescent="0.25">
      <c r="A18" t="s">
        <v>1</v>
      </c>
      <c r="B18" t="s">
        <v>3</v>
      </c>
      <c r="C18" s="2">
        <v>44255</v>
      </c>
      <c r="D18" s="18">
        <v>3132</v>
      </c>
      <c r="F18">
        <v>2021</v>
      </c>
      <c r="G18">
        <v>9</v>
      </c>
      <c r="H18" t="s">
        <v>0</v>
      </c>
      <c r="I18" s="18">
        <v>7987</v>
      </c>
      <c r="J18" s="24">
        <v>9</v>
      </c>
      <c r="K18" t="s">
        <v>578</v>
      </c>
      <c r="L18" s="11">
        <v>44567.4606712963</v>
      </c>
      <c r="M18" t="s">
        <v>18</v>
      </c>
      <c r="N18" s="39">
        <f>PRODUCT(I18:J18)</f>
        <v>71883</v>
      </c>
      <c r="V18" t="s">
        <v>0</v>
      </c>
      <c r="W18">
        <v>10</v>
      </c>
      <c r="X18">
        <v>2021</v>
      </c>
      <c r="Y18" t="s">
        <v>562</v>
      </c>
      <c r="Z18" s="20">
        <v>21608</v>
      </c>
      <c r="AF18" s="20"/>
      <c r="AL18" s="20"/>
    </row>
    <row r="19" spans="1:38" x14ac:dyDescent="0.25">
      <c r="A19" t="s">
        <v>1</v>
      </c>
      <c r="B19" t="s">
        <v>3</v>
      </c>
      <c r="C19" s="2">
        <v>44286</v>
      </c>
      <c r="D19" s="18">
        <v>3363</v>
      </c>
      <c r="F19">
        <v>2021</v>
      </c>
      <c r="G19">
        <v>10</v>
      </c>
      <c r="H19" t="s">
        <v>0</v>
      </c>
      <c r="I19" s="18">
        <v>8867</v>
      </c>
      <c r="J19" s="24">
        <v>9</v>
      </c>
      <c r="K19" t="s">
        <v>579</v>
      </c>
      <c r="L19" s="11">
        <v>44594.664270833331</v>
      </c>
      <c r="M19" t="s">
        <v>18</v>
      </c>
      <c r="N19" s="39">
        <f>PRODUCT(I19:J19)</f>
        <v>79803</v>
      </c>
      <c r="V19" t="s">
        <v>1</v>
      </c>
      <c r="W19">
        <v>10</v>
      </c>
      <c r="X19">
        <v>2021</v>
      </c>
      <c r="Y19" t="s">
        <v>563</v>
      </c>
      <c r="Z19" s="20">
        <v>4328</v>
      </c>
      <c r="AF19" s="18"/>
      <c r="AL19" s="18"/>
    </row>
    <row r="20" spans="1:38" x14ac:dyDescent="0.25">
      <c r="A20" t="s">
        <v>1</v>
      </c>
      <c r="B20" t="s">
        <v>3</v>
      </c>
      <c r="C20" s="2">
        <v>44316</v>
      </c>
      <c r="D20" s="18">
        <v>2850</v>
      </c>
      <c r="F20">
        <v>2021</v>
      </c>
      <c r="G20">
        <v>11</v>
      </c>
      <c r="H20" t="s">
        <v>0</v>
      </c>
      <c r="I20" s="18">
        <v>8629</v>
      </c>
      <c r="J20" s="24">
        <f>(7477*9 + 1152 * 4.5)/I20</f>
        <v>8.3992351373276168</v>
      </c>
      <c r="K20" t="s">
        <v>580</v>
      </c>
      <c r="L20" s="11">
        <v>44622.570081018515</v>
      </c>
      <c r="M20" t="s">
        <v>18</v>
      </c>
      <c r="N20" s="39">
        <f>PRODUCT(I20:J20)</f>
        <v>72477</v>
      </c>
      <c r="V20" t="s">
        <v>0</v>
      </c>
      <c r="W20">
        <v>11</v>
      </c>
      <c r="X20">
        <v>2021</v>
      </c>
      <c r="Y20" t="s">
        <v>564</v>
      </c>
      <c r="Z20" s="20">
        <v>20694</v>
      </c>
    </row>
    <row r="21" spans="1:38" x14ac:dyDescent="0.25">
      <c r="A21" t="s">
        <v>1</v>
      </c>
      <c r="B21" t="s">
        <v>3</v>
      </c>
      <c r="C21" s="2">
        <v>44347</v>
      </c>
      <c r="D21" s="18">
        <v>272</v>
      </c>
      <c r="F21">
        <v>2021</v>
      </c>
      <c r="G21">
        <v>12</v>
      </c>
      <c r="H21" t="s">
        <v>0</v>
      </c>
      <c r="I21" s="18">
        <v>4303</v>
      </c>
      <c r="J21" s="24">
        <f>(2783*9 + 1520 * 4.5)/I21</f>
        <v>7.4104113409249361</v>
      </c>
      <c r="K21" t="s">
        <v>581</v>
      </c>
      <c r="L21" s="11">
        <v>44655.272349537037</v>
      </c>
      <c r="M21" t="s">
        <v>18</v>
      </c>
      <c r="N21" s="39">
        <f>PRODUCT(I21:J21)</f>
        <v>31887</v>
      </c>
      <c r="V21" t="s">
        <v>1</v>
      </c>
      <c r="W21">
        <v>11</v>
      </c>
      <c r="X21">
        <v>2021</v>
      </c>
      <c r="Y21" t="s">
        <v>565</v>
      </c>
      <c r="Z21" s="20">
        <v>4164</v>
      </c>
    </row>
    <row r="22" spans="1:38" x14ac:dyDescent="0.25">
      <c r="A22" t="s">
        <v>1</v>
      </c>
      <c r="B22" t="s">
        <v>3</v>
      </c>
      <c r="C22" s="2">
        <v>44377</v>
      </c>
      <c r="D22" s="18">
        <v>3429</v>
      </c>
      <c r="F22">
        <v>2021</v>
      </c>
      <c r="G22">
        <v>1</v>
      </c>
      <c r="H22" t="s">
        <v>0</v>
      </c>
      <c r="I22" s="18">
        <v>5000</v>
      </c>
      <c r="J22" s="24">
        <v>4</v>
      </c>
      <c r="K22" t="s">
        <v>531</v>
      </c>
      <c r="L22" s="11">
        <v>44322.518877314818</v>
      </c>
      <c r="M22" t="s">
        <v>438</v>
      </c>
      <c r="N22" s="39">
        <f>PRODUCT(I22:J22)</f>
        <v>20000</v>
      </c>
      <c r="V22" t="s">
        <v>0</v>
      </c>
      <c r="W22">
        <v>12</v>
      </c>
      <c r="X22">
        <v>2021</v>
      </c>
      <c r="Y22" t="s">
        <v>566</v>
      </c>
      <c r="Z22" s="20">
        <v>25466</v>
      </c>
    </row>
    <row r="23" spans="1:38" x14ac:dyDescent="0.25">
      <c r="A23" t="s">
        <v>1</v>
      </c>
      <c r="B23" t="s">
        <v>3</v>
      </c>
      <c r="C23" s="2">
        <v>44408</v>
      </c>
      <c r="D23" s="18">
        <v>3468</v>
      </c>
      <c r="J23" s="12"/>
      <c r="L23" s="11"/>
      <c r="N23" s="24"/>
      <c r="V23" t="s">
        <v>1</v>
      </c>
      <c r="W23">
        <v>12</v>
      </c>
      <c r="X23">
        <v>2021</v>
      </c>
      <c r="Y23" t="s">
        <v>567</v>
      </c>
      <c r="Z23" s="20">
        <v>4228</v>
      </c>
    </row>
    <row r="24" spans="1:38" x14ac:dyDescent="0.25">
      <c r="A24" t="s">
        <v>1</v>
      </c>
      <c r="B24" t="s">
        <v>3</v>
      </c>
      <c r="C24" s="2">
        <v>44439</v>
      </c>
      <c r="D24" s="18">
        <v>3874</v>
      </c>
      <c r="J24" s="12"/>
      <c r="L24" s="11"/>
      <c r="N24" s="24"/>
      <c r="Z24" s="20"/>
    </row>
    <row r="25" spans="1:38" x14ac:dyDescent="0.25">
      <c r="A25" t="s">
        <v>1</v>
      </c>
      <c r="B25" t="s">
        <v>3</v>
      </c>
      <c r="C25" s="2">
        <v>44469</v>
      </c>
      <c r="D25" s="18">
        <v>3944</v>
      </c>
      <c r="J25" s="12"/>
      <c r="L25" s="4"/>
      <c r="N25" s="24"/>
    </row>
    <row r="26" spans="1:38" x14ac:dyDescent="0.25">
      <c r="A26" t="s">
        <v>1</v>
      </c>
      <c r="B26" t="s">
        <v>3</v>
      </c>
      <c r="C26" s="2">
        <v>44500</v>
      </c>
      <c r="D26" s="18">
        <v>4328</v>
      </c>
      <c r="J26" s="12"/>
      <c r="N26" s="24"/>
    </row>
    <row r="27" spans="1:38" x14ac:dyDescent="0.25">
      <c r="A27" t="s">
        <v>1</v>
      </c>
      <c r="B27" t="s">
        <v>3</v>
      </c>
      <c r="C27" s="2">
        <v>44530</v>
      </c>
      <c r="D27" s="18">
        <v>4164</v>
      </c>
      <c r="J27" s="12"/>
      <c r="N27" s="24"/>
    </row>
    <row r="28" spans="1:38" x14ac:dyDescent="0.25">
      <c r="A28" t="s">
        <v>1</v>
      </c>
      <c r="B28" t="s">
        <v>3</v>
      </c>
      <c r="C28" s="2">
        <v>44561</v>
      </c>
      <c r="D28" s="18">
        <v>4228</v>
      </c>
      <c r="N28" s="24"/>
    </row>
    <row r="29" spans="1:38" x14ac:dyDescent="0.25">
      <c r="D29" s="3">
        <f>SUM(D5:D28)</f>
        <v>322364</v>
      </c>
      <c r="I29" s="3">
        <f>SUM(I5:I28)</f>
        <v>114243</v>
      </c>
      <c r="J29" s="12">
        <f>IFERROR(N29/I29, 0)</f>
        <v>7.485390789807691</v>
      </c>
      <c r="N29" s="3">
        <f>SUM(N5:N28)</f>
        <v>855153.5</v>
      </c>
      <c r="S29" s="3">
        <f>SUM(S5:S28)</f>
        <v>0</v>
      </c>
      <c r="T29" s="3"/>
      <c r="Z29" s="3">
        <f>SUM(Z5:Z28)</f>
        <v>207801</v>
      </c>
      <c r="AF29" s="3">
        <f>SUM(AF5:AF28)</f>
        <v>320</v>
      </c>
      <c r="AL29" s="3">
        <f>SUM(AL5:AL28)</f>
        <v>0</v>
      </c>
    </row>
    <row r="30" spans="1:38" x14ac:dyDescent="0.25">
      <c r="N30" s="24"/>
    </row>
    <row r="31" spans="1:38" x14ac:dyDescent="0.25">
      <c r="N31" s="24"/>
    </row>
    <row r="32" spans="1:38" x14ac:dyDescent="0.25">
      <c r="N32" s="24"/>
    </row>
    <row r="33" spans="3:14" x14ac:dyDescent="0.25">
      <c r="C33" s="6" t="s">
        <v>40</v>
      </c>
      <c r="D33" s="1">
        <f>D29</f>
        <v>322364</v>
      </c>
      <c r="G33" s="19" t="s">
        <v>543</v>
      </c>
      <c r="N33" s="24"/>
    </row>
    <row r="34" spans="3:14" x14ac:dyDescent="0.25">
      <c r="C34" s="6" t="s">
        <v>41</v>
      </c>
      <c r="D34" s="13">
        <f>I29</f>
        <v>114243</v>
      </c>
      <c r="E34" s="12">
        <f>J29</f>
        <v>7.485390789807691</v>
      </c>
      <c r="F34" s="12">
        <f>D34 * E34</f>
        <v>855153.5</v>
      </c>
      <c r="G34" s="19" t="s">
        <v>543</v>
      </c>
    </row>
    <row r="35" spans="3:14" x14ac:dyDescent="0.25">
      <c r="C35" s="6" t="s">
        <v>242</v>
      </c>
      <c r="D35" s="13">
        <f>S29</f>
        <v>0</v>
      </c>
    </row>
    <row r="36" spans="3:14" x14ac:dyDescent="0.25">
      <c r="C36" s="6" t="s">
        <v>260</v>
      </c>
      <c r="D36" s="13">
        <f>AF29</f>
        <v>320</v>
      </c>
      <c r="G36" s="19" t="s">
        <v>543</v>
      </c>
    </row>
    <row r="37" spans="3:14" x14ac:dyDescent="0.25">
      <c r="C37" s="6" t="s">
        <v>350</v>
      </c>
      <c r="D37" s="13">
        <f>AL29</f>
        <v>0</v>
      </c>
      <c r="G37" s="19"/>
    </row>
    <row r="38" spans="3:14" x14ac:dyDescent="0.25">
      <c r="C38" s="6"/>
      <c r="D38" s="13"/>
      <c r="G38" s="19"/>
    </row>
    <row r="39" spans="3:14" x14ac:dyDescent="0.25">
      <c r="C39" s="6" t="s">
        <v>291</v>
      </c>
      <c r="D39" s="13">
        <f>D33 - D34 - D35 - D36 - D37</f>
        <v>207801</v>
      </c>
      <c r="E39" t="s">
        <v>345</v>
      </c>
      <c r="G39" s="19"/>
    </row>
    <row r="40" spans="3:14" x14ac:dyDescent="0.25">
      <c r="C40" s="6" t="s">
        <v>290</v>
      </c>
      <c r="D40" s="1">
        <f>D39 + D37</f>
        <v>207801</v>
      </c>
      <c r="G40" s="19" t="s">
        <v>543</v>
      </c>
    </row>
    <row r="41" spans="3:14" x14ac:dyDescent="0.25">
      <c r="D41" s="1">
        <f>D40 - Z29</f>
        <v>0</v>
      </c>
    </row>
  </sheetData>
  <sortState xmlns:xlrd2="http://schemas.microsoft.com/office/spreadsheetml/2017/richdata2" ref="F5:N22">
    <sortCondition ref="M5:M22"/>
    <sortCondition ref="L5:L22"/>
    <sortCondition ref="G5:G22"/>
  </sortState>
  <pageMargins left="0.2" right="0.2" top="0.75" bottom="0.75" header="0.3" footer="0.3"/>
  <pageSetup scale="57" orientation="landscape" r:id="rId1"/>
  <headerFoot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autoPageBreaks="0" fitToPage="1"/>
  </sheetPr>
  <dimension ref="A1:AH40"/>
  <sheetViews>
    <sheetView showGridLines="0" zoomScaleNormal="100" workbookViewId="0">
      <selection activeCell="A37" sqref="A37"/>
    </sheetView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2021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2021</v>
      </c>
      <c r="B5">
        <v>1</v>
      </c>
      <c r="C5" s="2" t="s">
        <v>66</v>
      </c>
      <c r="D5" s="1" t="s">
        <v>67</v>
      </c>
      <c r="E5" s="18">
        <v>32154</v>
      </c>
      <c r="F5" s="1" t="s">
        <v>534</v>
      </c>
      <c r="H5">
        <v>2021</v>
      </c>
      <c r="I5">
        <v>1</v>
      </c>
      <c r="J5" t="s">
        <v>66</v>
      </c>
      <c r="K5" s="1">
        <v>9654</v>
      </c>
      <c r="L5" s="24">
        <v>4</v>
      </c>
      <c r="M5" t="s">
        <v>594</v>
      </c>
      <c r="N5" s="11">
        <v>44393.457939814813</v>
      </c>
      <c r="O5" s="21" t="s">
        <v>596</v>
      </c>
      <c r="P5" s="39">
        <f>PRODUCT(K5:L5)</f>
        <v>38616</v>
      </c>
      <c r="X5" t="s">
        <v>66</v>
      </c>
      <c r="Y5">
        <v>1</v>
      </c>
      <c r="Z5">
        <v>2021</v>
      </c>
      <c r="AA5" t="s">
        <v>597</v>
      </c>
      <c r="AB5" s="20">
        <v>9657</v>
      </c>
      <c r="AD5" t="s">
        <v>66</v>
      </c>
      <c r="AE5">
        <v>10</v>
      </c>
      <c r="AF5">
        <v>2021</v>
      </c>
      <c r="AG5" t="s">
        <v>606</v>
      </c>
      <c r="AH5">
        <v>584</v>
      </c>
    </row>
    <row r="6" spans="1:34" x14ac:dyDescent="0.25">
      <c r="A6">
        <v>2021</v>
      </c>
      <c r="B6">
        <v>2</v>
      </c>
      <c r="C6" s="2" t="s">
        <v>66</v>
      </c>
      <c r="D6" s="1" t="s">
        <v>67</v>
      </c>
      <c r="E6" s="18">
        <v>34030</v>
      </c>
      <c r="F6" s="1" t="s">
        <v>583</v>
      </c>
      <c r="H6">
        <v>2021</v>
      </c>
      <c r="I6">
        <v>1</v>
      </c>
      <c r="J6" t="s">
        <v>66</v>
      </c>
      <c r="K6" s="1">
        <v>12843</v>
      </c>
      <c r="L6" s="24">
        <v>5</v>
      </c>
      <c r="M6" t="s">
        <v>595</v>
      </c>
      <c r="N6" s="11">
        <v>44417.54247685185</v>
      </c>
      <c r="O6" s="21" t="s">
        <v>191</v>
      </c>
      <c r="P6" s="39">
        <f>PRODUCT(K6:L6)</f>
        <v>64215</v>
      </c>
      <c r="X6" t="s">
        <v>66</v>
      </c>
      <c r="Y6">
        <v>2</v>
      </c>
      <c r="Z6">
        <v>2021</v>
      </c>
      <c r="AA6" t="s">
        <v>598</v>
      </c>
      <c r="AB6" s="20">
        <v>32653</v>
      </c>
      <c r="AD6" t="s">
        <v>66</v>
      </c>
      <c r="AE6">
        <v>11</v>
      </c>
      <c r="AF6">
        <v>2021</v>
      </c>
      <c r="AG6" t="s">
        <v>607</v>
      </c>
      <c r="AH6">
        <v>1144</v>
      </c>
    </row>
    <row r="7" spans="1:34" x14ac:dyDescent="0.25">
      <c r="A7">
        <v>2021</v>
      </c>
      <c r="B7">
        <v>3</v>
      </c>
      <c r="C7" s="2" t="s">
        <v>66</v>
      </c>
      <c r="D7" s="1" t="s">
        <v>67</v>
      </c>
      <c r="E7" s="18">
        <v>32799</v>
      </c>
      <c r="F7" s="1" t="s">
        <v>584</v>
      </c>
      <c r="L7" s="12"/>
      <c r="N7" s="11"/>
      <c r="O7" s="21"/>
      <c r="P7" s="24"/>
      <c r="X7" t="s">
        <v>66</v>
      </c>
      <c r="Y7">
        <v>3</v>
      </c>
      <c r="Z7">
        <v>2021</v>
      </c>
      <c r="AA7" t="s">
        <v>599</v>
      </c>
      <c r="AB7" s="20">
        <v>30904</v>
      </c>
      <c r="AD7" t="s">
        <v>66</v>
      </c>
      <c r="AE7">
        <v>8</v>
      </c>
      <c r="AF7">
        <v>2021</v>
      </c>
      <c r="AG7" t="s">
        <v>608</v>
      </c>
      <c r="AH7">
        <v>510</v>
      </c>
    </row>
    <row r="8" spans="1:34" x14ac:dyDescent="0.25">
      <c r="A8">
        <v>2021</v>
      </c>
      <c r="B8">
        <v>4</v>
      </c>
      <c r="C8" s="2" t="s">
        <v>66</v>
      </c>
      <c r="D8" s="1" t="s">
        <v>67</v>
      </c>
      <c r="E8" s="18">
        <v>35854</v>
      </c>
      <c r="F8" s="1" t="s">
        <v>585</v>
      </c>
      <c r="L8" s="12"/>
      <c r="N8" s="11"/>
      <c r="O8" s="21"/>
      <c r="P8" s="24"/>
      <c r="X8" t="s">
        <v>66</v>
      </c>
      <c r="Y8">
        <v>4</v>
      </c>
      <c r="Z8">
        <v>2021</v>
      </c>
      <c r="AA8" t="s">
        <v>600</v>
      </c>
      <c r="AB8" s="20">
        <v>35441</v>
      </c>
      <c r="AD8" t="s">
        <v>66</v>
      </c>
      <c r="AE8">
        <v>7</v>
      </c>
      <c r="AF8">
        <v>2021</v>
      </c>
      <c r="AG8" t="s">
        <v>609</v>
      </c>
      <c r="AH8">
        <v>145</v>
      </c>
    </row>
    <row r="9" spans="1:34" x14ac:dyDescent="0.25">
      <c r="A9">
        <v>2021</v>
      </c>
      <c r="B9">
        <v>5</v>
      </c>
      <c r="C9" s="2" t="s">
        <v>66</v>
      </c>
      <c r="D9" s="1" t="s">
        <v>67</v>
      </c>
      <c r="E9" s="18">
        <v>29832</v>
      </c>
      <c r="F9" s="1" t="s">
        <v>586</v>
      </c>
      <c r="L9" s="12"/>
      <c r="N9" s="11"/>
      <c r="O9" s="21"/>
      <c r="P9" s="24"/>
      <c r="X9" t="s">
        <v>66</v>
      </c>
      <c r="Y9">
        <v>5</v>
      </c>
      <c r="Z9">
        <v>2021</v>
      </c>
      <c r="AA9" t="s">
        <v>586</v>
      </c>
      <c r="AB9" s="20">
        <v>29832</v>
      </c>
      <c r="AD9" t="s">
        <v>66</v>
      </c>
      <c r="AE9">
        <v>12</v>
      </c>
      <c r="AF9">
        <v>2021</v>
      </c>
      <c r="AG9" t="s">
        <v>610</v>
      </c>
      <c r="AH9">
        <v>38</v>
      </c>
    </row>
    <row r="10" spans="1:34" x14ac:dyDescent="0.25">
      <c r="A10">
        <v>2021</v>
      </c>
      <c r="B10">
        <v>6</v>
      </c>
      <c r="C10" s="2" t="s">
        <v>66</v>
      </c>
      <c r="D10" s="1" t="s">
        <v>67</v>
      </c>
      <c r="E10" s="18">
        <v>22029</v>
      </c>
      <c r="F10" s="1" t="s">
        <v>587</v>
      </c>
      <c r="L10" s="12"/>
      <c r="N10" s="11"/>
      <c r="O10" s="21"/>
      <c r="P10" s="24"/>
      <c r="X10" t="s">
        <v>66</v>
      </c>
      <c r="Y10">
        <v>6</v>
      </c>
      <c r="Z10">
        <v>2021</v>
      </c>
      <c r="AA10" t="s">
        <v>587</v>
      </c>
      <c r="AB10" s="20">
        <v>22029</v>
      </c>
      <c r="AD10" t="s">
        <v>66</v>
      </c>
      <c r="AE10">
        <v>3</v>
      </c>
      <c r="AF10">
        <v>2021</v>
      </c>
      <c r="AG10" t="s">
        <v>611</v>
      </c>
      <c r="AH10">
        <v>1895</v>
      </c>
    </row>
    <row r="11" spans="1:34" x14ac:dyDescent="0.25">
      <c r="A11">
        <v>2021</v>
      </c>
      <c r="B11">
        <v>7</v>
      </c>
      <c r="C11" s="2" t="s">
        <v>66</v>
      </c>
      <c r="D11" s="1" t="s">
        <v>67</v>
      </c>
      <c r="E11" s="18">
        <v>16289</v>
      </c>
      <c r="F11" s="1" t="s">
        <v>588</v>
      </c>
      <c r="N11" s="11"/>
      <c r="O11" s="21"/>
      <c r="P11" s="24"/>
      <c r="X11" t="s">
        <v>66</v>
      </c>
      <c r="Y11">
        <v>7</v>
      </c>
      <c r="Z11">
        <v>2021</v>
      </c>
      <c r="AA11" t="s">
        <v>601</v>
      </c>
      <c r="AB11" s="20">
        <v>16144</v>
      </c>
      <c r="AD11" t="s">
        <v>66</v>
      </c>
      <c r="AE11">
        <v>4</v>
      </c>
      <c r="AF11">
        <v>2021</v>
      </c>
      <c r="AG11" t="s">
        <v>612</v>
      </c>
      <c r="AH11">
        <v>413</v>
      </c>
    </row>
    <row r="12" spans="1:34" x14ac:dyDescent="0.25">
      <c r="A12">
        <v>2021</v>
      </c>
      <c r="B12">
        <v>8</v>
      </c>
      <c r="C12" s="2" t="s">
        <v>66</v>
      </c>
      <c r="D12" s="1" t="s">
        <v>67</v>
      </c>
      <c r="E12" s="18">
        <v>22624</v>
      </c>
      <c r="F12" s="1" t="s">
        <v>589</v>
      </c>
      <c r="N12" s="11"/>
      <c r="O12" s="21"/>
      <c r="P12" s="24"/>
      <c r="X12" t="s">
        <v>66</v>
      </c>
      <c r="Y12">
        <v>8</v>
      </c>
      <c r="Z12">
        <v>2021</v>
      </c>
      <c r="AA12" t="s">
        <v>602</v>
      </c>
      <c r="AB12" s="20">
        <v>22114</v>
      </c>
      <c r="AD12" t="s">
        <v>66</v>
      </c>
      <c r="AE12">
        <v>2</v>
      </c>
      <c r="AF12">
        <v>2021</v>
      </c>
      <c r="AG12" t="s">
        <v>613</v>
      </c>
      <c r="AH12">
        <v>1377</v>
      </c>
    </row>
    <row r="13" spans="1:34" x14ac:dyDescent="0.25">
      <c r="A13">
        <v>2021</v>
      </c>
      <c r="B13">
        <v>9</v>
      </c>
      <c r="C13" s="2" t="s">
        <v>66</v>
      </c>
      <c r="D13" s="1" t="s">
        <v>67</v>
      </c>
      <c r="E13" s="18">
        <v>25668</v>
      </c>
      <c r="F13" s="1" t="s">
        <v>590</v>
      </c>
      <c r="L13" s="12"/>
      <c r="N13" s="11"/>
      <c r="O13" s="21"/>
      <c r="P13" s="24"/>
      <c r="X13" t="s">
        <v>66</v>
      </c>
      <c r="Y13">
        <v>9</v>
      </c>
      <c r="Z13">
        <v>2021</v>
      </c>
      <c r="AA13" t="s">
        <v>590</v>
      </c>
      <c r="AB13" s="20">
        <v>25668</v>
      </c>
    </row>
    <row r="14" spans="1:34" x14ac:dyDescent="0.25">
      <c r="A14">
        <v>2021</v>
      </c>
      <c r="B14">
        <v>10</v>
      </c>
      <c r="C14" s="2" t="s">
        <v>66</v>
      </c>
      <c r="D14" s="1" t="s">
        <v>67</v>
      </c>
      <c r="E14" s="18">
        <v>30614</v>
      </c>
      <c r="F14" s="1" t="s">
        <v>591</v>
      </c>
      <c r="L14" s="12"/>
      <c r="N14" s="11"/>
      <c r="O14" s="21"/>
      <c r="P14" s="24"/>
      <c r="X14" t="s">
        <v>66</v>
      </c>
      <c r="Y14">
        <v>10</v>
      </c>
      <c r="Z14">
        <v>2021</v>
      </c>
      <c r="AA14" t="s">
        <v>603</v>
      </c>
      <c r="AB14" s="20">
        <v>30030</v>
      </c>
    </row>
    <row r="15" spans="1:34" x14ac:dyDescent="0.25">
      <c r="A15">
        <v>2021</v>
      </c>
      <c r="B15">
        <v>11</v>
      </c>
      <c r="C15" s="2" t="s">
        <v>66</v>
      </c>
      <c r="D15" s="1" t="s">
        <v>67</v>
      </c>
      <c r="E15" s="18">
        <v>42464</v>
      </c>
      <c r="F15" s="1" t="s">
        <v>592</v>
      </c>
      <c r="L15" s="12"/>
      <c r="N15" s="11"/>
      <c r="O15" s="21"/>
      <c r="P15" s="24"/>
      <c r="X15" t="s">
        <v>66</v>
      </c>
      <c r="Y15">
        <v>11</v>
      </c>
      <c r="Z15">
        <v>2021</v>
      </c>
      <c r="AA15" t="s">
        <v>604</v>
      </c>
      <c r="AB15" s="20">
        <v>41320</v>
      </c>
    </row>
    <row r="16" spans="1:34" x14ac:dyDescent="0.25">
      <c r="A16">
        <v>2021</v>
      </c>
      <c r="B16">
        <v>12</v>
      </c>
      <c r="C16" s="2" t="s">
        <v>66</v>
      </c>
      <c r="D16" s="1" t="s">
        <v>67</v>
      </c>
      <c r="E16" s="18">
        <v>36426</v>
      </c>
      <c r="F16" s="1" t="s">
        <v>593</v>
      </c>
      <c r="L16" s="12"/>
      <c r="N16" s="11"/>
      <c r="O16" s="21"/>
      <c r="P16" s="24"/>
      <c r="X16" t="s">
        <v>66</v>
      </c>
      <c r="Y16">
        <v>12</v>
      </c>
      <c r="Z16">
        <v>2021</v>
      </c>
      <c r="AA16" t="s">
        <v>605</v>
      </c>
      <c r="AB16" s="20">
        <v>36388</v>
      </c>
    </row>
    <row r="17" spans="4:34" x14ac:dyDescent="0.25">
      <c r="D17" s="1"/>
      <c r="E17" s="25"/>
      <c r="F17" s="1"/>
      <c r="L17" s="12"/>
      <c r="N17" s="11"/>
      <c r="O17" s="21"/>
      <c r="P17" s="24"/>
      <c r="AB17" s="20"/>
      <c r="AE17" s="9"/>
      <c r="AH17" s="22"/>
    </row>
    <row r="18" spans="4:34" x14ac:dyDescent="0.25">
      <c r="D18" s="1"/>
      <c r="E18" s="25"/>
      <c r="F18" s="1"/>
      <c r="L18" s="12"/>
      <c r="N18" s="11"/>
      <c r="O18" s="21"/>
      <c r="P18" s="24"/>
      <c r="AB18" s="20"/>
      <c r="AE18" s="9"/>
      <c r="AH18" s="22"/>
    </row>
    <row r="19" spans="4:34" x14ac:dyDescent="0.25">
      <c r="L19" s="12"/>
      <c r="N19" s="4"/>
      <c r="AB19" s="1"/>
      <c r="AE19" s="9"/>
      <c r="AH19" s="22"/>
    </row>
    <row r="20" spans="4:34" x14ac:dyDescent="0.25">
      <c r="L20" s="12"/>
      <c r="N20" s="4"/>
      <c r="AB20" s="1"/>
    </row>
    <row r="21" spans="4:34" x14ac:dyDescent="0.25">
      <c r="E21" s="2"/>
      <c r="F21" s="1"/>
      <c r="L21" s="12"/>
      <c r="N21" s="4"/>
    </row>
    <row r="22" spans="4:34" x14ac:dyDescent="0.25">
      <c r="E22" s="2"/>
      <c r="F22" s="1"/>
      <c r="L22" s="12"/>
      <c r="N22" s="4"/>
    </row>
    <row r="23" spans="4:34" x14ac:dyDescent="0.25">
      <c r="E23" s="2"/>
      <c r="F23" s="1"/>
      <c r="L23" s="12"/>
      <c r="N23" s="4"/>
    </row>
    <row r="24" spans="4:34" x14ac:dyDescent="0.25">
      <c r="E24" s="2"/>
      <c r="F24" s="1"/>
      <c r="L24" s="12"/>
      <c r="N24" s="4"/>
    </row>
    <row r="25" spans="4:34" x14ac:dyDescent="0.25">
      <c r="E25" s="2"/>
      <c r="F25" s="1"/>
      <c r="L25" s="12"/>
      <c r="N25" s="4"/>
    </row>
    <row r="26" spans="4:34" x14ac:dyDescent="0.25">
      <c r="E26" s="2"/>
      <c r="F26" s="1"/>
      <c r="L26" s="12"/>
      <c r="N26" s="4"/>
    </row>
    <row r="27" spans="4:34" x14ac:dyDescent="0.25">
      <c r="E27" s="2"/>
      <c r="F27" s="1"/>
      <c r="L27" s="12"/>
      <c r="N27" s="4"/>
    </row>
    <row r="28" spans="4:34" x14ac:dyDescent="0.25">
      <c r="E28" s="2"/>
      <c r="F28" s="1"/>
    </row>
    <row r="29" spans="4:34" x14ac:dyDescent="0.25">
      <c r="E29" s="3">
        <f>SUM(E5:E28)</f>
        <v>360783</v>
      </c>
      <c r="F29" s="3"/>
      <c r="K29" s="3">
        <f>SUM(K5:K28)</f>
        <v>22497</v>
      </c>
      <c r="L29" s="12">
        <f t="shared" ref="L29" si="0">IFERROR(P29/K29, 0)</f>
        <v>4.5708761168155752</v>
      </c>
      <c r="P29" s="3">
        <f>SUM(P5:P28)</f>
        <v>102831</v>
      </c>
      <c r="U29" s="3">
        <f>SUM(U5:U28)</f>
        <v>0</v>
      </c>
      <c r="V29" s="3"/>
      <c r="AB29" s="3">
        <f>SUM(AB5:AB28)</f>
        <v>332180</v>
      </c>
      <c r="AH29" s="3">
        <f>SUM(AH5:AH28)</f>
        <v>6106</v>
      </c>
    </row>
    <row r="33" spans="3:7" x14ac:dyDescent="0.25">
      <c r="C33" s="6" t="s">
        <v>40</v>
      </c>
      <c r="D33" s="1">
        <f>E29</f>
        <v>360783</v>
      </c>
      <c r="G33" s="19" t="s">
        <v>543</v>
      </c>
    </row>
    <row r="34" spans="3:7" x14ac:dyDescent="0.25">
      <c r="C34" s="6" t="s">
        <v>41</v>
      </c>
      <c r="D34" s="13">
        <f>K29</f>
        <v>22497</v>
      </c>
      <c r="E34" s="12">
        <f>L29</f>
        <v>4.5708761168155752</v>
      </c>
      <c r="F34" s="12">
        <f>P29</f>
        <v>102831</v>
      </c>
      <c r="G34" s="19" t="s">
        <v>543</v>
      </c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6106</v>
      </c>
      <c r="G36" s="19" t="s">
        <v>543</v>
      </c>
    </row>
    <row r="37" spans="3:7" x14ac:dyDescent="0.25">
      <c r="C37" s="6" t="s">
        <v>352</v>
      </c>
      <c r="D37" s="13">
        <f>D33 - SUM(D34:D36)</f>
        <v>332180</v>
      </c>
      <c r="E37" s="9" t="s">
        <v>440</v>
      </c>
      <c r="G37" s="19" t="s">
        <v>543</v>
      </c>
    </row>
    <row r="38" spans="3:7" x14ac:dyDescent="0.25">
      <c r="C38" s="6"/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26EF-87F6-4D74-9BB2-992C7654428B}">
  <sheetPr>
    <pageSetUpPr autoPageBreaks="0" fitToPage="1"/>
  </sheetPr>
  <dimension ref="A1:AH40"/>
  <sheetViews>
    <sheetView showGridLines="0" zoomScaleNormal="100" workbookViewId="0">
      <selection activeCell="D35" sqref="D35"/>
    </sheetView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2021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2021</v>
      </c>
      <c r="B5">
        <v>1</v>
      </c>
      <c r="C5" s="2" t="s">
        <v>623</v>
      </c>
      <c r="D5" s="1" t="s">
        <v>624</v>
      </c>
      <c r="E5" s="18">
        <v>24650</v>
      </c>
      <c r="F5" s="1" t="s">
        <v>629</v>
      </c>
      <c r="H5">
        <v>2021</v>
      </c>
      <c r="I5">
        <v>1</v>
      </c>
      <c r="J5" t="s">
        <v>623</v>
      </c>
      <c r="K5" s="1">
        <v>24650</v>
      </c>
      <c r="L5" s="24">
        <v>6</v>
      </c>
      <c r="M5" t="s">
        <v>629</v>
      </c>
      <c r="N5" s="11">
        <v>44621.578715277778</v>
      </c>
      <c r="O5" s="21" t="s">
        <v>191</v>
      </c>
      <c r="P5" s="39">
        <f>PRODUCT(K5:L5)</f>
        <v>147900</v>
      </c>
      <c r="X5" t="s">
        <v>623</v>
      </c>
      <c r="Y5">
        <v>3</v>
      </c>
      <c r="Z5">
        <v>2021</v>
      </c>
      <c r="AA5" t="s">
        <v>647</v>
      </c>
      <c r="AB5" s="20">
        <v>5585</v>
      </c>
      <c r="AD5" t="s">
        <v>623</v>
      </c>
      <c r="AE5">
        <v>7</v>
      </c>
      <c r="AF5">
        <v>2021</v>
      </c>
      <c r="AG5" t="s">
        <v>651</v>
      </c>
      <c r="AH5">
        <v>481</v>
      </c>
    </row>
    <row r="6" spans="1:34" x14ac:dyDescent="0.25">
      <c r="A6">
        <v>2021</v>
      </c>
      <c r="B6">
        <v>2</v>
      </c>
      <c r="C6" s="2" t="s">
        <v>623</v>
      </c>
      <c r="D6" s="1" t="s">
        <v>624</v>
      </c>
      <c r="E6" s="18">
        <v>41781</v>
      </c>
      <c r="F6" s="1" t="s">
        <v>630</v>
      </c>
      <c r="H6">
        <v>2021</v>
      </c>
      <c r="I6">
        <v>2</v>
      </c>
      <c r="J6" t="s">
        <v>623</v>
      </c>
      <c r="K6" s="1">
        <v>21735</v>
      </c>
      <c r="L6" s="24">
        <v>6</v>
      </c>
      <c r="M6" t="s">
        <v>641</v>
      </c>
      <c r="N6" s="11">
        <v>44621.578726851854</v>
      </c>
      <c r="O6" s="21" t="s">
        <v>191</v>
      </c>
      <c r="P6" s="39">
        <f>PRODUCT(K6:L6)</f>
        <v>130410</v>
      </c>
      <c r="X6" t="s">
        <v>623</v>
      </c>
      <c r="Y6">
        <v>4</v>
      </c>
      <c r="Z6">
        <v>2021</v>
      </c>
      <c r="AA6" t="s">
        <v>632</v>
      </c>
      <c r="AB6" s="20">
        <v>42526</v>
      </c>
    </row>
    <row r="7" spans="1:34" x14ac:dyDescent="0.25">
      <c r="A7">
        <v>2021</v>
      </c>
      <c r="B7">
        <v>3</v>
      </c>
      <c r="C7" s="2" t="s">
        <v>623</v>
      </c>
      <c r="D7" s="1" t="s">
        <v>624</v>
      </c>
      <c r="E7" s="18">
        <v>35539</v>
      </c>
      <c r="F7" s="1" t="s">
        <v>631</v>
      </c>
      <c r="H7">
        <v>2021</v>
      </c>
      <c r="I7">
        <v>11</v>
      </c>
      <c r="J7" t="s">
        <v>623</v>
      </c>
      <c r="K7" s="1">
        <v>20977</v>
      </c>
      <c r="L7" s="24">
        <v>6</v>
      </c>
      <c r="M7" t="s">
        <v>642</v>
      </c>
      <c r="N7" s="11">
        <v>44655.452361111114</v>
      </c>
      <c r="O7" s="21" t="s">
        <v>191</v>
      </c>
      <c r="P7" s="39">
        <f t="shared" ref="P7:P10" si="0">PRODUCT(K7:L7)</f>
        <v>125862</v>
      </c>
      <c r="X7" t="s">
        <v>623</v>
      </c>
      <c r="Y7">
        <v>5</v>
      </c>
      <c r="Z7">
        <v>2021</v>
      </c>
      <c r="AA7" t="s">
        <v>633</v>
      </c>
      <c r="AB7" s="20">
        <v>35793</v>
      </c>
    </row>
    <row r="8" spans="1:34" x14ac:dyDescent="0.25">
      <c r="A8">
        <v>2021</v>
      </c>
      <c r="B8">
        <v>4</v>
      </c>
      <c r="C8" s="2" t="s">
        <v>623</v>
      </c>
      <c r="D8" s="1" t="s">
        <v>624</v>
      </c>
      <c r="E8" s="18">
        <v>42526</v>
      </c>
      <c r="F8" s="1" t="s">
        <v>632</v>
      </c>
      <c r="H8">
        <v>2021</v>
      </c>
      <c r="I8">
        <v>12</v>
      </c>
      <c r="J8" t="s">
        <v>623</v>
      </c>
      <c r="K8" s="1">
        <v>32638</v>
      </c>
      <c r="L8" s="24">
        <v>6</v>
      </c>
      <c r="M8" t="s">
        <v>643</v>
      </c>
      <c r="N8" s="11">
        <v>44655.452361111114</v>
      </c>
      <c r="O8" s="21" t="s">
        <v>191</v>
      </c>
      <c r="P8" s="39">
        <f t="shared" si="0"/>
        <v>195828</v>
      </c>
      <c r="X8" t="s">
        <v>623</v>
      </c>
      <c r="Y8">
        <v>6</v>
      </c>
      <c r="Z8">
        <v>2021</v>
      </c>
      <c r="AA8" t="s">
        <v>634</v>
      </c>
      <c r="AB8" s="20">
        <v>34155</v>
      </c>
    </row>
    <row r="9" spans="1:34" x14ac:dyDescent="0.25">
      <c r="A9">
        <v>2021</v>
      </c>
      <c r="B9">
        <v>5</v>
      </c>
      <c r="C9" s="2" t="s">
        <v>623</v>
      </c>
      <c r="D9" s="1" t="s">
        <v>624</v>
      </c>
      <c r="E9" s="18">
        <v>35793</v>
      </c>
      <c r="F9" s="1" t="s">
        <v>633</v>
      </c>
      <c r="H9">
        <v>2021</v>
      </c>
      <c r="I9">
        <v>2</v>
      </c>
      <c r="J9" t="s">
        <v>623</v>
      </c>
      <c r="K9" s="1">
        <v>20046</v>
      </c>
      <c r="L9" s="24">
        <f>(4 + 4.1) / 2</f>
        <v>4.05</v>
      </c>
      <c r="M9" t="s">
        <v>644</v>
      </c>
      <c r="N9" s="11">
        <v>44663.341157407405</v>
      </c>
      <c r="O9" s="21" t="s">
        <v>646</v>
      </c>
      <c r="P9" s="39">
        <f t="shared" si="0"/>
        <v>81186.3</v>
      </c>
      <c r="X9" t="s">
        <v>623</v>
      </c>
      <c r="Y9">
        <v>7</v>
      </c>
      <c r="Z9">
        <v>2021</v>
      </c>
      <c r="AA9" t="s">
        <v>648</v>
      </c>
      <c r="AB9" s="20">
        <v>21097</v>
      </c>
    </row>
    <row r="10" spans="1:34" x14ac:dyDescent="0.25">
      <c r="A10">
        <v>2021</v>
      </c>
      <c r="B10">
        <v>6</v>
      </c>
      <c r="C10" s="2" t="s">
        <v>623</v>
      </c>
      <c r="D10" s="1" t="s">
        <v>624</v>
      </c>
      <c r="E10" s="18">
        <v>34155</v>
      </c>
      <c r="F10" s="1" t="s">
        <v>634</v>
      </c>
      <c r="H10">
        <v>2021</v>
      </c>
      <c r="I10">
        <v>3</v>
      </c>
      <c r="J10" t="s">
        <v>623</v>
      </c>
      <c r="K10" s="1">
        <v>29954</v>
      </c>
      <c r="L10" s="24">
        <f>(4 + 4.1) / 2</f>
        <v>4.05</v>
      </c>
      <c r="M10" t="s">
        <v>645</v>
      </c>
      <c r="N10" s="11">
        <v>44663.341157407405</v>
      </c>
      <c r="O10" s="21" t="s">
        <v>646</v>
      </c>
      <c r="P10" s="39">
        <f t="shared" si="0"/>
        <v>121313.7</v>
      </c>
      <c r="X10" t="s">
        <v>623</v>
      </c>
      <c r="Y10">
        <v>8</v>
      </c>
      <c r="Z10">
        <v>2021</v>
      </c>
      <c r="AA10" t="s">
        <v>636</v>
      </c>
      <c r="AB10" s="20">
        <v>30669</v>
      </c>
    </row>
    <row r="11" spans="1:34" x14ac:dyDescent="0.25">
      <c r="A11">
        <v>2021</v>
      </c>
      <c r="B11">
        <v>7</v>
      </c>
      <c r="C11" s="2" t="s">
        <v>623</v>
      </c>
      <c r="D11" s="1" t="s">
        <v>624</v>
      </c>
      <c r="E11" s="18">
        <v>21578</v>
      </c>
      <c r="F11" s="1" t="s">
        <v>635</v>
      </c>
      <c r="K11" s="1"/>
      <c r="L11" s="24"/>
      <c r="N11" s="11"/>
      <c r="O11" s="21"/>
      <c r="P11" s="24"/>
      <c r="X11" t="s">
        <v>623</v>
      </c>
      <c r="Y11">
        <v>9</v>
      </c>
      <c r="Z11">
        <v>2021</v>
      </c>
      <c r="AA11" t="s">
        <v>637</v>
      </c>
      <c r="AB11" s="20">
        <v>30883</v>
      </c>
    </row>
    <row r="12" spans="1:34" x14ac:dyDescent="0.25">
      <c r="A12">
        <v>2021</v>
      </c>
      <c r="B12">
        <v>8</v>
      </c>
      <c r="C12" s="2" t="s">
        <v>623</v>
      </c>
      <c r="D12" s="1" t="s">
        <v>624</v>
      </c>
      <c r="E12" s="18">
        <v>30669</v>
      </c>
      <c r="F12" s="1" t="s">
        <v>636</v>
      </c>
      <c r="K12" s="1"/>
      <c r="L12" s="24"/>
      <c r="N12" s="11"/>
      <c r="O12" s="21"/>
      <c r="P12" s="24"/>
      <c r="X12" t="s">
        <v>623</v>
      </c>
      <c r="Y12">
        <v>10</v>
      </c>
      <c r="Z12">
        <v>2021</v>
      </c>
      <c r="AA12" t="s">
        <v>638</v>
      </c>
      <c r="AB12" s="20">
        <v>38781</v>
      </c>
    </row>
    <row r="13" spans="1:34" x14ac:dyDescent="0.25">
      <c r="A13">
        <v>2021</v>
      </c>
      <c r="B13">
        <v>9</v>
      </c>
      <c r="C13" s="2" t="s">
        <v>623</v>
      </c>
      <c r="D13" s="1" t="s">
        <v>624</v>
      </c>
      <c r="E13" s="18">
        <v>30883</v>
      </c>
      <c r="F13" s="1" t="s">
        <v>637</v>
      </c>
      <c r="K13" s="1"/>
      <c r="L13" s="24"/>
      <c r="N13" s="11"/>
      <c r="O13" s="21"/>
      <c r="P13" s="24"/>
      <c r="X13" t="s">
        <v>623</v>
      </c>
      <c r="Y13">
        <v>11</v>
      </c>
      <c r="Z13">
        <v>2021</v>
      </c>
      <c r="AA13" t="s">
        <v>649</v>
      </c>
      <c r="AB13" s="20">
        <v>24439</v>
      </c>
    </row>
    <row r="14" spans="1:34" x14ac:dyDescent="0.25">
      <c r="A14">
        <v>2021</v>
      </c>
      <c r="B14">
        <v>10</v>
      </c>
      <c r="C14" s="2" t="s">
        <v>623</v>
      </c>
      <c r="D14" s="1" t="s">
        <v>624</v>
      </c>
      <c r="E14" s="18">
        <v>38781</v>
      </c>
      <c r="F14" s="1" t="s">
        <v>638</v>
      </c>
      <c r="K14" s="1"/>
      <c r="L14" s="24"/>
      <c r="N14" s="11"/>
      <c r="O14" s="21"/>
      <c r="P14" s="24"/>
      <c r="X14" t="s">
        <v>623</v>
      </c>
      <c r="Y14">
        <v>12</v>
      </c>
      <c r="Z14">
        <v>2021</v>
      </c>
      <c r="AA14" t="s">
        <v>650</v>
      </c>
      <c r="AB14" s="20">
        <v>9101</v>
      </c>
    </row>
    <row r="15" spans="1:34" x14ac:dyDescent="0.25">
      <c r="A15">
        <v>2021</v>
      </c>
      <c r="B15">
        <v>11</v>
      </c>
      <c r="C15" s="2" t="s">
        <v>623</v>
      </c>
      <c r="D15" s="1" t="s">
        <v>624</v>
      </c>
      <c r="E15" s="18">
        <v>45416</v>
      </c>
      <c r="F15" s="1" t="s">
        <v>639</v>
      </c>
      <c r="K15" s="1"/>
      <c r="L15" s="24"/>
      <c r="N15" s="11"/>
      <c r="O15" s="21"/>
      <c r="P15" s="24"/>
      <c r="AB15" s="20"/>
    </row>
    <row r="16" spans="1:34" x14ac:dyDescent="0.25">
      <c r="A16">
        <v>2021</v>
      </c>
      <c r="B16">
        <v>12</v>
      </c>
      <c r="C16" s="2" t="s">
        <v>623</v>
      </c>
      <c r="D16" s="1" t="s">
        <v>624</v>
      </c>
      <c r="E16" s="18">
        <v>41739</v>
      </c>
      <c r="F16" s="1" t="s">
        <v>640</v>
      </c>
      <c r="L16" s="12"/>
      <c r="N16" s="11"/>
      <c r="O16" s="21"/>
      <c r="P16" s="24"/>
      <c r="AB16" s="20"/>
    </row>
    <row r="17" spans="4:34" x14ac:dyDescent="0.25">
      <c r="D17" s="1"/>
      <c r="E17" s="25"/>
      <c r="F17" s="1"/>
      <c r="L17" s="12"/>
      <c r="N17" s="11"/>
      <c r="O17" s="21"/>
      <c r="P17" s="24"/>
      <c r="AB17" s="20"/>
      <c r="AE17" s="9"/>
      <c r="AH17" s="22"/>
    </row>
    <row r="18" spans="4:34" x14ac:dyDescent="0.25">
      <c r="D18" s="1"/>
      <c r="E18" s="25"/>
      <c r="F18" s="1"/>
      <c r="L18" s="12"/>
      <c r="N18" s="11"/>
      <c r="O18" s="21"/>
      <c r="P18" s="24"/>
      <c r="AB18" s="20"/>
      <c r="AE18" s="9"/>
      <c r="AH18" s="22"/>
    </row>
    <row r="19" spans="4:34" x14ac:dyDescent="0.25">
      <c r="L19" s="12"/>
      <c r="N19" s="4"/>
      <c r="AB19" s="1"/>
      <c r="AE19" s="9"/>
      <c r="AH19" s="22"/>
    </row>
    <row r="20" spans="4:34" x14ac:dyDescent="0.25">
      <c r="L20" s="12"/>
      <c r="N20" s="4"/>
      <c r="AB20" s="1"/>
    </row>
    <row r="21" spans="4:34" x14ac:dyDescent="0.25">
      <c r="E21" s="2"/>
      <c r="F21" s="1"/>
      <c r="L21" s="12"/>
      <c r="N21" s="4"/>
    </row>
    <row r="22" spans="4:34" x14ac:dyDescent="0.25">
      <c r="E22" s="2"/>
      <c r="F22" s="1"/>
      <c r="L22" s="12"/>
      <c r="N22" s="4"/>
    </row>
    <row r="23" spans="4:34" x14ac:dyDescent="0.25">
      <c r="E23" s="2"/>
      <c r="F23" s="1"/>
      <c r="L23" s="12"/>
      <c r="N23" s="4"/>
    </row>
    <row r="24" spans="4:34" x14ac:dyDescent="0.25">
      <c r="E24" s="2"/>
      <c r="F24" s="1"/>
      <c r="L24" s="12"/>
      <c r="N24" s="4"/>
    </row>
    <row r="25" spans="4:34" x14ac:dyDescent="0.25">
      <c r="E25" s="2"/>
      <c r="F25" s="1"/>
      <c r="L25" s="12"/>
      <c r="N25" s="4"/>
    </row>
    <row r="26" spans="4:34" x14ac:dyDescent="0.25">
      <c r="E26" s="2"/>
      <c r="F26" s="1"/>
      <c r="L26" s="12"/>
      <c r="N26" s="4"/>
    </row>
    <row r="27" spans="4:34" x14ac:dyDescent="0.25">
      <c r="E27" s="2"/>
      <c r="F27" s="1"/>
      <c r="L27" s="12"/>
      <c r="N27" s="4"/>
    </row>
    <row r="28" spans="4:34" x14ac:dyDescent="0.25">
      <c r="E28" s="2"/>
      <c r="F28" s="1"/>
    </row>
    <row r="29" spans="4:34" x14ac:dyDescent="0.25">
      <c r="E29" s="3">
        <f>SUM(E5:E28)</f>
        <v>423510</v>
      </c>
      <c r="F29" s="3"/>
      <c r="K29" s="3">
        <f>SUM(K5:K28)</f>
        <v>150000</v>
      </c>
      <c r="L29" s="12">
        <f t="shared" ref="L29" si="1">IFERROR(P29/K29, 0)</f>
        <v>5.35</v>
      </c>
      <c r="P29" s="3">
        <f>SUM(P5:P28)</f>
        <v>802500</v>
      </c>
      <c r="U29" s="3">
        <f>SUM(U5:U28)</f>
        <v>0</v>
      </c>
      <c r="V29" s="3"/>
      <c r="AB29" s="3">
        <f>SUM(AB5:AB28)</f>
        <v>273029</v>
      </c>
      <c r="AH29" s="3">
        <f>SUM(AH5:AH28)</f>
        <v>481</v>
      </c>
    </row>
    <row r="33" spans="3:7" x14ac:dyDescent="0.25">
      <c r="C33" s="6" t="s">
        <v>40</v>
      </c>
      <c r="D33" s="1">
        <f>E29</f>
        <v>423510</v>
      </c>
      <c r="G33" s="19" t="s">
        <v>543</v>
      </c>
    </row>
    <row r="34" spans="3:7" x14ac:dyDescent="0.25">
      <c r="C34" s="6" t="s">
        <v>41</v>
      </c>
      <c r="D34" s="13">
        <f>K29</f>
        <v>150000</v>
      </c>
      <c r="E34" s="12">
        <f>L29</f>
        <v>5.35</v>
      </c>
      <c r="F34" s="12">
        <f>P29</f>
        <v>802500</v>
      </c>
      <c r="G34" s="19" t="s">
        <v>543</v>
      </c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481</v>
      </c>
      <c r="G36" s="19" t="s">
        <v>543</v>
      </c>
    </row>
    <row r="37" spans="3:7" x14ac:dyDescent="0.25">
      <c r="C37" s="6" t="s">
        <v>352</v>
      </c>
      <c r="D37" s="13">
        <f>D33 - SUM(D34:D36)</f>
        <v>273029</v>
      </c>
      <c r="E37" s="9" t="s">
        <v>440</v>
      </c>
      <c r="G37" s="19" t="s">
        <v>543</v>
      </c>
    </row>
    <row r="38" spans="3:7" x14ac:dyDescent="0.25">
      <c r="C38" s="6"/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0525-3610-41B6-BE7E-4B1BFDFED965}">
  <sheetPr>
    <pageSetUpPr autoPageBreaks="0" fitToPage="1"/>
  </sheetPr>
  <dimension ref="A1:AL41"/>
  <sheetViews>
    <sheetView showGridLines="0" zoomScaleNormal="100" workbookViewId="0">
      <selection activeCell="A2" sqref="A2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8.5703125" bestFit="1" customWidth="1"/>
    <col min="12" max="12" width="10.7109375" customWidth="1"/>
    <col min="13" max="13" width="30.28515625" bestFit="1" customWidth="1"/>
    <col min="14" max="14" width="11.5703125" bestFit="1" customWidth="1"/>
    <col min="18" max="18" width="28.7109375" bestFit="1" customWidth="1"/>
    <col min="25" max="25" width="28.7109375" bestFit="1" customWidth="1"/>
    <col min="31" max="31" width="28.7109375" bestFit="1" customWidth="1"/>
  </cols>
  <sheetData>
    <row r="1" spans="1:38" ht="18.75" x14ac:dyDescent="0.3">
      <c r="A1" s="8">
        <v>2022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350</v>
      </c>
    </row>
    <row r="4" spans="1:38" x14ac:dyDescent="0.25">
      <c r="A4" t="s">
        <v>4</v>
      </c>
      <c r="B4" t="s">
        <v>5</v>
      </c>
      <c r="C4" t="s">
        <v>529</v>
      </c>
      <c r="D4" t="s">
        <v>36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542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0</v>
      </c>
      <c r="B5" t="s">
        <v>2</v>
      </c>
      <c r="C5" s="2">
        <v>44592</v>
      </c>
      <c r="D5" s="18">
        <v>25419</v>
      </c>
      <c r="E5" t="s">
        <v>616</v>
      </c>
      <c r="I5" s="18"/>
      <c r="J5" s="24"/>
      <c r="L5" s="11"/>
      <c r="N5" s="39">
        <f>PRODUCT(I5:J5)</f>
        <v>0</v>
      </c>
      <c r="V5" t="s">
        <v>0</v>
      </c>
      <c r="W5">
        <v>1</v>
      </c>
      <c r="X5">
        <v>2022</v>
      </c>
      <c r="Y5" t="s">
        <v>617</v>
      </c>
      <c r="Z5" s="20">
        <v>25419</v>
      </c>
      <c r="AC5">
        <v>2</v>
      </c>
      <c r="AD5">
        <v>2022</v>
      </c>
      <c r="AE5" t="s">
        <v>622</v>
      </c>
      <c r="AF5" s="20">
        <v>3655</v>
      </c>
      <c r="AL5" s="20"/>
    </row>
    <row r="6" spans="1:38" x14ac:dyDescent="0.25">
      <c r="A6" t="s">
        <v>0</v>
      </c>
      <c r="B6" t="s">
        <v>2</v>
      </c>
      <c r="C6" s="2">
        <v>44620</v>
      </c>
      <c r="D6" s="18">
        <v>28908</v>
      </c>
      <c r="E6" t="s">
        <v>615</v>
      </c>
      <c r="F6" s="6"/>
      <c r="I6" s="18"/>
      <c r="J6" s="24"/>
      <c r="L6" s="11"/>
      <c r="N6" s="39">
        <f>PRODUCT(I6:J6)</f>
        <v>0</v>
      </c>
      <c r="V6" t="s">
        <v>1</v>
      </c>
      <c r="W6">
        <v>1</v>
      </c>
      <c r="X6">
        <v>2022</v>
      </c>
      <c r="Y6" t="s">
        <v>618</v>
      </c>
      <c r="Z6" s="20">
        <v>3609</v>
      </c>
      <c r="AF6" s="20"/>
      <c r="AL6" s="20"/>
    </row>
    <row r="7" spans="1:38" x14ac:dyDescent="0.25">
      <c r="A7" t="s">
        <v>0</v>
      </c>
      <c r="B7" t="s">
        <v>2</v>
      </c>
      <c r="C7" s="2">
        <v>44651</v>
      </c>
      <c r="D7" s="18">
        <v>30487</v>
      </c>
      <c r="E7" t="s">
        <v>615</v>
      </c>
      <c r="I7" s="18"/>
      <c r="J7" s="24"/>
      <c r="L7" s="11"/>
      <c r="N7" s="39">
        <f>PRODUCT(I7:J7)</f>
        <v>0</v>
      </c>
      <c r="Z7" s="20"/>
      <c r="AF7" s="20"/>
      <c r="AL7" s="20"/>
    </row>
    <row r="8" spans="1:38" x14ac:dyDescent="0.25">
      <c r="A8" t="s">
        <v>0</v>
      </c>
      <c r="B8" t="s">
        <v>2</v>
      </c>
      <c r="C8" s="2">
        <v>44681</v>
      </c>
      <c r="D8" s="18">
        <v>19431</v>
      </c>
      <c r="E8" t="s">
        <v>615</v>
      </c>
      <c r="F8" s="6"/>
      <c r="I8" s="18"/>
      <c r="J8" s="24"/>
      <c r="L8" s="11"/>
      <c r="N8" s="39">
        <f>PRODUCT(I8:J8)</f>
        <v>0</v>
      </c>
      <c r="W8">
        <v>2</v>
      </c>
      <c r="X8">
        <v>2022</v>
      </c>
      <c r="Z8" s="20">
        <f>SUMIF($C$5:$C$28, DATE(X8, W8+1, 0), $D$5:$D$28) - AF5</f>
        <v>25253</v>
      </c>
      <c r="AF8" s="20"/>
      <c r="AL8" s="20"/>
    </row>
    <row r="9" spans="1:38" x14ac:dyDescent="0.25">
      <c r="A9" t="s">
        <v>0</v>
      </c>
      <c r="B9" t="s">
        <v>2</v>
      </c>
      <c r="C9" s="2">
        <v>44712</v>
      </c>
      <c r="D9" s="18">
        <v>3280</v>
      </c>
      <c r="E9" t="s">
        <v>614</v>
      </c>
      <c r="I9" s="18"/>
      <c r="J9" s="24"/>
      <c r="L9" s="11"/>
      <c r="N9" s="39">
        <f>PRODUCT(I9:J9)</f>
        <v>0</v>
      </c>
      <c r="W9">
        <v>3</v>
      </c>
      <c r="X9">
        <v>2022</v>
      </c>
      <c r="Z9" s="20">
        <f t="shared" ref="Z9:Z18" si="0">SUMIF($C$5:$C$28, DATE(X9, W9+1, 0), $D$5:$D$28)</f>
        <v>30487</v>
      </c>
      <c r="AF9" s="20"/>
      <c r="AL9" s="20"/>
    </row>
    <row r="10" spans="1:38" x14ac:dyDescent="0.25">
      <c r="A10" t="s">
        <v>0</v>
      </c>
      <c r="B10" t="s">
        <v>2</v>
      </c>
      <c r="C10" s="2">
        <v>44742</v>
      </c>
      <c r="D10" s="18">
        <v>22895</v>
      </c>
      <c r="E10" t="s">
        <v>615</v>
      </c>
      <c r="I10" s="18"/>
      <c r="J10" s="24"/>
      <c r="L10" s="11"/>
      <c r="N10" s="39">
        <f>PRODUCT(I10:J10)</f>
        <v>0</v>
      </c>
      <c r="W10">
        <v>4</v>
      </c>
      <c r="X10">
        <v>2022</v>
      </c>
      <c r="Z10" s="20">
        <f t="shared" si="0"/>
        <v>19431</v>
      </c>
      <c r="AF10" s="20"/>
      <c r="AL10" s="20"/>
    </row>
    <row r="11" spans="1:38" x14ac:dyDescent="0.25">
      <c r="A11" t="s">
        <v>0</v>
      </c>
      <c r="B11" t="s">
        <v>2</v>
      </c>
      <c r="C11" s="2">
        <v>44773</v>
      </c>
      <c r="D11" s="18">
        <v>32011</v>
      </c>
      <c r="E11" t="s">
        <v>615</v>
      </c>
      <c r="I11" s="18"/>
      <c r="J11" s="24"/>
      <c r="L11" s="11"/>
      <c r="N11" s="39">
        <f>PRODUCT(I11:J11)</f>
        <v>0</v>
      </c>
      <c r="W11">
        <v>5</v>
      </c>
      <c r="X11">
        <v>2022</v>
      </c>
      <c r="Z11" s="20">
        <f t="shared" si="0"/>
        <v>3280</v>
      </c>
      <c r="AF11" s="20"/>
      <c r="AL11" s="20"/>
    </row>
    <row r="12" spans="1:38" x14ac:dyDescent="0.25">
      <c r="A12" t="s">
        <v>0</v>
      </c>
      <c r="B12" t="s">
        <v>2</v>
      </c>
      <c r="C12" s="2">
        <v>44804</v>
      </c>
      <c r="D12" s="18">
        <v>33531</v>
      </c>
      <c r="E12" t="s">
        <v>615</v>
      </c>
      <c r="I12" s="18"/>
      <c r="J12" s="24"/>
      <c r="L12" s="11"/>
      <c r="N12" s="39">
        <f>PRODUCT(I12:J12)</f>
        <v>0</v>
      </c>
      <c r="W12">
        <v>6</v>
      </c>
      <c r="X12">
        <v>2022</v>
      </c>
      <c r="Z12" s="20">
        <f t="shared" si="0"/>
        <v>22895</v>
      </c>
      <c r="AF12" s="20"/>
      <c r="AL12" s="20"/>
    </row>
    <row r="13" spans="1:38" x14ac:dyDescent="0.25">
      <c r="A13" t="s">
        <v>0</v>
      </c>
      <c r="B13" t="s">
        <v>2</v>
      </c>
      <c r="C13" s="2">
        <v>44834</v>
      </c>
      <c r="D13" s="18">
        <v>32450</v>
      </c>
      <c r="E13" t="s">
        <v>615</v>
      </c>
      <c r="I13" s="18"/>
      <c r="J13" s="24"/>
      <c r="L13" s="11"/>
      <c r="N13" s="39">
        <f>PRODUCT(I13:J13)</f>
        <v>0</v>
      </c>
      <c r="W13">
        <v>7</v>
      </c>
      <c r="X13">
        <v>2022</v>
      </c>
      <c r="Z13" s="20">
        <f t="shared" si="0"/>
        <v>32011</v>
      </c>
      <c r="AF13" s="20"/>
      <c r="AL13" s="20"/>
    </row>
    <row r="14" spans="1:38" x14ac:dyDescent="0.25">
      <c r="A14" t="s">
        <v>0</v>
      </c>
      <c r="B14" t="s">
        <v>2</v>
      </c>
      <c r="C14" s="2">
        <v>44865</v>
      </c>
      <c r="D14" s="18">
        <v>33531</v>
      </c>
      <c r="E14" t="s">
        <v>615</v>
      </c>
      <c r="I14" s="18"/>
      <c r="J14" s="24"/>
      <c r="L14" s="11"/>
      <c r="N14" s="39">
        <f>PRODUCT(I14:J14)</f>
        <v>0</v>
      </c>
      <c r="W14">
        <v>8</v>
      </c>
      <c r="X14">
        <v>2022</v>
      </c>
      <c r="Z14" s="20">
        <f t="shared" si="0"/>
        <v>33531</v>
      </c>
      <c r="AF14" s="20"/>
      <c r="AL14" s="20"/>
    </row>
    <row r="15" spans="1:38" x14ac:dyDescent="0.25">
      <c r="A15" t="s">
        <v>0</v>
      </c>
      <c r="B15" t="s">
        <v>2</v>
      </c>
      <c r="C15" s="2">
        <v>44895</v>
      </c>
      <c r="D15" s="18">
        <v>32425</v>
      </c>
      <c r="E15" t="s">
        <v>615</v>
      </c>
      <c r="I15" s="18"/>
      <c r="J15" s="24"/>
      <c r="L15" s="11"/>
      <c r="N15" s="39">
        <f>PRODUCT(I15:J15)</f>
        <v>0</v>
      </c>
      <c r="W15">
        <v>9</v>
      </c>
      <c r="X15">
        <v>2022</v>
      </c>
      <c r="Z15" s="20">
        <f t="shared" si="0"/>
        <v>32450</v>
      </c>
      <c r="AF15" s="20"/>
      <c r="AL15" s="20"/>
    </row>
    <row r="16" spans="1:38" x14ac:dyDescent="0.25">
      <c r="A16" t="s">
        <v>0</v>
      </c>
      <c r="B16" t="s">
        <v>2</v>
      </c>
      <c r="C16" s="2">
        <v>44926</v>
      </c>
      <c r="D16" s="18">
        <v>33531</v>
      </c>
      <c r="E16" t="s">
        <v>615</v>
      </c>
      <c r="I16" s="18"/>
      <c r="J16" s="24"/>
      <c r="L16" s="11"/>
      <c r="N16" s="39">
        <f>PRODUCT(I16:J16)</f>
        <v>0</v>
      </c>
      <c r="W16">
        <v>10</v>
      </c>
      <c r="X16">
        <v>2022</v>
      </c>
      <c r="Z16" s="20">
        <f t="shared" si="0"/>
        <v>33531</v>
      </c>
      <c r="AF16" s="20"/>
      <c r="AL16" s="20"/>
    </row>
    <row r="17" spans="1:38" x14ac:dyDescent="0.25">
      <c r="A17" t="s">
        <v>1</v>
      </c>
      <c r="B17" t="s">
        <v>3</v>
      </c>
      <c r="C17" s="2">
        <v>44592</v>
      </c>
      <c r="D17" s="18">
        <v>3609</v>
      </c>
      <c r="E17" t="s">
        <v>616</v>
      </c>
      <c r="I17" s="18"/>
      <c r="J17" s="24"/>
      <c r="L17" s="11"/>
      <c r="N17" s="39">
        <f>PRODUCT(I17:J17)</f>
        <v>0</v>
      </c>
      <c r="W17">
        <v>11</v>
      </c>
      <c r="X17">
        <v>2022</v>
      </c>
      <c r="Z17" s="20">
        <f t="shared" si="0"/>
        <v>32425</v>
      </c>
      <c r="AF17" s="20"/>
      <c r="AL17" s="20"/>
    </row>
    <row r="18" spans="1:38" x14ac:dyDescent="0.25">
      <c r="A18" t="s">
        <v>1</v>
      </c>
      <c r="B18" t="s">
        <v>3</v>
      </c>
      <c r="C18" s="2">
        <v>44620</v>
      </c>
      <c r="D18" s="18"/>
      <c r="I18" s="18"/>
      <c r="J18" s="24"/>
      <c r="L18" s="11"/>
      <c r="N18" s="39">
        <f>PRODUCT(I18:J18)</f>
        <v>0</v>
      </c>
      <c r="W18">
        <v>12</v>
      </c>
      <c r="X18">
        <v>2022</v>
      </c>
      <c r="Z18" s="20">
        <f t="shared" si="0"/>
        <v>33531</v>
      </c>
      <c r="AF18" s="20"/>
      <c r="AL18" s="20"/>
    </row>
    <row r="19" spans="1:38" x14ac:dyDescent="0.25">
      <c r="A19" t="s">
        <v>1</v>
      </c>
      <c r="B19" t="s">
        <v>3</v>
      </c>
      <c r="C19" s="2">
        <v>44651</v>
      </c>
      <c r="D19" s="18"/>
      <c r="I19" s="18"/>
      <c r="J19" s="24"/>
      <c r="L19" s="11"/>
      <c r="N19" s="39">
        <f>PRODUCT(I19:J19)</f>
        <v>0</v>
      </c>
      <c r="Z19" s="20"/>
      <c r="AF19" s="18"/>
      <c r="AL19" s="18"/>
    </row>
    <row r="20" spans="1:38" x14ac:dyDescent="0.25">
      <c r="A20" t="s">
        <v>1</v>
      </c>
      <c r="B20" t="s">
        <v>3</v>
      </c>
      <c r="C20" s="2">
        <v>44681</v>
      </c>
      <c r="D20" s="18"/>
      <c r="I20" s="18"/>
      <c r="J20" s="24"/>
      <c r="L20" s="11"/>
      <c r="N20" s="39">
        <f>PRODUCT(I20:J20)</f>
        <v>0</v>
      </c>
      <c r="Z20" s="20"/>
    </row>
    <row r="21" spans="1:38" x14ac:dyDescent="0.25">
      <c r="A21" t="s">
        <v>1</v>
      </c>
      <c r="B21" t="s">
        <v>3</v>
      </c>
      <c r="C21" s="2">
        <v>44712</v>
      </c>
      <c r="D21" s="18"/>
      <c r="I21" s="18"/>
      <c r="J21" s="24"/>
      <c r="L21" s="11"/>
      <c r="N21" s="39">
        <f>PRODUCT(I21:J21)</f>
        <v>0</v>
      </c>
      <c r="Z21" s="20"/>
    </row>
    <row r="22" spans="1:38" x14ac:dyDescent="0.25">
      <c r="A22" t="s">
        <v>1</v>
      </c>
      <c r="B22" t="s">
        <v>3</v>
      </c>
      <c r="C22" s="2">
        <v>44742</v>
      </c>
      <c r="D22" s="18"/>
      <c r="I22" s="18"/>
      <c r="J22" s="24"/>
      <c r="L22" s="11"/>
      <c r="N22" s="39">
        <f>PRODUCT(I22:J22)</f>
        <v>0</v>
      </c>
      <c r="Z22" s="20"/>
    </row>
    <row r="23" spans="1:38" x14ac:dyDescent="0.25">
      <c r="A23" t="s">
        <v>1</v>
      </c>
      <c r="B23" t="s">
        <v>3</v>
      </c>
      <c r="C23" s="2">
        <v>44773</v>
      </c>
      <c r="D23" s="18"/>
      <c r="J23" s="12"/>
      <c r="L23" s="11"/>
      <c r="N23" s="24"/>
      <c r="Z23" s="20"/>
    </row>
    <row r="24" spans="1:38" x14ac:dyDescent="0.25">
      <c r="A24" t="s">
        <v>1</v>
      </c>
      <c r="B24" t="s">
        <v>3</v>
      </c>
      <c r="C24" s="2">
        <v>44804</v>
      </c>
      <c r="D24" s="18"/>
      <c r="J24" s="12"/>
      <c r="L24" s="11"/>
      <c r="N24" s="24"/>
      <c r="Z24" s="20"/>
    </row>
    <row r="25" spans="1:38" x14ac:dyDescent="0.25">
      <c r="A25" t="s">
        <v>1</v>
      </c>
      <c r="B25" t="s">
        <v>3</v>
      </c>
      <c r="C25" s="2">
        <v>44834</v>
      </c>
      <c r="D25" s="18"/>
      <c r="J25" s="12"/>
      <c r="L25" s="4"/>
      <c r="N25" s="24"/>
    </row>
    <row r="26" spans="1:38" x14ac:dyDescent="0.25">
      <c r="A26" t="s">
        <v>1</v>
      </c>
      <c r="B26" t="s">
        <v>3</v>
      </c>
      <c r="C26" s="2">
        <v>44865</v>
      </c>
      <c r="D26" s="18"/>
      <c r="J26" s="12"/>
      <c r="N26" s="24"/>
    </row>
    <row r="27" spans="1:38" x14ac:dyDescent="0.25">
      <c r="A27" t="s">
        <v>1</v>
      </c>
      <c r="B27" t="s">
        <v>3</v>
      </c>
      <c r="C27" s="2">
        <v>44895</v>
      </c>
      <c r="D27" s="18"/>
      <c r="J27" s="12"/>
      <c r="N27" s="24"/>
    </row>
    <row r="28" spans="1:38" x14ac:dyDescent="0.25">
      <c r="A28" t="s">
        <v>1</v>
      </c>
      <c r="B28" t="s">
        <v>3</v>
      </c>
      <c r="C28" s="2">
        <v>44926</v>
      </c>
      <c r="D28" s="18"/>
      <c r="N28" s="24"/>
    </row>
    <row r="29" spans="1:38" x14ac:dyDescent="0.25">
      <c r="D29" s="3">
        <f>SUM(D5:D28)</f>
        <v>331508</v>
      </c>
      <c r="I29" s="3">
        <f>SUM(I5:I28)</f>
        <v>0</v>
      </c>
      <c r="J29" s="12">
        <f>IFERROR(N29/I29, 0)</f>
        <v>0</v>
      </c>
      <c r="N29" s="3">
        <f>SUM(N5:N28)</f>
        <v>0</v>
      </c>
      <c r="S29" s="3">
        <f>SUM(S5:S28)</f>
        <v>0</v>
      </c>
      <c r="T29" s="3"/>
      <c r="Z29" s="3">
        <f>SUM(Z5:Z28)</f>
        <v>327853</v>
      </c>
      <c r="AF29" s="3">
        <f>SUM(AF5:AF28)</f>
        <v>3655</v>
      </c>
      <c r="AL29" s="3">
        <f>SUM(AL5:AL28)</f>
        <v>0</v>
      </c>
    </row>
    <row r="30" spans="1:38" x14ac:dyDescent="0.25">
      <c r="N30" s="24"/>
    </row>
    <row r="31" spans="1:38" x14ac:dyDescent="0.25">
      <c r="N31" s="24"/>
    </row>
    <row r="32" spans="1:38" x14ac:dyDescent="0.25">
      <c r="N32" s="24"/>
    </row>
    <row r="33" spans="3:14" x14ac:dyDescent="0.25">
      <c r="C33" s="6" t="s">
        <v>40</v>
      </c>
      <c r="D33" s="1">
        <f>D29</f>
        <v>331508</v>
      </c>
      <c r="G33" s="19" t="s">
        <v>543</v>
      </c>
      <c r="N33" s="24"/>
    </row>
    <row r="34" spans="3:14" x14ac:dyDescent="0.25">
      <c r="C34" s="6" t="s">
        <v>41</v>
      </c>
      <c r="D34" s="13">
        <f>I29</f>
        <v>0</v>
      </c>
      <c r="E34" s="12">
        <f>J29</f>
        <v>0</v>
      </c>
      <c r="F34" s="12">
        <f>D34 * E34</f>
        <v>0</v>
      </c>
      <c r="G34" s="19" t="s">
        <v>543</v>
      </c>
    </row>
    <row r="35" spans="3:14" x14ac:dyDescent="0.25">
      <c r="C35" s="6" t="s">
        <v>242</v>
      </c>
      <c r="D35" s="13">
        <f>S29</f>
        <v>0</v>
      </c>
    </row>
    <row r="36" spans="3:14" x14ac:dyDescent="0.25">
      <c r="C36" s="6" t="s">
        <v>260</v>
      </c>
      <c r="D36" s="13">
        <f>AF29</f>
        <v>3655</v>
      </c>
      <c r="G36" s="19" t="s">
        <v>543</v>
      </c>
    </row>
    <row r="37" spans="3:14" x14ac:dyDescent="0.25">
      <c r="C37" s="6" t="s">
        <v>350</v>
      </c>
      <c r="D37" s="13">
        <f>AL29</f>
        <v>0</v>
      </c>
      <c r="G37" s="19"/>
    </row>
    <row r="38" spans="3:14" x14ac:dyDescent="0.25">
      <c r="C38" s="6"/>
      <c r="D38" s="13"/>
      <c r="G38" s="19"/>
    </row>
    <row r="39" spans="3:14" x14ac:dyDescent="0.25">
      <c r="C39" s="6" t="s">
        <v>291</v>
      </c>
      <c r="D39" s="13">
        <f>D33 - D34 - D35 - D36 - D37</f>
        <v>327853</v>
      </c>
      <c r="E39" t="s">
        <v>345</v>
      </c>
      <c r="G39" s="19"/>
    </row>
    <row r="40" spans="3:14" x14ac:dyDescent="0.25">
      <c r="C40" s="6" t="s">
        <v>290</v>
      </c>
      <c r="D40" s="1">
        <f>D39 + D37</f>
        <v>327853</v>
      </c>
      <c r="G40" s="19" t="s">
        <v>543</v>
      </c>
    </row>
    <row r="41" spans="3:14" x14ac:dyDescent="0.25">
      <c r="D41" s="1">
        <f>D40 - Z29</f>
        <v>0</v>
      </c>
    </row>
  </sheetData>
  <pageMargins left="0.2" right="0.2" top="0.75" bottom="0.75" header="0.3" footer="0.3"/>
  <pageSetup scale="57" orientation="landscape" r:id="rId1"/>
  <headerFoot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8A64-F823-46A2-8F72-928C31D6978D}">
  <sheetPr>
    <pageSetUpPr autoPageBreaks="0" fitToPage="1"/>
  </sheetPr>
  <dimension ref="A1:AH40"/>
  <sheetViews>
    <sheetView showGridLines="0" zoomScaleNormal="100" workbookViewId="0">
      <selection activeCell="H3" sqref="H3"/>
    </sheetView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2022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2022</v>
      </c>
      <c r="B5">
        <v>1</v>
      </c>
      <c r="C5" s="2" t="s">
        <v>66</v>
      </c>
      <c r="D5" s="1" t="s">
        <v>67</v>
      </c>
      <c r="E5" s="18">
        <v>30258</v>
      </c>
      <c r="F5" s="1" t="s">
        <v>619</v>
      </c>
      <c r="K5" s="1"/>
      <c r="L5" s="24"/>
      <c r="N5" s="11"/>
      <c r="O5" s="21"/>
      <c r="P5" s="39">
        <f>PRODUCT(K5:L5)</f>
        <v>0</v>
      </c>
      <c r="X5" t="s">
        <v>66</v>
      </c>
      <c r="Y5">
        <v>1</v>
      </c>
      <c r="Z5">
        <v>2022</v>
      </c>
      <c r="AA5" t="s">
        <v>619</v>
      </c>
      <c r="AB5" s="20">
        <v>30258</v>
      </c>
      <c r="AE5">
        <v>2</v>
      </c>
      <c r="AF5">
        <v>2022</v>
      </c>
      <c r="AG5" t="s">
        <v>622</v>
      </c>
      <c r="AH5">
        <v>557</v>
      </c>
    </row>
    <row r="6" spans="1:34" x14ac:dyDescent="0.25">
      <c r="A6">
        <v>2022</v>
      </c>
      <c r="B6">
        <v>2</v>
      </c>
      <c r="C6" s="2" t="s">
        <v>66</v>
      </c>
      <c r="D6" s="1" t="s">
        <v>67</v>
      </c>
      <c r="E6" s="18">
        <v>33933</v>
      </c>
      <c r="F6" s="40" t="s">
        <v>620</v>
      </c>
      <c r="K6" s="1"/>
      <c r="L6" s="24"/>
      <c r="N6" s="11"/>
      <c r="O6" s="21"/>
      <c r="P6" s="39">
        <f>PRODUCT(K6:L6)</f>
        <v>0</v>
      </c>
      <c r="X6" t="s">
        <v>66</v>
      </c>
      <c r="Y6">
        <v>2</v>
      </c>
      <c r="Z6">
        <v>2022</v>
      </c>
      <c r="AB6" s="20">
        <f>E6 - AH5</f>
        <v>33376</v>
      </c>
    </row>
    <row r="7" spans="1:34" x14ac:dyDescent="0.25">
      <c r="A7">
        <v>2022</v>
      </c>
      <c r="B7">
        <v>3</v>
      </c>
      <c r="C7" s="2" t="s">
        <v>66</v>
      </c>
      <c r="D7" s="1" t="s">
        <v>67</v>
      </c>
      <c r="E7" s="18">
        <v>31653</v>
      </c>
      <c r="F7" s="40" t="s">
        <v>615</v>
      </c>
      <c r="L7" s="12"/>
      <c r="N7" s="11"/>
      <c r="O7" s="21"/>
      <c r="P7" s="24"/>
      <c r="X7" t="s">
        <v>66</v>
      </c>
      <c r="Y7">
        <v>3</v>
      </c>
      <c r="Z7">
        <v>2022</v>
      </c>
      <c r="AB7" s="20">
        <f t="shared" ref="AB7:AB16" si="0">E7</f>
        <v>31653</v>
      </c>
    </row>
    <row r="8" spans="1:34" x14ac:dyDescent="0.25">
      <c r="A8">
        <v>2022</v>
      </c>
      <c r="B8">
        <v>4</v>
      </c>
      <c r="C8" s="2" t="s">
        <v>66</v>
      </c>
      <c r="D8" s="1" t="s">
        <v>67</v>
      </c>
      <c r="E8" s="18">
        <v>36275</v>
      </c>
      <c r="F8" s="40" t="s">
        <v>615</v>
      </c>
      <c r="L8" s="12"/>
      <c r="N8" s="11"/>
      <c r="O8" s="21"/>
      <c r="P8" s="24"/>
      <c r="X8" t="s">
        <v>66</v>
      </c>
      <c r="Y8">
        <v>4</v>
      </c>
      <c r="Z8">
        <v>2022</v>
      </c>
      <c r="AB8" s="20">
        <f t="shared" si="0"/>
        <v>36275</v>
      </c>
    </row>
    <row r="9" spans="1:34" x14ac:dyDescent="0.25">
      <c r="A9">
        <v>2022</v>
      </c>
      <c r="B9">
        <v>5</v>
      </c>
      <c r="C9" s="2" t="s">
        <v>66</v>
      </c>
      <c r="D9" s="1" t="s">
        <v>67</v>
      </c>
      <c r="E9" s="18">
        <v>21179</v>
      </c>
      <c r="F9" s="40" t="s">
        <v>621</v>
      </c>
      <c r="L9" s="12"/>
      <c r="N9" s="11"/>
      <c r="O9" s="21"/>
      <c r="P9" s="24"/>
      <c r="X9" t="s">
        <v>66</v>
      </c>
      <c r="Y9">
        <v>5</v>
      </c>
      <c r="Z9">
        <v>2022</v>
      </c>
      <c r="AB9" s="20">
        <f t="shared" si="0"/>
        <v>21179</v>
      </c>
    </row>
    <row r="10" spans="1:34" x14ac:dyDescent="0.25">
      <c r="A10">
        <v>2022</v>
      </c>
      <c r="B10">
        <v>6</v>
      </c>
      <c r="C10" s="2" t="s">
        <v>66</v>
      </c>
      <c r="D10" s="1" t="s">
        <v>67</v>
      </c>
      <c r="E10" s="18">
        <v>21792</v>
      </c>
      <c r="F10" s="40" t="s">
        <v>615</v>
      </c>
      <c r="L10" s="12"/>
      <c r="N10" s="11"/>
      <c r="O10" s="21"/>
      <c r="P10" s="24"/>
      <c r="X10" t="s">
        <v>66</v>
      </c>
      <c r="Y10">
        <v>6</v>
      </c>
      <c r="Z10">
        <v>2022</v>
      </c>
      <c r="AB10" s="20">
        <f t="shared" si="0"/>
        <v>21792</v>
      </c>
    </row>
    <row r="11" spans="1:34" x14ac:dyDescent="0.25">
      <c r="A11">
        <v>2022</v>
      </c>
      <c r="B11">
        <v>7</v>
      </c>
      <c r="C11" s="2" t="s">
        <v>66</v>
      </c>
      <c r="D11" s="1" t="s">
        <v>67</v>
      </c>
      <c r="E11" s="18">
        <v>18997</v>
      </c>
      <c r="F11" s="40" t="s">
        <v>615</v>
      </c>
      <c r="N11" s="11"/>
      <c r="O11" s="21"/>
      <c r="P11" s="24"/>
      <c r="X11" t="s">
        <v>66</v>
      </c>
      <c r="Y11">
        <v>7</v>
      </c>
      <c r="Z11">
        <v>2022</v>
      </c>
      <c r="AB11" s="20">
        <f t="shared" si="0"/>
        <v>18997</v>
      </c>
    </row>
    <row r="12" spans="1:34" x14ac:dyDescent="0.25">
      <c r="A12">
        <v>2022</v>
      </c>
      <c r="B12">
        <v>8</v>
      </c>
      <c r="C12" s="2" t="s">
        <v>66</v>
      </c>
      <c r="D12" s="1" t="s">
        <v>67</v>
      </c>
      <c r="E12" s="18">
        <v>17781</v>
      </c>
      <c r="F12" s="40" t="s">
        <v>615</v>
      </c>
      <c r="N12" s="11"/>
      <c r="O12" s="21"/>
      <c r="P12" s="24"/>
      <c r="X12" t="s">
        <v>66</v>
      </c>
      <c r="Y12">
        <v>8</v>
      </c>
      <c r="Z12">
        <v>2022</v>
      </c>
      <c r="AB12" s="20">
        <f t="shared" si="0"/>
        <v>17781</v>
      </c>
    </row>
    <row r="13" spans="1:34" x14ac:dyDescent="0.25">
      <c r="A13">
        <v>2022</v>
      </c>
      <c r="B13">
        <v>9</v>
      </c>
      <c r="C13" s="2" t="s">
        <v>66</v>
      </c>
      <c r="D13" s="1" t="s">
        <v>67</v>
      </c>
      <c r="E13" s="18">
        <v>21192</v>
      </c>
      <c r="F13" s="40" t="s">
        <v>615</v>
      </c>
      <c r="L13" s="12"/>
      <c r="N13" s="11"/>
      <c r="O13" s="21"/>
      <c r="P13" s="24"/>
      <c r="X13" t="s">
        <v>66</v>
      </c>
      <c r="Y13">
        <v>9</v>
      </c>
      <c r="Z13">
        <v>2022</v>
      </c>
      <c r="AB13" s="20">
        <f t="shared" si="0"/>
        <v>21192</v>
      </c>
    </row>
    <row r="14" spans="1:34" x14ac:dyDescent="0.25">
      <c r="A14">
        <v>2022</v>
      </c>
      <c r="B14">
        <v>10</v>
      </c>
      <c r="C14" s="2" t="s">
        <v>66</v>
      </c>
      <c r="D14" s="1" t="s">
        <v>67</v>
      </c>
      <c r="E14" s="18">
        <v>24626</v>
      </c>
      <c r="F14" s="40" t="s">
        <v>615</v>
      </c>
      <c r="L14" s="12"/>
      <c r="N14" s="11"/>
      <c r="O14" s="21"/>
      <c r="P14" s="24"/>
      <c r="X14" t="s">
        <v>66</v>
      </c>
      <c r="Y14">
        <v>10</v>
      </c>
      <c r="Z14">
        <v>2022</v>
      </c>
      <c r="AB14" s="20">
        <f t="shared" si="0"/>
        <v>24626</v>
      </c>
    </row>
    <row r="15" spans="1:34" x14ac:dyDescent="0.25">
      <c r="A15">
        <v>2022</v>
      </c>
      <c r="B15">
        <v>11</v>
      </c>
      <c r="C15" s="2" t="s">
        <v>66</v>
      </c>
      <c r="D15" s="1" t="s">
        <v>67</v>
      </c>
      <c r="E15" s="18">
        <v>33098</v>
      </c>
      <c r="F15" s="40" t="s">
        <v>615</v>
      </c>
      <c r="L15" s="12"/>
      <c r="N15" s="11"/>
      <c r="O15" s="21"/>
      <c r="P15" s="24"/>
      <c r="X15" t="s">
        <v>66</v>
      </c>
      <c r="Y15">
        <v>11</v>
      </c>
      <c r="Z15">
        <v>2022</v>
      </c>
      <c r="AB15" s="20">
        <f t="shared" si="0"/>
        <v>33098</v>
      </c>
    </row>
    <row r="16" spans="1:34" x14ac:dyDescent="0.25">
      <c r="A16">
        <v>2022</v>
      </c>
      <c r="B16">
        <v>12</v>
      </c>
      <c r="C16" s="2" t="s">
        <v>66</v>
      </c>
      <c r="D16" s="1" t="s">
        <v>67</v>
      </c>
      <c r="E16" s="18">
        <v>31595</v>
      </c>
      <c r="F16" s="40" t="s">
        <v>615</v>
      </c>
      <c r="L16" s="12"/>
      <c r="N16" s="11"/>
      <c r="O16" s="21"/>
      <c r="P16" s="24"/>
      <c r="X16" t="s">
        <v>66</v>
      </c>
      <c r="Y16">
        <v>12</v>
      </c>
      <c r="Z16">
        <v>2022</v>
      </c>
      <c r="AB16" s="20">
        <f t="shared" si="0"/>
        <v>31595</v>
      </c>
    </row>
    <row r="17" spans="4:34" x14ac:dyDescent="0.25">
      <c r="D17" s="1"/>
      <c r="E17" s="25"/>
      <c r="F17" s="1"/>
      <c r="L17" s="12"/>
      <c r="N17" s="11"/>
      <c r="O17" s="21"/>
      <c r="P17" s="24"/>
      <c r="AB17" s="20"/>
      <c r="AE17" s="9"/>
      <c r="AH17" s="22"/>
    </row>
    <row r="18" spans="4:34" x14ac:dyDescent="0.25">
      <c r="D18" s="1"/>
      <c r="E18" s="25"/>
      <c r="F18" s="1"/>
      <c r="L18" s="12"/>
      <c r="N18" s="11"/>
      <c r="O18" s="21"/>
      <c r="P18" s="24"/>
      <c r="AB18" s="20"/>
      <c r="AE18" s="9"/>
      <c r="AH18" s="22"/>
    </row>
    <row r="19" spans="4:34" x14ac:dyDescent="0.25">
      <c r="L19" s="12"/>
      <c r="N19" s="4"/>
      <c r="AB19" s="1"/>
      <c r="AE19" s="9"/>
      <c r="AH19" s="22"/>
    </row>
    <row r="20" spans="4:34" x14ac:dyDescent="0.25">
      <c r="L20" s="12"/>
      <c r="N20" s="4"/>
      <c r="AB20" s="1"/>
    </row>
    <row r="21" spans="4:34" x14ac:dyDescent="0.25">
      <c r="E21" s="2"/>
      <c r="F21" s="1"/>
      <c r="L21" s="12"/>
      <c r="N21" s="4"/>
    </row>
    <row r="22" spans="4:34" x14ac:dyDescent="0.25">
      <c r="E22" s="2"/>
      <c r="F22" s="1"/>
      <c r="L22" s="12"/>
      <c r="N22" s="4"/>
    </row>
    <row r="23" spans="4:34" x14ac:dyDescent="0.25">
      <c r="E23" s="2"/>
      <c r="F23" s="1"/>
      <c r="L23" s="12"/>
      <c r="N23" s="4"/>
    </row>
    <row r="24" spans="4:34" x14ac:dyDescent="0.25">
      <c r="E24" s="2"/>
      <c r="F24" s="1"/>
      <c r="L24" s="12"/>
      <c r="N24" s="4"/>
    </row>
    <row r="25" spans="4:34" x14ac:dyDescent="0.25">
      <c r="E25" s="2"/>
      <c r="F25" s="1"/>
      <c r="L25" s="12"/>
      <c r="N25" s="4"/>
    </row>
    <row r="26" spans="4:34" x14ac:dyDescent="0.25">
      <c r="E26" s="2"/>
      <c r="F26" s="1"/>
      <c r="L26" s="12"/>
      <c r="N26" s="4"/>
    </row>
    <row r="27" spans="4:34" x14ac:dyDescent="0.25">
      <c r="E27" s="2"/>
      <c r="F27" s="1"/>
      <c r="L27" s="12"/>
      <c r="N27" s="4"/>
    </row>
    <row r="28" spans="4:34" x14ac:dyDescent="0.25">
      <c r="E28" s="2"/>
      <c r="F28" s="1"/>
    </row>
    <row r="29" spans="4:34" x14ac:dyDescent="0.25">
      <c r="E29" s="3">
        <f>SUM(E5:E28)</f>
        <v>322379</v>
      </c>
      <c r="F29" s="3"/>
      <c r="K29" s="3">
        <f>SUM(K5:K28)</f>
        <v>0</v>
      </c>
      <c r="L29" s="12">
        <f t="shared" ref="L29" si="1">IFERROR(P29/K29, 0)</f>
        <v>0</v>
      </c>
      <c r="P29" s="3">
        <f>SUM(P5:P28)</f>
        <v>0</v>
      </c>
      <c r="U29" s="3">
        <f>SUM(U5:U28)</f>
        <v>0</v>
      </c>
      <c r="V29" s="3"/>
      <c r="AB29" s="3">
        <f>SUM(AB5:AB28)</f>
        <v>321822</v>
      </c>
      <c r="AH29" s="3">
        <f>SUM(AH5:AH28)</f>
        <v>557</v>
      </c>
    </row>
    <row r="33" spans="3:7" x14ac:dyDescent="0.25">
      <c r="C33" s="6" t="s">
        <v>40</v>
      </c>
      <c r="D33" s="1">
        <f>E29</f>
        <v>322379</v>
      </c>
      <c r="G33" s="19" t="s">
        <v>543</v>
      </c>
    </row>
    <row r="34" spans="3:7" x14ac:dyDescent="0.25">
      <c r="C34" s="6" t="s">
        <v>41</v>
      </c>
      <c r="D34" s="13">
        <f>K29</f>
        <v>0</v>
      </c>
      <c r="E34" s="12">
        <f>L29</f>
        <v>0</v>
      </c>
      <c r="F34" s="12">
        <f>P29</f>
        <v>0</v>
      </c>
      <c r="G34" s="19" t="s">
        <v>543</v>
      </c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557</v>
      </c>
      <c r="G36" s="19" t="s">
        <v>543</v>
      </c>
    </row>
    <row r="37" spans="3:7" x14ac:dyDescent="0.25">
      <c r="C37" s="6" t="s">
        <v>352</v>
      </c>
      <c r="D37" s="13">
        <f>D33 - SUM(D34:D36)</f>
        <v>321822</v>
      </c>
      <c r="E37" s="9" t="s">
        <v>440</v>
      </c>
      <c r="G37" s="19" t="s">
        <v>543</v>
      </c>
    </row>
    <row r="38" spans="3:7" x14ac:dyDescent="0.25">
      <c r="C38" s="6"/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CF9A-9E76-4004-A2E9-6223B0D391AC}">
  <sheetPr>
    <pageSetUpPr autoPageBreaks="0" fitToPage="1"/>
  </sheetPr>
  <dimension ref="A1:AH40"/>
  <sheetViews>
    <sheetView showGridLines="0" zoomScaleNormal="100" workbookViewId="0">
      <selection activeCell="D35" sqref="D35"/>
    </sheetView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4.7109375" bestFit="1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2022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542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2022</v>
      </c>
      <c r="B5">
        <v>1</v>
      </c>
      <c r="C5" s="2" t="s">
        <v>623</v>
      </c>
      <c r="D5" s="1" t="s">
        <v>624</v>
      </c>
      <c r="E5" s="18">
        <v>22123</v>
      </c>
      <c r="F5" s="1" t="s">
        <v>652</v>
      </c>
      <c r="K5" s="1"/>
      <c r="L5" s="24"/>
      <c r="N5" s="11"/>
      <c r="O5" s="21"/>
      <c r="P5" s="39">
        <f>PRODUCT(K5:L5)</f>
        <v>0</v>
      </c>
      <c r="X5" t="s">
        <v>623</v>
      </c>
      <c r="Y5">
        <v>1</v>
      </c>
      <c r="Z5">
        <v>2022</v>
      </c>
      <c r="AA5" t="s">
        <v>652</v>
      </c>
      <c r="AB5" s="20">
        <v>22123</v>
      </c>
      <c r="AE5">
        <v>2</v>
      </c>
      <c r="AF5">
        <v>2022</v>
      </c>
      <c r="AG5" t="s">
        <v>622</v>
      </c>
      <c r="AH5">
        <v>360</v>
      </c>
    </row>
    <row r="6" spans="1:34" x14ac:dyDescent="0.25">
      <c r="A6">
        <v>2022</v>
      </c>
      <c r="B6">
        <v>2</v>
      </c>
      <c r="C6" s="2" t="s">
        <v>623</v>
      </c>
      <c r="D6" s="1" t="s">
        <v>624</v>
      </c>
      <c r="E6" s="18">
        <v>32693</v>
      </c>
      <c r="F6" s="40" t="s">
        <v>620</v>
      </c>
      <c r="K6" s="1"/>
      <c r="L6" s="24"/>
      <c r="N6" s="11"/>
      <c r="O6" s="21"/>
      <c r="P6" s="39">
        <f>PRODUCT(K6:L6)</f>
        <v>0</v>
      </c>
      <c r="X6" t="s">
        <v>623</v>
      </c>
      <c r="Y6">
        <v>2</v>
      </c>
      <c r="Z6">
        <v>2022</v>
      </c>
      <c r="AB6" s="20">
        <f>E6 - AH5</f>
        <v>32333</v>
      </c>
    </row>
    <row r="7" spans="1:34" x14ac:dyDescent="0.25">
      <c r="A7">
        <v>2022</v>
      </c>
      <c r="B7">
        <v>3</v>
      </c>
      <c r="C7" s="2" t="s">
        <v>623</v>
      </c>
      <c r="D7" s="1" t="s">
        <v>624</v>
      </c>
      <c r="E7" s="18">
        <v>41134</v>
      </c>
      <c r="F7" s="40" t="s">
        <v>615</v>
      </c>
      <c r="L7" s="12"/>
      <c r="N7" s="11"/>
      <c r="O7" s="21"/>
      <c r="P7" s="24"/>
      <c r="X7" t="s">
        <v>623</v>
      </c>
      <c r="Y7">
        <v>3</v>
      </c>
      <c r="Z7">
        <v>2022</v>
      </c>
      <c r="AB7" s="20">
        <f t="shared" ref="AB7:AB16" si="0">E7</f>
        <v>41134</v>
      </c>
    </row>
    <row r="8" spans="1:34" x14ac:dyDescent="0.25">
      <c r="A8">
        <v>2022</v>
      </c>
      <c r="B8">
        <v>4</v>
      </c>
      <c r="C8" s="2" t="s">
        <v>623</v>
      </c>
      <c r="D8" s="1" t="s">
        <v>624</v>
      </c>
      <c r="E8" s="18">
        <v>44011</v>
      </c>
      <c r="F8" s="40" t="s">
        <v>615</v>
      </c>
      <c r="L8" s="12"/>
      <c r="N8" s="11"/>
      <c r="O8" s="21"/>
      <c r="P8" s="24"/>
      <c r="X8" t="s">
        <v>623</v>
      </c>
      <c r="Y8">
        <v>4</v>
      </c>
      <c r="Z8">
        <v>2022</v>
      </c>
      <c r="AB8" s="20">
        <f t="shared" si="0"/>
        <v>44011</v>
      </c>
    </row>
    <row r="9" spans="1:34" x14ac:dyDescent="0.25">
      <c r="A9">
        <v>2022</v>
      </c>
      <c r="B9">
        <v>5</v>
      </c>
      <c r="C9" s="2" t="s">
        <v>623</v>
      </c>
      <c r="D9" s="1" t="s">
        <v>624</v>
      </c>
      <c r="E9" s="18">
        <v>40444</v>
      </c>
      <c r="F9" s="40" t="s">
        <v>621</v>
      </c>
      <c r="L9" s="12"/>
      <c r="N9" s="11"/>
      <c r="O9" s="21"/>
      <c r="P9" s="24"/>
      <c r="X9" t="s">
        <v>623</v>
      </c>
      <c r="Y9">
        <v>5</v>
      </c>
      <c r="Z9">
        <v>2022</v>
      </c>
      <c r="AB9" s="20">
        <f t="shared" si="0"/>
        <v>40444</v>
      </c>
    </row>
    <row r="10" spans="1:34" x14ac:dyDescent="0.25">
      <c r="A10">
        <v>2022</v>
      </c>
      <c r="B10">
        <v>6</v>
      </c>
      <c r="C10" s="2" t="s">
        <v>623</v>
      </c>
      <c r="D10" s="1" t="s">
        <v>624</v>
      </c>
      <c r="E10" s="18">
        <v>40622</v>
      </c>
      <c r="F10" s="40" t="s">
        <v>615</v>
      </c>
      <c r="L10" s="12"/>
      <c r="N10" s="11"/>
      <c r="O10" s="21"/>
      <c r="P10" s="24"/>
      <c r="X10" t="s">
        <v>623</v>
      </c>
      <c r="Y10">
        <v>6</v>
      </c>
      <c r="Z10">
        <v>2022</v>
      </c>
      <c r="AB10" s="20">
        <f t="shared" si="0"/>
        <v>40622</v>
      </c>
    </row>
    <row r="11" spans="1:34" x14ac:dyDescent="0.25">
      <c r="A11">
        <v>2022</v>
      </c>
      <c r="B11">
        <v>7</v>
      </c>
      <c r="C11" s="2" t="s">
        <v>623</v>
      </c>
      <c r="D11" s="1" t="s">
        <v>624</v>
      </c>
      <c r="E11" s="18">
        <v>32205</v>
      </c>
      <c r="F11" s="40" t="s">
        <v>615</v>
      </c>
      <c r="N11" s="11"/>
      <c r="O11" s="21"/>
      <c r="P11" s="24"/>
      <c r="X11" t="s">
        <v>623</v>
      </c>
      <c r="Y11">
        <v>7</v>
      </c>
      <c r="Z11">
        <v>2022</v>
      </c>
      <c r="AB11" s="20">
        <f t="shared" si="0"/>
        <v>32205</v>
      </c>
    </row>
    <row r="12" spans="1:34" x14ac:dyDescent="0.25">
      <c r="A12">
        <v>2022</v>
      </c>
      <c r="B12">
        <v>8</v>
      </c>
      <c r="C12" s="2" t="s">
        <v>623</v>
      </c>
      <c r="D12" s="1" t="s">
        <v>624</v>
      </c>
      <c r="E12" s="18">
        <v>32765</v>
      </c>
      <c r="F12" s="40" t="s">
        <v>615</v>
      </c>
      <c r="N12" s="11"/>
      <c r="O12" s="21"/>
      <c r="P12" s="24"/>
      <c r="X12" t="s">
        <v>623</v>
      </c>
      <c r="Y12">
        <v>8</v>
      </c>
      <c r="Z12">
        <v>2022</v>
      </c>
      <c r="AB12" s="20">
        <f t="shared" si="0"/>
        <v>32765</v>
      </c>
    </row>
    <row r="13" spans="1:34" x14ac:dyDescent="0.25">
      <c r="A13">
        <v>2022</v>
      </c>
      <c r="B13">
        <v>9</v>
      </c>
      <c r="C13" s="2" t="s">
        <v>623</v>
      </c>
      <c r="D13" s="1" t="s">
        <v>624</v>
      </c>
      <c r="E13" s="18">
        <v>33689</v>
      </c>
      <c r="F13" s="40" t="s">
        <v>615</v>
      </c>
      <c r="L13" s="12"/>
      <c r="N13" s="11"/>
      <c r="O13" s="21"/>
      <c r="P13" s="24"/>
      <c r="X13" t="s">
        <v>623</v>
      </c>
      <c r="Y13">
        <v>9</v>
      </c>
      <c r="Z13">
        <v>2022</v>
      </c>
      <c r="AB13" s="20">
        <f t="shared" si="0"/>
        <v>33689</v>
      </c>
    </row>
    <row r="14" spans="1:34" x14ac:dyDescent="0.25">
      <c r="A14">
        <v>2022</v>
      </c>
      <c r="B14">
        <v>10</v>
      </c>
      <c r="C14" s="2" t="s">
        <v>623</v>
      </c>
      <c r="D14" s="1" t="s">
        <v>624</v>
      </c>
      <c r="E14" s="18">
        <v>40171</v>
      </c>
      <c r="F14" s="40" t="s">
        <v>615</v>
      </c>
      <c r="L14" s="12"/>
      <c r="N14" s="11"/>
      <c r="O14" s="21"/>
      <c r="P14" s="24"/>
      <c r="X14" t="s">
        <v>623</v>
      </c>
      <c r="Y14">
        <v>10</v>
      </c>
      <c r="Z14">
        <v>2022</v>
      </c>
      <c r="AB14" s="20">
        <f t="shared" si="0"/>
        <v>40171</v>
      </c>
    </row>
    <row r="15" spans="1:34" x14ac:dyDescent="0.25">
      <c r="A15">
        <v>2022</v>
      </c>
      <c r="B15">
        <v>11</v>
      </c>
      <c r="C15" s="2" t="s">
        <v>623</v>
      </c>
      <c r="D15" s="1" t="s">
        <v>624</v>
      </c>
      <c r="E15" s="18">
        <v>41600</v>
      </c>
      <c r="F15" s="40" t="s">
        <v>615</v>
      </c>
      <c r="L15" s="12"/>
      <c r="N15" s="11"/>
      <c r="O15" s="21"/>
      <c r="P15" s="24"/>
      <c r="X15" t="s">
        <v>623</v>
      </c>
      <c r="Y15">
        <v>11</v>
      </c>
      <c r="Z15">
        <v>2022</v>
      </c>
      <c r="AB15" s="20">
        <f t="shared" si="0"/>
        <v>41600</v>
      </c>
    </row>
    <row r="16" spans="1:34" x14ac:dyDescent="0.25">
      <c r="A16">
        <v>2022</v>
      </c>
      <c r="B16">
        <v>12</v>
      </c>
      <c r="C16" s="2" t="s">
        <v>623</v>
      </c>
      <c r="D16" s="1" t="s">
        <v>624</v>
      </c>
      <c r="E16" s="18">
        <v>40669</v>
      </c>
      <c r="F16" s="40" t="s">
        <v>615</v>
      </c>
      <c r="L16" s="12"/>
      <c r="N16" s="11"/>
      <c r="O16" s="21"/>
      <c r="P16" s="24"/>
      <c r="X16" t="s">
        <v>623</v>
      </c>
      <c r="Y16">
        <v>12</v>
      </c>
      <c r="Z16">
        <v>2022</v>
      </c>
      <c r="AB16" s="20">
        <f t="shared" si="0"/>
        <v>40669</v>
      </c>
    </row>
    <row r="17" spans="4:34" x14ac:dyDescent="0.25">
      <c r="D17" s="1"/>
      <c r="E17" s="25"/>
      <c r="F17" s="1"/>
      <c r="L17" s="12"/>
      <c r="N17" s="11"/>
      <c r="O17" s="21"/>
      <c r="P17" s="24"/>
      <c r="AB17" s="20"/>
      <c r="AE17" s="9"/>
      <c r="AH17" s="22"/>
    </row>
    <row r="18" spans="4:34" x14ac:dyDescent="0.25">
      <c r="D18" s="1"/>
      <c r="E18" s="25"/>
      <c r="F18" s="1"/>
      <c r="L18" s="12"/>
      <c r="N18" s="11"/>
      <c r="O18" s="21"/>
      <c r="P18" s="24"/>
      <c r="AB18" s="20"/>
      <c r="AE18" s="9"/>
      <c r="AH18" s="22"/>
    </row>
    <row r="19" spans="4:34" x14ac:dyDescent="0.25">
      <c r="L19" s="12"/>
      <c r="N19" s="4"/>
      <c r="AB19" s="1"/>
      <c r="AE19" s="9"/>
      <c r="AH19" s="22"/>
    </row>
    <row r="20" spans="4:34" x14ac:dyDescent="0.25">
      <c r="L20" s="12"/>
      <c r="N20" s="4"/>
      <c r="AB20" s="1"/>
    </row>
    <row r="21" spans="4:34" x14ac:dyDescent="0.25">
      <c r="E21" s="2"/>
      <c r="F21" s="1"/>
      <c r="L21" s="12"/>
      <c r="N21" s="4"/>
    </row>
    <row r="22" spans="4:34" x14ac:dyDescent="0.25">
      <c r="E22" s="2"/>
      <c r="F22" s="1"/>
      <c r="L22" s="12"/>
      <c r="N22" s="4"/>
    </row>
    <row r="23" spans="4:34" x14ac:dyDescent="0.25">
      <c r="E23" s="2"/>
      <c r="F23" s="1"/>
      <c r="L23" s="12"/>
      <c r="N23" s="4"/>
    </row>
    <row r="24" spans="4:34" x14ac:dyDescent="0.25">
      <c r="E24" s="2"/>
      <c r="F24" s="1"/>
      <c r="L24" s="12"/>
      <c r="N24" s="4"/>
    </row>
    <row r="25" spans="4:34" x14ac:dyDescent="0.25">
      <c r="E25" s="2"/>
      <c r="F25" s="1"/>
      <c r="L25" s="12"/>
      <c r="N25" s="4"/>
    </row>
    <row r="26" spans="4:34" x14ac:dyDescent="0.25">
      <c r="E26" s="2"/>
      <c r="F26" s="1"/>
      <c r="L26" s="12"/>
      <c r="N26" s="4"/>
    </row>
    <row r="27" spans="4:34" x14ac:dyDescent="0.25">
      <c r="E27" s="2"/>
      <c r="F27" s="1"/>
      <c r="L27" s="12"/>
      <c r="N27" s="4"/>
    </row>
    <row r="28" spans="4:34" x14ac:dyDescent="0.25">
      <c r="E28" s="2"/>
      <c r="F28" s="1"/>
    </row>
    <row r="29" spans="4:34" x14ac:dyDescent="0.25">
      <c r="E29" s="3">
        <f>SUM(E5:E28)</f>
        <v>442126</v>
      </c>
      <c r="F29" s="3"/>
      <c r="K29" s="3">
        <f>SUM(K5:K28)</f>
        <v>0</v>
      </c>
      <c r="L29" s="12">
        <f t="shared" ref="L29" si="1">IFERROR(P29/K29, 0)</f>
        <v>0</v>
      </c>
      <c r="P29" s="3">
        <f>SUM(P5:P28)</f>
        <v>0</v>
      </c>
      <c r="U29" s="3">
        <f>SUM(U5:U28)</f>
        <v>0</v>
      </c>
      <c r="V29" s="3"/>
      <c r="AB29" s="3">
        <f>SUM(AB5:AB28)</f>
        <v>441766</v>
      </c>
      <c r="AH29" s="3">
        <f>SUM(AH5:AH28)</f>
        <v>360</v>
      </c>
    </row>
    <row r="33" spans="3:7" x14ac:dyDescent="0.25">
      <c r="C33" s="6" t="s">
        <v>40</v>
      </c>
      <c r="D33" s="1">
        <f>E29</f>
        <v>442126</v>
      </c>
      <c r="G33" s="19" t="s">
        <v>543</v>
      </c>
    </row>
    <row r="34" spans="3:7" x14ac:dyDescent="0.25">
      <c r="C34" s="6" t="s">
        <v>41</v>
      </c>
      <c r="D34" s="13">
        <f>K29</f>
        <v>0</v>
      </c>
      <c r="E34" s="12">
        <f>L29</f>
        <v>0</v>
      </c>
      <c r="F34" s="12">
        <f>P29</f>
        <v>0</v>
      </c>
      <c r="G34" s="19" t="s">
        <v>543</v>
      </c>
    </row>
    <row r="35" spans="3:7" x14ac:dyDescent="0.25">
      <c r="C35" s="6" t="s">
        <v>242</v>
      </c>
      <c r="D35" s="13">
        <f>U29</f>
        <v>0</v>
      </c>
      <c r="G35" s="19"/>
    </row>
    <row r="36" spans="3:7" x14ac:dyDescent="0.25">
      <c r="C36" s="6" t="s">
        <v>260</v>
      </c>
      <c r="D36" s="7">
        <f>AH29</f>
        <v>360</v>
      </c>
      <c r="G36" s="19" t="s">
        <v>543</v>
      </c>
    </row>
    <row r="37" spans="3:7" x14ac:dyDescent="0.25">
      <c r="C37" s="6" t="s">
        <v>352</v>
      </c>
      <c r="D37" s="13">
        <f>D33 - SUM(D34:D36)</f>
        <v>441766</v>
      </c>
      <c r="E37" s="9" t="s">
        <v>440</v>
      </c>
      <c r="G37" s="19" t="s">
        <v>543</v>
      </c>
    </row>
    <row r="38" spans="3:7" x14ac:dyDescent="0.25">
      <c r="C38" s="6"/>
      <c r="D38" s="13">
        <f>D37 - AB29</f>
        <v>0</v>
      </c>
    </row>
    <row r="39" spans="3:7" x14ac:dyDescent="0.25">
      <c r="C39" s="6"/>
      <c r="D39" s="1"/>
      <c r="G39" s="19"/>
    </row>
    <row r="40" spans="3:7" x14ac:dyDescent="0.25">
      <c r="D40" s="1"/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autoPageBreaks="0" fitToPage="1"/>
  </sheetPr>
  <dimension ref="A1:U37"/>
  <sheetViews>
    <sheetView showGridLines="0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8.7109375" bestFit="1" customWidth="1"/>
    <col min="14" max="14" width="10.7109375" customWidth="1"/>
    <col min="15" max="15" width="30.28515625" bestFit="1" customWidth="1"/>
    <col min="20" max="20" width="28.7109375" bestFit="1" customWidth="1"/>
  </cols>
  <sheetData>
    <row r="1" spans="1:21" ht="18.75" x14ac:dyDescent="0.3">
      <c r="A1" s="8">
        <v>2015</v>
      </c>
    </row>
    <row r="3" spans="1:21" ht="18.75" x14ac:dyDescent="0.3">
      <c r="A3" s="5" t="s">
        <v>80</v>
      </c>
      <c r="H3" s="5" t="s">
        <v>9</v>
      </c>
      <c r="Q3" s="5" t="s">
        <v>43</v>
      </c>
    </row>
    <row r="4" spans="1:21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</row>
    <row r="5" spans="1:21" x14ac:dyDescent="0.25">
      <c r="A5">
        <v>2015</v>
      </c>
      <c r="B5">
        <v>1</v>
      </c>
      <c r="C5" t="s">
        <v>66</v>
      </c>
      <c r="D5" t="s">
        <v>67</v>
      </c>
      <c r="E5" s="10">
        <v>21746</v>
      </c>
      <c r="F5" s="1" t="s">
        <v>157</v>
      </c>
      <c r="H5">
        <v>2015</v>
      </c>
      <c r="I5">
        <v>1</v>
      </c>
      <c r="J5" t="s">
        <v>66</v>
      </c>
      <c r="K5">
        <v>21746</v>
      </c>
      <c r="L5" s="12">
        <v>1.1499999999999999</v>
      </c>
      <c r="M5" t="s">
        <v>157</v>
      </c>
      <c r="N5" s="11">
        <v>42138.429016203707</v>
      </c>
      <c r="O5" t="s">
        <v>13</v>
      </c>
    </row>
    <row r="6" spans="1:21" x14ac:dyDescent="0.25">
      <c r="A6">
        <v>2015</v>
      </c>
      <c r="B6">
        <v>2</v>
      </c>
      <c r="C6" t="s">
        <v>66</v>
      </c>
      <c r="D6" t="s">
        <v>67</v>
      </c>
      <c r="E6" s="10">
        <v>24059</v>
      </c>
      <c r="F6" s="1" t="s">
        <v>158</v>
      </c>
      <c r="H6">
        <v>2015</v>
      </c>
      <c r="I6">
        <v>2</v>
      </c>
      <c r="J6" t="s">
        <v>66</v>
      </c>
      <c r="K6">
        <v>24059</v>
      </c>
      <c r="L6" s="12">
        <v>1.05</v>
      </c>
      <c r="M6" t="s">
        <v>158</v>
      </c>
      <c r="N6" s="11">
        <v>42290.590439814812</v>
      </c>
      <c r="O6" t="s">
        <v>103</v>
      </c>
    </row>
    <row r="7" spans="1:21" x14ac:dyDescent="0.25">
      <c r="A7">
        <v>2015</v>
      </c>
      <c r="B7">
        <v>3</v>
      </c>
      <c r="C7" t="s">
        <v>66</v>
      </c>
      <c r="D7" t="s">
        <v>67</v>
      </c>
      <c r="E7" s="10">
        <v>27644</v>
      </c>
      <c r="F7" s="1" t="s">
        <v>159</v>
      </c>
      <c r="H7">
        <v>2015</v>
      </c>
      <c r="I7">
        <v>3</v>
      </c>
      <c r="J7" t="s">
        <v>66</v>
      </c>
      <c r="K7">
        <v>27644</v>
      </c>
      <c r="L7" s="12">
        <v>1.05</v>
      </c>
      <c r="M7" t="s">
        <v>159</v>
      </c>
      <c r="N7" s="11">
        <v>42290.590439814812</v>
      </c>
      <c r="O7" t="s">
        <v>103</v>
      </c>
    </row>
    <row r="8" spans="1:21" x14ac:dyDescent="0.25">
      <c r="A8">
        <v>2015</v>
      </c>
      <c r="B8">
        <v>4</v>
      </c>
      <c r="C8" t="s">
        <v>66</v>
      </c>
      <c r="D8" t="s">
        <v>67</v>
      </c>
      <c r="E8" s="10">
        <v>27879</v>
      </c>
      <c r="F8" s="1" t="s">
        <v>160</v>
      </c>
      <c r="H8">
        <v>2015</v>
      </c>
      <c r="I8">
        <v>4</v>
      </c>
      <c r="J8" t="s">
        <v>66</v>
      </c>
      <c r="K8">
        <v>17490</v>
      </c>
      <c r="L8" s="12">
        <v>0.38</v>
      </c>
      <c r="M8" t="s">
        <v>169</v>
      </c>
      <c r="N8" s="11">
        <v>42347.730821759258</v>
      </c>
      <c r="O8" t="s">
        <v>191</v>
      </c>
    </row>
    <row r="9" spans="1:21" x14ac:dyDescent="0.25">
      <c r="A9">
        <v>2015</v>
      </c>
      <c r="B9">
        <v>5</v>
      </c>
      <c r="C9" t="s">
        <v>66</v>
      </c>
      <c r="D9" t="s">
        <v>67</v>
      </c>
      <c r="E9" s="10">
        <v>19898</v>
      </c>
      <c r="F9" s="1" t="s">
        <v>161</v>
      </c>
      <c r="H9">
        <v>2015</v>
      </c>
      <c r="I9">
        <v>4</v>
      </c>
      <c r="J9" t="s">
        <v>66</v>
      </c>
      <c r="K9">
        <v>8297</v>
      </c>
      <c r="L9" s="12">
        <v>1.05</v>
      </c>
      <c r="M9" t="s">
        <v>170</v>
      </c>
      <c r="N9" s="11">
        <v>42290.590439814812</v>
      </c>
      <c r="O9" t="s">
        <v>103</v>
      </c>
    </row>
    <row r="10" spans="1:21" x14ac:dyDescent="0.25">
      <c r="A10">
        <v>2015</v>
      </c>
      <c r="B10">
        <v>6</v>
      </c>
      <c r="C10" t="s">
        <v>66</v>
      </c>
      <c r="D10" t="s">
        <v>67</v>
      </c>
      <c r="E10" s="10">
        <v>17442</v>
      </c>
      <c r="F10" s="1" t="s">
        <v>162</v>
      </c>
      <c r="H10">
        <v>2015</v>
      </c>
      <c r="I10">
        <v>4</v>
      </c>
      <c r="J10" t="s">
        <v>66</v>
      </c>
      <c r="K10">
        <v>2092</v>
      </c>
      <c r="L10" s="12">
        <v>8</v>
      </c>
      <c r="M10" t="s">
        <v>171</v>
      </c>
      <c r="N10" s="11">
        <v>42223.348194444443</v>
      </c>
      <c r="O10" t="s">
        <v>11</v>
      </c>
    </row>
    <row r="11" spans="1:21" x14ac:dyDescent="0.25">
      <c r="A11">
        <v>2015</v>
      </c>
      <c r="B11">
        <v>7</v>
      </c>
      <c r="C11" t="s">
        <v>66</v>
      </c>
      <c r="D11" t="s">
        <v>67</v>
      </c>
      <c r="E11" s="10">
        <v>23823</v>
      </c>
      <c r="F11" s="1" t="s">
        <v>163</v>
      </c>
      <c r="H11">
        <v>2015</v>
      </c>
      <c r="I11">
        <v>5</v>
      </c>
      <c r="J11" t="s">
        <v>66</v>
      </c>
      <c r="K11">
        <v>19500</v>
      </c>
      <c r="L11" s="12">
        <v>0.38</v>
      </c>
      <c r="M11" t="s">
        <v>172</v>
      </c>
      <c r="N11" s="11">
        <v>42347.730810185189</v>
      </c>
      <c r="O11" t="s">
        <v>191</v>
      </c>
    </row>
    <row r="12" spans="1:21" x14ac:dyDescent="0.25">
      <c r="A12">
        <v>2015</v>
      </c>
      <c r="B12">
        <v>8</v>
      </c>
      <c r="C12" t="s">
        <v>66</v>
      </c>
      <c r="D12" t="s">
        <v>67</v>
      </c>
      <c r="E12" s="10">
        <v>24034</v>
      </c>
      <c r="F12" s="1" t="s">
        <v>164</v>
      </c>
      <c r="H12">
        <v>2015</v>
      </c>
      <c r="I12">
        <v>5</v>
      </c>
      <c r="J12" t="s">
        <v>66</v>
      </c>
      <c r="K12">
        <v>398</v>
      </c>
      <c r="L12" s="12">
        <v>8</v>
      </c>
      <c r="M12" t="s">
        <v>173</v>
      </c>
      <c r="N12" s="11">
        <v>42257.521817129629</v>
      </c>
      <c r="O12" t="s">
        <v>11</v>
      </c>
    </row>
    <row r="13" spans="1:21" x14ac:dyDescent="0.25">
      <c r="A13">
        <v>2015</v>
      </c>
      <c r="B13">
        <v>9</v>
      </c>
      <c r="C13" t="s">
        <v>66</v>
      </c>
      <c r="D13" t="s">
        <v>67</v>
      </c>
      <c r="E13" s="10">
        <v>16080</v>
      </c>
      <c r="F13" s="1" t="s">
        <v>165</v>
      </c>
      <c r="H13">
        <v>2015</v>
      </c>
      <c r="I13">
        <v>6</v>
      </c>
      <c r="J13" t="s">
        <v>66</v>
      </c>
      <c r="K13">
        <v>11428</v>
      </c>
      <c r="L13" s="12">
        <v>0.38</v>
      </c>
      <c r="M13" t="s">
        <v>174</v>
      </c>
      <c r="N13" s="11">
        <v>42347.730821759258</v>
      </c>
      <c r="O13" t="s">
        <v>191</v>
      </c>
    </row>
    <row r="14" spans="1:21" x14ac:dyDescent="0.25">
      <c r="A14">
        <v>2015</v>
      </c>
      <c r="B14">
        <v>10</v>
      </c>
      <c r="C14" t="s">
        <v>66</v>
      </c>
      <c r="D14" t="s">
        <v>67</v>
      </c>
      <c r="E14" s="10">
        <v>23068</v>
      </c>
      <c r="F14" s="1" t="s">
        <v>166</v>
      </c>
      <c r="H14">
        <v>2015</v>
      </c>
      <c r="I14">
        <v>6</v>
      </c>
      <c r="J14" t="s">
        <v>66</v>
      </c>
      <c r="K14">
        <v>6014</v>
      </c>
      <c r="L14" s="12">
        <v>8</v>
      </c>
      <c r="M14" t="s">
        <v>175</v>
      </c>
      <c r="N14" s="11">
        <v>42284.452870370369</v>
      </c>
      <c r="O14" t="s">
        <v>11</v>
      </c>
    </row>
    <row r="15" spans="1:21" x14ac:dyDescent="0.25">
      <c r="A15">
        <v>2015</v>
      </c>
      <c r="B15">
        <v>11</v>
      </c>
      <c r="C15" t="s">
        <v>66</v>
      </c>
      <c r="D15" t="s">
        <v>67</v>
      </c>
      <c r="E15" s="10">
        <v>29156</v>
      </c>
      <c r="F15" s="1" t="s">
        <v>167</v>
      </c>
      <c r="H15">
        <v>2015</v>
      </c>
      <c r="I15">
        <v>7</v>
      </c>
      <c r="J15" t="s">
        <v>66</v>
      </c>
      <c r="K15">
        <v>15806</v>
      </c>
      <c r="L15" s="12">
        <v>0.75</v>
      </c>
      <c r="M15" t="s">
        <v>176</v>
      </c>
      <c r="N15" s="11">
        <v>42402.43644675926</v>
      </c>
      <c r="O15" t="s">
        <v>191</v>
      </c>
    </row>
    <row r="16" spans="1:21" x14ac:dyDescent="0.25">
      <c r="A16">
        <v>2015</v>
      </c>
      <c r="B16">
        <v>12</v>
      </c>
      <c r="C16" t="s">
        <v>66</v>
      </c>
      <c r="D16" t="s">
        <v>67</v>
      </c>
      <c r="E16" s="10">
        <v>38734</v>
      </c>
      <c r="F16" s="1" t="s">
        <v>168</v>
      </c>
      <c r="H16">
        <v>2015</v>
      </c>
      <c r="I16">
        <v>7</v>
      </c>
      <c r="J16" t="s">
        <v>66</v>
      </c>
      <c r="K16">
        <v>8017</v>
      </c>
      <c r="L16" s="12">
        <v>8</v>
      </c>
      <c r="M16" t="s">
        <v>177</v>
      </c>
      <c r="N16" s="11">
        <v>42314.4687037037</v>
      </c>
      <c r="O16" t="s">
        <v>11</v>
      </c>
    </row>
    <row r="17" spans="5:21" x14ac:dyDescent="0.25">
      <c r="E17" s="2"/>
      <c r="F17" s="1"/>
      <c r="H17">
        <v>2015</v>
      </c>
      <c r="I17">
        <v>8</v>
      </c>
      <c r="J17" t="s">
        <v>66</v>
      </c>
      <c r="K17">
        <v>16782</v>
      </c>
      <c r="L17" s="12">
        <v>0.75</v>
      </c>
      <c r="M17" t="s">
        <v>178</v>
      </c>
      <c r="N17" s="11">
        <v>42402.43645833333</v>
      </c>
      <c r="O17" t="s">
        <v>191</v>
      </c>
    </row>
    <row r="18" spans="5:21" x14ac:dyDescent="0.25">
      <c r="E18" s="2"/>
      <c r="F18" s="1"/>
      <c r="H18">
        <v>2015</v>
      </c>
      <c r="I18">
        <v>8</v>
      </c>
      <c r="J18" t="s">
        <v>66</v>
      </c>
      <c r="K18">
        <v>7252</v>
      </c>
      <c r="L18" s="12">
        <v>8</v>
      </c>
      <c r="M18" t="s">
        <v>179</v>
      </c>
      <c r="N18" s="11">
        <v>42342.527685185189</v>
      </c>
      <c r="O18" t="s">
        <v>11</v>
      </c>
    </row>
    <row r="19" spans="5:21" x14ac:dyDescent="0.25">
      <c r="E19" s="2"/>
      <c r="F19" s="1"/>
      <c r="H19">
        <v>2015</v>
      </c>
      <c r="I19">
        <v>9</v>
      </c>
      <c r="J19" t="s">
        <v>66</v>
      </c>
      <c r="K19">
        <v>11909</v>
      </c>
      <c r="L19" s="12">
        <v>0.75</v>
      </c>
      <c r="M19" t="s">
        <v>180</v>
      </c>
      <c r="N19" s="11">
        <v>42402.43645833333</v>
      </c>
      <c r="O19" t="s">
        <v>191</v>
      </c>
    </row>
    <row r="20" spans="5:21" x14ac:dyDescent="0.25">
      <c r="E20" s="2"/>
      <c r="F20" s="1"/>
      <c r="H20">
        <v>2015</v>
      </c>
      <c r="I20">
        <v>9</v>
      </c>
      <c r="J20" t="s">
        <v>66</v>
      </c>
      <c r="K20">
        <v>4171</v>
      </c>
      <c r="L20" s="12">
        <v>8</v>
      </c>
      <c r="M20" t="s">
        <v>181</v>
      </c>
      <c r="N20" s="11">
        <v>42374.253425925926</v>
      </c>
      <c r="O20" t="s">
        <v>11</v>
      </c>
    </row>
    <row r="21" spans="5:21" x14ac:dyDescent="0.25">
      <c r="E21" s="2"/>
      <c r="F21" s="1"/>
      <c r="H21">
        <v>2015</v>
      </c>
      <c r="I21">
        <v>10</v>
      </c>
      <c r="J21" t="s">
        <v>66</v>
      </c>
      <c r="K21">
        <v>776</v>
      </c>
      <c r="L21" s="12">
        <v>0.75</v>
      </c>
      <c r="M21" t="s">
        <v>182</v>
      </c>
      <c r="N21" s="11">
        <v>42430.747071759259</v>
      </c>
      <c r="O21" t="s">
        <v>191</v>
      </c>
    </row>
    <row r="22" spans="5:21" x14ac:dyDescent="0.25">
      <c r="E22" s="2"/>
      <c r="F22" s="1"/>
      <c r="H22">
        <v>2015</v>
      </c>
      <c r="I22">
        <v>10</v>
      </c>
      <c r="J22" t="s">
        <v>66</v>
      </c>
      <c r="K22">
        <v>13503</v>
      </c>
      <c r="L22" s="12">
        <v>0.75</v>
      </c>
      <c r="M22" t="s">
        <v>183</v>
      </c>
      <c r="N22" s="11">
        <v>42402.43645833333</v>
      </c>
      <c r="O22" t="s">
        <v>191</v>
      </c>
    </row>
    <row r="23" spans="5:21" x14ac:dyDescent="0.25">
      <c r="E23" s="2"/>
      <c r="F23" s="1"/>
      <c r="H23">
        <v>2015</v>
      </c>
      <c r="I23">
        <v>10</v>
      </c>
      <c r="J23" t="s">
        <v>66</v>
      </c>
      <c r="K23">
        <v>8789</v>
      </c>
      <c r="L23" s="12">
        <v>8</v>
      </c>
      <c r="M23" t="s">
        <v>184</v>
      </c>
      <c r="N23" s="11">
        <v>42404.281111111108</v>
      </c>
      <c r="O23" t="s">
        <v>11</v>
      </c>
    </row>
    <row r="24" spans="5:21" x14ac:dyDescent="0.25">
      <c r="E24" s="2"/>
      <c r="F24" s="1"/>
      <c r="H24">
        <v>2015</v>
      </c>
      <c r="I24">
        <v>11</v>
      </c>
      <c r="J24" t="s">
        <v>66</v>
      </c>
      <c r="K24">
        <v>19578</v>
      </c>
      <c r="L24" s="12">
        <v>0.75</v>
      </c>
      <c r="M24" t="s">
        <v>185</v>
      </c>
      <c r="N24" s="11">
        <v>42430.747071759259</v>
      </c>
      <c r="O24" t="s">
        <v>191</v>
      </c>
    </row>
    <row r="25" spans="5:21" x14ac:dyDescent="0.25">
      <c r="E25" s="2"/>
      <c r="F25" s="1"/>
      <c r="H25">
        <v>2015</v>
      </c>
      <c r="I25">
        <v>11</v>
      </c>
      <c r="J25" t="s">
        <v>66</v>
      </c>
      <c r="K25">
        <v>9578</v>
      </c>
      <c r="L25" s="12">
        <v>8</v>
      </c>
      <c r="M25" t="s">
        <v>186</v>
      </c>
      <c r="N25" s="11">
        <v>42447.421423611115</v>
      </c>
      <c r="O25" t="s">
        <v>11</v>
      </c>
    </row>
    <row r="26" spans="5:21" x14ac:dyDescent="0.25">
      <c r="E26" s="2"/>
      <c r="F26" s="1"/>
      <c r="H26">
        <v>2015</v>
      </c>
      <c r="I26">
        <v>12</v>
      </c>
      <c r="J26" t="s">
        <v>66</v>
      </c>
      <c r="K26">
        <v>1646</v>
      </c>
      <c r="L26" s="12">
        <v>0.75</v>
      </c>
      <c r="M26" t="s">
        <v>187</v>
      </c>
      <c r="N26" s="11">
        <v>42464.454259259262</v>
      </c>
      <c r="O26" t="s">
        <v>191</v>
      </c>
    </row>
    <row r="27" spans="5:21" x14ac:dyDescent="0.25">
      <c r="E27" s="2"/>
      <c r="F27" s="1"/>
      <c r="H27">
        <v>2015</v>
      </c>
      <c r="I27">
        <v>12</v>
      </c>
      <c r="J27" t="s">
        <v>66</v>
      </c>
      <c r="K27">
        <v>20906</v>
      </c>
      <c r="L27" s="12">
        <v>0.75</v>
      </c>
      <c r="M27" t="s">
        <v>188</v>
      </c>
      <c r="N27" s="11">
        <v>42461.77621527778</v>
      </c>
      <c r="O27" t="s">
        <v>191</v>
      </c>
    </row>
    <row r="28" spans="5:21" x14ac:dyDescent="0.25">
      <c r="E28" s="2"/>
      <c r="F28" s="1"/>
      <c r="H28">
        <v>2015</v>
      </c>
      <c r="I28">
        <v>12</v>
      </c>
      <c r="J28" t="s">
        <v>66</v>
      </c>
      <c r="K28">
        <v>1834</v>
      </c>
      <c r="L28" s="12">
        <v>7</v>
      </c>
      <c r="M28" t="s">
        <v>189</v>
      </c>
      <c r="N28" s="11">
        <v>42465.208368055559</v>
      </c>
      <c r="O28" t="s">
        <v>18</v>
      </c>
    </row>
    <row r="29" spans="5:21" x14ac:dyDescent="0.25">
      <c r="E29" s="3">
        <f>SUM(E5:E28)</f>
        <v>293563</v>
      </c>
      <c r="F29" s="3"/>
      <c r="H29">
        <v>2015</v>
      </c>
      <c r="I29">
        <v>12</v>
      </c>
      <c r="J29" t="s">
        <v>66</v>
      </c>
      <c r="K29">
        <v>14348</v>
      </c>
      <c r="L29" s="12">
        <v>8</v>
      </c>
      <c r="M29" t="s">
        <v>190</v>
      </c>
      <c r="N29" s="11">
        <v>42471.399108796293</v>
      </c>
      <c r="O29" t="s">
        <v>11</v>
      </c>
      <c r="U29" s="3">
        <f>SUM(U5:U28)</f>
        <v>0</v>
      </c>
    </row>
    <row r="32" spans="5:21" x14ac:dyDescent="0.25">
      <c r="K32" s="3">
        <f>SUM(K5:K29)</f>
        <v>293563</v>
      </c>
      <c r="L32" s="12">
        <f>SUMPRODUCT(K5:K29, L5:L29) / K32</f>
        <v>2.317036683778269</v>
      </c>
    </row>
    <row r="33" spans="3:7" x14ac:dyDescent="0.25">
      <c r="C33" s="6" t="s">
        <v>40</v>
      </c>
      <c r="D33" s="1">
        <f>E29</f>
        <v>293563</v>
      </c>
    </row>
    <row r="34" spans="3:7" x14ac:dyDescent="0.25">
      <c r="C34" s="6" t="s">
        <v>41</v>
      </c>
      <c r="D34" s="13">
        <f>K32</f>
        <v>293563</v>
      </c>
      <c r="E34" s="12">
        <f>L32</f>
        <v>2.317036683778269</v>
      </c>
      <c r="F34" s="12">
        <f>D34 * E34</f>
        <v>680196.24</v>
      </c>
      <c r="G34" s="19" t="s">
        <v>368</v>
      </c>
    </row>
    <row r="35" spans="3:7" x14ac:dyDescent="0.25">
      <c r="C35" s="6" t="s">
        <v>242</v>
      </c>
      <c r="D35" s="14">
        <v>0</v>
      </c>
    </row>
    <row r="36" spans="3:7" x14ac:dyDescent="0.25">
      <c r="C36" s="6" t="s">
        <v>42</v>
      </c>
      <c r="D36" s="1">
        <f>D33 - D34 - D35</f>
        <v>0</v>
      </c>
      <c r="G36" s="19" t="s">
        <v>499</v>
      </c>
    </row>
    <row r="37" spans="3:7" x14ac:dyDescent="0.25">
      <c r="D37" s="1">
        <f>D36 - U29</f>
        <v>0</v>
      </c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B2:I34"/>
  <sheetViews>
    <sheetView showGridLines="0" zoomScaleNormal="100" workbookViewId="0"/>
  </sheetViews>
  <sheetFormatPr defaultRowHeight="15" x14ac:dyDescent="0.25"/>
  <cols>
    <col min="1" max="1" width="2.7109375" customWidth="1"/>
    <col min="2" max="2" width="12.7109375" customWidth="1"/>
    <col min="3" max="9" width="11.7109375" customWidth="1"/>
  </cols>
  <sheetData>
    <row r="2" spans="2:9" x14ac:dyDescent="0.25">
      <c r="B2" s="28" t="s">
        <v>353</v>
      </c>
    </row>
    <row r="3" spans="2:9" x14ac:dyDescent="0.25">
      <c r="B3" s="27" t="s">
        <v>45</v>
      </c>
      <c r="C3" s="27" t="s">
        <v>40</v>
      </c>
      <c r="D3" s="27" t="s">
        <v>41</v>
      </c>
      <c r="E3" s="27" t="s">
        <v>242</v>
      </c>
      <c r="F3" s="27" t="s">
        <v>260</v>
      </c>
      <c r="G3" s="27" t="s">
        <v>350</v>
      </c>
      <c r="H3" s="27" t="s">
        <v>42</v>
      </c>
      <c r="I3" s="27" t="s">
        <v>354</v>
      </c>
    </row>
    <row r="4" spans="2:9" x14ac:dyDescent="0.25">
      <c r="B4" s="27">
        <v>2015</v>
      </c>
      <c r="C4" s="1">
        <f>'KF2015'!D$54</f>
        <v>320158</v>
      </c>
      <c r="D4" s="1">
        <f>'KF2015'!D$55</f>
        <v>320158</v>
      </c>
      <c r="E4">
        <f>'KF2015'!D$56</f>
        <v>0</v>
      </c>
      <c r="H4" s="1">
        <f>'KF2015'!S$29</f>
        <v>0</v>
      </c>
      <c r="I4" s="1">
        <f>C4 - SUM(D4:G4) - H4</f>
        <v>0</v>
      </c>
    </row>
    <row r="5" spans="2:9" x14ac:dyDescent="0.25">
      <c r="B5" s="27">
        <v>2016</v>
      </c>
      <c r="C5" s="1">
        <f>'KF2016'!D$33</f>
        <v>341046</v>
      </c>
      <c r="D5" s="1">
        <f>'KF2016'!D$34</f>
        <v>294923</v>
      </c>
      <c r="E5" s="1">
        <f>'KF2016'!D$35</f>
        <v>43846</v>
      </c>
      <c r="F5" s="1"/>
      <c r="G5" s="1">
        <f>'KF2016'!D$36</f>
        <v>2277</v>
      </c>
      <c r="H5" s="1">
        <f>'KF2016'!$AF$29</f>
        <v>0</v>
      </c>
      <c r="I5" s="1">
        <f>C5 - SUM(D5:G5) - H5</f>
        <v>0</v>
      </c>
    </row>
    <row r="6" spans="2:9" x14ac:dyDescent="0.25">
      <c r="B6" s="27">
        <v>2017</v>
      </c>
      <c r="C6" s="1">
        <f>'KF2017'!D$33</f>
        <v>289609</v>
      </c>
      <c r="D6" s="1">
        <f>'KF2017'!D$34</f>
        <v>169047</v>
      </c>
      <c r="E6" s="1">
        <f>'KF2017'!D$35</f>
        <v>105771</v>
      </c>
      <c r="F6" s="1">
        <f>'KF2017'!D$36</f>
        <v>9299</v>
      </c>
      <c r="G6" s="1">
        <f>'KF2017'!D$37</f>
        <v>5492</v>
      </c>
      <c r="H6" s="1">
        <f>'KF2017'!Z$29</f>
        <v>0</v>
      </c>
      <c r="I6" s="1">
        <f>C6 - SUM(D6:G6) - H6</f>
        <v>0</v>
      </c>
    </row>
    <row r="7" spans="2:9" x14ac:dyDescent="0.25">
      <c r="B7" s="27">
        <v>2018</v>
      </c>
      <c r="C7" s="1">
        <f>'KF2018'!D$33</f>
        <v>336987</v>
      </c>
      <c r="D7" s="1">
        <f>'KF2018'!D$34</f>
        <v>173497</v>
      </c>
      <c r="E7" s="1">
        <f>'KF2018'!D$35</f>
        <v>154221</v>
      </c>
      <c r="F7" s="1">
        <f>'KF2018'!D$36</f>
        <v>981</v>
      </c>
      <c r="G7" s="1">
        <f>'KF2018'!D$37</f>
        <v>8288</v>
      </c>
      <c r="H7" s="1">
        <f>'KF2018'!Z$29</f>
        <v>0</v>
      </c>
      <c r="I7" s="1">
        <f>C7 - SUM(D7:G7) - H7</f>
        <v>0</v>
      </c>
    </row>
    <row r="8" spans="2:9" x14ac:dyDescent="0.25">
      <c r="B8" s="27">
        <v>2019</v>
      </c>
      <c r="C8" s="1">
        <f>'KF2019'!D$31</f>
        <v>315991</v>
      </c>
      <c r="D8" s="1">
        <f>'KF2019'!D$32</f>
        <v>25671</v>
      </c>
      <c r="E8" s="1">
        <f>'KF2019'!D$33</f>
        <v>0</v>
      </c>
      <c r="F8" s="1">
        <f>'KF2019'!D$34</f>
        <v>29064</v>
      </c>
      <c r="G8" s="1">
        <f>'KF2019'!D$35</f>
        <v>12018</v>
      </c>
      <c r="H8" s="1">
        <f>'KF2019'!Z$27</f>
        <v>249238</v>
      </c>
      <c r="I8" s="1">
        <f t="shared" ref="I8:I9" si="0">C8 - SUM(D8:G8) - H8</f>
        <v>0</v>
      </c>
    </row>
    <row r="9" spans="2:9" x14ac:dyDescent="0.25">
      <c r="B9" s="27">
        <v>2020</v>
      </c>
      <c r="C9" s="1">
        <f>'KF2020'!D$33</f>
        <v>265219</v>
      </c>
      <c r="D9" s="1">
        <f>'KF2020'!D$34</f>
        <v>95854</v>
      </c>
      <c r="E9" s="1">
        <f>'KF2020'!D$35</f>
        <v>0</v>
      </c>
      <c r="F9" s="1">
        <f>'KF2020'!D$36</f>
        <v>3041</v>
      </c>
      <c r="G9" s="1">
        <f>'KF2020'!D$37</f>
        <v>0</v>
      </c>
      <c r="H9" s="1">
        <f>'KF2020'!Z$29</f>
        <v>166324</v>
      </c>
      <c r="I9" s="1">
        <f t="shared" si="0"/>
        <v>0</v>
      </c>
    </row>
    <row r="10" spans="2:9" x14ac:dyDescent="0.25">
      <c r="B10" s="27">
        <v>2021</v>
      </c>
      <c r="C10" s="1">
        <f>'KF2021'!D$33</f>
        <v>322364</v>
      </c>
      <c r="D10" s="1">
        <f>'KF2021'!D$34</f>
        <v>114243</v>
      </c>
      <c r="E10" s="1">
        <f>'KF2021'!D$35</f>
        <v>0</v>
      </c>
      <c r="F10" s="1">
        <f>'KF2021'!D$36</f>
        <v>320</v>
      </c>
      <c r="G10" s="1">
        <f>'KF2021'!D$37</f>
        <v>0</v>
      </c>
      <c r="H10" s="1">
        <f>'KF2021'!Z$29</f>
        <v>207801</v>
      </c>
      <c r="I10" s="1">
        <f t="shared" ref="I10" si="1">C10 - SUM(D10:G10) - H10</f>
        <v>0</v>
      </c>
    </row>
    <row r="11" spans="2:9" x14ac:dyDescent="0.25">
      <c r="B11" s="27">
        <v>2022</v>
      </c>
      <c r="C11" s="1">
        <f>'KF2022'!D$33</f>
        <v>331508</v>
      </c>
      <c r="D11" s="1">
        <f>'KF2022'!D$34</f>
        <v>0</v>
      </c>
      <c r="E11" s="1">
        <f>'KF2022'!D$35</f>
        <v>0</v>
      </c>
      <c r="F11" s="1">
        <f>'KF2022'!D$36</f>
        <v>3655</v>
      </c>
      <c r="G11" s="1">
        <f>'KF2022'!D$37</f>
        <v>0</v>
      </c>
      <c r="H11" s="1">
        <f>'KF2022'!Z$29</f>
        <v>327853</v>
      </c>
      <c r="I11" s="1">
        <f t="shared" ref="I11" si="2">C11 - SUM(D11:G11) - H11</f>
        <v>0</v>
      </c>
    </row>
    <row r="16" spans="2:9" x14ac:dyDescent="0.25">
      <c r="B16" s="28" t="s">
        <v>359</v>
      </c>
    </row>
    <row r="17" spans="2:9" x14ac:dyDescent="0.25">
      <c r="B17" s="27" t="s">
        <v>45</v>
      </c>
      <c r="C17" s="27" t="s">
        <v>40</v>
      </c>
      <c r="D17" s="27" t="s">
        <v>41</v>
      </c>
      <c r="E17" s="27" t="s">
        <v>242</v>
      </c>
      <c r="F17" s="27" t="s">
        <v>260</v>
      </c>
      <c r="G17" s="27"/>
      <c r="H17" s="27" t="s">
        <v>42</v>
      </c>
      <c r="I17" s="27" t="s">
        <v>354</v>
      </c>
    </row>
    <row r="18" spans="2:9" x14ac:dyDescent="0.25">
      <c r="B18" s="27">
        <v>2015</v>
      </c>
      <c r="C18" s="1">
        <f>'PW2015'!$D$33</f>
        <v>293563</v>
      </c>
      <c r="D18" s="1">
        <f>'PW2015'!$D$34</f>
        <v>293563</v>
      </c>
      <c r="E18">
        <f>'PW2015'!$D$35</f>
        <v>0</v>
      </c>
      <c r="H18" s="1">
        <f>'PW2015'!S29</f>
        <v>0</v>
      </c>
      <c r="I18" s="1">
        <f>C18 - SUM(D18:G18) - H18</f>
        <v>0</v>
      </c>
    </row>
    <row r="19" spans="2:9" x14ac:dyDescent="0.25">
      <c r="B19" s="27">
        <v>2016</v>
      </c>
      <c r="C19" s="1">
        <f>'PW2016'!$D$33</f>
        <v>349771</v>
      </c>
      <c r="D19" s="1">
        <f>'PW2016'!$D$34</f>
        <v>254068</v>
      </c>
      <c r="E19" s="1">
        <f>'PW2016'!$D$35</f>
        <v>95703</v>
      </c>
      <c r="H19" s="1">
        <f>'PW2016'!$AB$29</f>
        <v>0</v>
      </c>
      <c r="I19" s="1">
        <f>C19 - SUM(D19:G19) - H19</f>
        <v>0</v>
      </c>
    </row>
    <row r="20" spans="2:9" x14ac:dyDescent="0.25">
      <c r="B20" s="27">
        <v>2017</v>
      </c>
      <c r="C20" s="1">
        <f>'PW2017'!$D$33</f>
        <v>300380</v>
      </c>
      <c r="D20" s="1">
        <f>'PW2017'!$D$34</f>
        <v>21633</v>
      </c>
      <c r="E20" s="1">
        <f>'PW2017'!$D$35</f>
        <v>277938</v>
      </c>
      <c r="F20" s="1">
        <f>'PW2017'!$D$36</f>
        <v>809</v>
      </c>
      <c r="G20" s="1"/>
      <c r="H20" s="1">
        <f>'PW2017'!$AB$29</f>
        <v>0</v>
      </c>
      <c r="I20" s="1">
        <f>C20 - SUM(D20:G20) - H20</f>
        <v>0</v>
      </c>
    </row>
    <row r="21" spans="2:9" x14ac:dyDescent="0.25">
      <c r="B21" s="27">
        <v>2018</v>
      </c>
      <c r="C21" s="1">
        <f>'PW2018'!$D$31</f>
        <v>327172</v>
      </c>
      <c r="D21" s="1">
        <f>'PW2018'!$D$32</f>
        <v>4882</v>
      </c>
      <c r="E21" s="1">
        <f>'PW2018'!$D$33</f>
        <v>319844</v>
      </c>
      <c r="F21" s="1">
        <f>'PW2018'!$D$34</f>
        <v>2446</v>
      </c>
      <c r="G21" s="1"/>
      <c r="H21" s="1">
        <f>'PW2018'!$AB$27</f>
        <v>0</v>
      </c>
      <c r="I21" s="1">
        <f>C21 - SUM(D21:G21) - H21</f>
        <v>0</v>
      </c>
    </row>
    <row r="22" spans="2:9" x14ac:dyDescent="0.25">
      <c r="B22" s="27">
        <v>2019</v>
      </c>
      <c r="C22" s="1">
        <f>'PW2019'!$D$31</f>
        <v>302136</v>
      </c>
      <c r="D22" s="1">
        <f>'PW2019'!$D$32</f>
        <v>205</v>
      </c>
      <c r="E22" s="1">
        <f>'PW2019'!$D$33</f>
        <v>167942</v>
      </c>
      <c r="F22" s="1">
        <f>'PW2019'!$D$34</f>
        <v>5885</v>
      </c>
      <c r="G22" s="1"/>
      <c r="H22" s="1">
        <f>'PW2019'!$AB$27</f>
        <v>128104</v>
      </c>
      <c r="I22" s="1">
        <f t="shared" ref="I22:I23" si="3">C22 - SUM(D22:G22) - H22</f>
        <v>0</v>
      </c>
    </row>
    <row r="23" spans="2:9" x14ac:dyDescent="0.25">
      <c r="B23" s="27">
        <v>2020</v>
      </c>
      <c r="C23" s="1">
        <f>'PW2020'!$D$33</f>
        <v>370142</v>
      </c>
      <c r="D23" s="1">
        <f>'PW2020'!$D$34</f>
        <v>37157</v>
      </c>
      <c r="E23" s="1">
        <f>'PW2020'!$D$35</f>
        <v>0</v>
      </c>
      <c r="F23" s="1">
        <f>'PW2020'!$D$36</f>
        <v>6479</v>
      </c>
      <c r="G23" s="1"/>
      <c r="H23" s="1">
        <f>'PW2020'!$AB$29</f>
        <v>326506</v>
      </c>
      <c r="I23" s="1">
        <f t="shared" si="3"/>
        <v>0</v>
      </c>
    </row>
    <row r="24" spans="2:9" x14ac:dyDescent="0.25">
      <c r="B24" s="27">
        <v>2021</v>
      </c>
      <c r="C24" s="1">
        <f>'PW2021'!$D$33</f>
        <v>360783</v>
      </c>
      <c r="D24" s="1">
        <f>'PW2021'!$D$34</f>
        <v>22497</v>
      </c>
      <c r="E24" s="1">
        <f>'PW2021'!$D$35</f>
        <v>0</v>
      </c>
      <c r="F24" s="1">
        <f>'PW2021'!$D$36</f>
        <v>6106</v>
      </c>
      <c r="G24" s="1"/>
      <c r="H24" s="1">
        <f>'PW2021'!$AB$29</f>
        <v>332180</v>
      </c>
      <c r="I24" s="1">
        <f t="shared" ref="I24" si="4">C24 - SUM(D24:G24) - H24</f>
        <v>0</v>
      </c>
    </row>
    <row r="25" spans="2:9" x14ac:dyDescent="0.25">
      <c r="B25" s="27">
        <v>2022</v>
      </c>
      <c r="C25" s="1">
        <f>'PW2022'!$D$33</f>
        <v>322379</v>
      </c>
      <c r="D25" s="1">
        <f>'PW2022'!$D$34</f>
        <v>0</v>
      </c>
      <c r="E25" s="1">
        <f>'PW2022'!$D$35</f>
        <v>0</v>
      </c>
      <c r="F25" s="1">
        <f>'PW2022'!$D$36</f>
        <v>557</v>
      </c>
      <c r="G25" s="1"/>
      <c r="H25" s="1">
        <f>'PW2022'!$AB$29</f>
        <v>321822</v>
      </c>
      <c r="I25" s="1">
        <f t="shared" ref="I25" si="5">C25 - SUM(D25:G25) - H25</f>
        <v>0</v>
      </c>
    </row>
    <row r="30" spans="2:9" x14ac:dyDescent="0.25">
      <c r="B30" s="28" t="s">
        <v>653</v>
      </c>
    </row>
    <row r="31" spans="2:9" x14ac:dyDescent="0.25">
      <c r="B31" s="27" t="s">
        <v>45</v>
      </c>
      <c r="C31" s="27" t="s">
        <v>40</v>
      </c>
      <c r="D31" s="27" t="s">
        <v>41</v>
      </c>
      <c r="E31" s="27" t="s">
        <v>242</v>
      </c>
      <c r="F31" s="27" t="s">
        <v>260</v>
      </c>
      <c r="G31" s="27"/>
      <c r="H31" s="27" t="s">
        <v>42</v>
      </c>
      <c r="I31" s="27" t="s">
        <v>354</v>
      </c>
    </row>
    <row r="32" spans="2:9" x14ac:dyDescent="0.25">
      <c r="B32" s="27">
        <v>2020</v>
      </c>
      <c r="C32" s="1">
        <f>'RF2020'!$D$33</f>
        <v>37157</v>
      </c>
      <c r="D32" s="1">
        <f>'RF2020'!$D$34</f>
        <v>0</v>
      </c>
      <c r="E32" s="1">
        <f>'RF2020'!$D$35</f>
        <v>0</v>
      </c>
      <c r="F32" s="1">
        <f>'RF2020'!$D$36</f>
        <v>0</v>
      </c>
      <c r="H32" s="1">
        <f>'RF2020'!$AB$29</f>
        <v>37157</v>
      </c>
      <c r="I32" s="1">
        <f>C32 - SUM(D32:G32) - H32</f>
        <v>0</v>
      </c>
    </row>
    <row r="33" spans="2:9" x14ac:dyDescent="0.25">
      <c r="B33" s="27">
        <v>2021</v>
      </c>
      <c r="C33" s="1">
        <f>'RF2021'!$D$33</f>
        <v>423510</v>
      </c>
      <c r="D33" s="1">
        <f>'RF2021'!$D$34</f>
        <v>150000</v>
      </c>
      <c r="E33" s="1">
        <f>'RF2021'!$D$35</f>
        <v>0</v>
      </c>
      <c r="F33" s="1">
        <f>'RF2021'!$D$36</f>
        <v>481</v>
      </c>
      <c r="H33" s="1">
        <f>'RF2021'!$AB$29</f>
        <v>273029</v>
      </c>
      <c r="I33" s="1">
        <f t="shared" ref="I33:I34" si="6">C33 - SUM(D33:G33) - H33</f>
        <v>0</v>
      </c>
    </row>
    <row r="34" spans="2:9" x14ac:dyDescent="0.25">
      <c r="B34" s="27">
        <v>2022</v>
      </c>
      <c r="C34" s="1">
        <f>'RF2022'!$D$33</f>
        <v>442126</v>
      </c>
      <c r="D34" s="1">
        <f>'RF2022'!$D$34</f>
        <v>0</v>
      </c>
      <c r="E34" s="1">
        <f>'RF2022'!$D$35</f>
        <v>0</v>
      </c>
      <c r="F34" s="1">
        <f>'RF2022'!$D$36</f>
        <v>360</v>
      </c>
      <c r="H34" s="1">
        <f>'RF2022'!$AB$29</f>
        <v>441766</v>
      </c>
      <c r="I34" s="1">
        <f t="shared" si="6"/>
        <v>0</v>
      </c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F43"/>
  <sheetViews>
    <sheetView showGridLines="0" zoomScaleNormal="100" workbookViewId="0">
      <selection activeCell="D10" sqref="D10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8.7109375" bestFit="1" customWidth="1"/>
    <col min="12" max="12" width="10.7109375" customWidth="1"/>
    <col min="13" max="13" width="30.28515625" bestFit="1" customWidth="1"/>
    <col min="14" max="14" width="6.7109375" customWidth="1"/>
    <col min="18" max="18" width="28.7109375" bestFit="1" customWidth="1"/>
    <col min="20" max="20" width="9.5703125" bestFit="1" customWidth="1"/>
    <col min="21" max="21" width="6.7109375" customWidth="1"/>
    <col min="25" max="25" width="28.7109375" bestFit="1" customWidth="1"/>
    <col min="27" max="27" width="6.7109375" customWidth="1"/>
    <col min="31" max="31" width="28.7109375" bestFit="1" customWidth="1"/>
  </cols>
  <sheetData>
    <row r="1" spans="1:32" ht="18.75" x14ac:dyDescent="0.3">
      <c r="A1" s="8">
        <v>2016</v>
      </c>
    </row>
    <row r="3" spans="1:32" ht="18.75" x14ac:dyDescent="0.3">
      <c r="A3" s="5" t="s">
        <v>8</v>
      </c>
      <c r="F3" s="5" t="s">
        <v>9</v>
      </c>
      <c r="O3" s="5" t="s">
        <v>241</v>
      </c>
      <c r="V3" s="5" t="s">
        <v>350</v>
      </c>
      <c r="AB3" s="5" t="s">
        <v>43</v>
      </c>
    </row>
    <row r="4" spans="1:32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358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</row>
    <row r="5" spans="1:32" x14ac:dyDescent="0.25">
      <c r="A5" t="s">
        <v>0</v>
      </c>
      <c r="B5" t="s">
        <v>2</v>
      </c>
      <c r="C5" s="2">
        <v>42370</v>
      </c>
      <c r="D5" s="1">
        <v>29254</v>
      </c>
      <c r="F5">
        <v>2016</v>
      </c>
      <c r="G5">
        <v>1</v>
      </c>
      <c r="H5" t="s">
        <v>0</v>
      </c>
      <c r="I5">
        <v>29254</v>
      </c>
      <c r="J5" s="12">
        <v>8</v>
      </c>
      <c r="K5" t="s">
        <v>10</v>
      </c>
      <c r="L5" s="11">
        <v>42501.318877314814</v>
      </c>
      <c r="M5" t="s">
        <v>11</v>
      </c>
      <c r="O5" t="s">
        <v>1</v>
      </c>
      <c r="P5">
        <v>8</v>
      </c>
      <c r="Q5">
        <v>2016</v>
      </c>
      <c r="R5" t="s">
        <v>47</v>
      </c>
      <c r="S5">
        <v>543</v>
      </c>
      <c r="T5" s="29">
        <v>2016</v>
      </c>
      <c r="V5" t="s">
        <v>1</v>
      </c>
      <c r="W5">
        <v>11</v>
      </c>
      <c r="X5">
        <v>2016</v>
      </c>
      <c r="Y5" t="s">
        <v>249</v>
      </c>
      <c r="Z5">
        <v>2277</v>
      </c>
    </row>
    <row r="6" spans="1:32" x14ac:dyDescent="0.25">
      <c r="A6" t="s">
        <v>1</v>
      </c>
      <c r="B6" t="s">
        <v>3</v>
      </c>
      <c r="C6" s="2">
        <v>42370</v>
      </c>
      <c r="D6" s="1">
        <v>4154</v>
      </c>
      <c r="F6">
        <v>2016</v>
      </c>
      <c r="G6">
        <v>1</v>
      </c>
      <c r="H6" t="s">
        <v>1</v>
      </c>
      <c r="I6">
        <v>1478</v>
      </c>
      <c r="J6" s="12">
        <v>1</v>
      </c>
      <c r="K6" t="s">
        <v>12</v>
      </c>
      <c r="L6" s="11">
        <v>42522.2968287037</v>
      </c>
      <c r="M6" t="s">
        <v>13</v>
      </c>
      <c r="O6" t="s">
        <v>1</v>
      </c>
      <c r="P6">
        <v>6</v>
      </c>
      <c r="Q6">
        <v>2016</v>
      </c>
      <c r="R6" t="s">
        <v>55</v>
      </c>
      <c r="S6">
        <v>3184</v>
      </c>
      <c r="T6" s="29">
        <v>2016</v>
      </c>
    </row>
    <row r="7" spans="1:32" x14ac:dyDescent="0.25">
      <c r="A7" t="s">
        <v>0</v>
      </c>
      <c r="B7" t="s">
        <v>2</v>
      </c>
      <c r="C7" s="2">
        <v>42401</v>
      </c>
      <c r="D7" s="1">
        <v>25858</v>
      </c>
      <c r="F7">
        <v>2016</v>
      </c>
      <c r="G7">
        <v>1</v>
      </c>
      <c r="H7" t="s">
        <v>1</v>
      </c>
      <c r="I7">
        <v>2625</v>
      </c>
      <c r="J7" s="12">
        <v>8</v>
      </c>
      <c r="K7" t="s">
        <v>14</v>
      </c>
      <c r="L7" s="11">
        <v>42501.318888888891</v>
      </c>
      <c r="M7" t="s">
        <v>11</v>
      </c>
      <c r="O7" t="s">
        <v>1</v>
      </c>
      <c r="P7">
        <v>7</v>
      </c>
      <c r="Q7">
        <v>2016</v>
      </c>
      <c r="R7" t="s">
        <v>56</v>
      </c>
      <c r="S7">
        <v>1978</v>
      </c>
      <c r="T7" s="29">
        <v>2016</v>
      </c>
    </row>
    <row r="8" spans="1:32" x14ac:dyDescent="0.25">
      <c r="A8" t="s">
        <v>1</v>
      </c>
      <c r="B8" t="s">
        <v>3</v>
      </c>
      <c r="C8" s="2">
        <v>42401</v>
      </c>
      <c r="D8" s="1">
        <v>3672</v>
      </c>
      <c r="F8">
        <v>2016</v>
      </c>
      <c r="G8">
        <v>2</v>
      </c>
      <c r="H8" t="s">
        <v>0</v>
      </c>
      <c r="I8">
        <v>25858</v>
      </c>
      <c r="J8" s="12">
        <v>8</v>
      </c>
      <c r="K8" t="s">
        <v>15</v>
      </c>
      <c r="L8" s="11">
        <v>42529.585787037038</v>
      </c>
      <c r="M8" t="s">
        <v>11</v>
      </c>
      <c r="O8" t="s">
        <v>1</v>
      </c>
      <c r="P8">
        <v>2</v>
      </c>
      <c r="Q8">
        <v>2016</v>
      </c>
      <c r="R8" t="s">
        <v>53</v>
      </c>
      <c r="S8">
        <v>1487</v>
      </c>
      <c r="T8" s="29">
        <v>2016</v>
      </c>
    </row>
    <row r="9" spans="1:32" x14ac:dyDescent="0.25">
      <c r="A9" t="s">
        <v>0</v>
      </c>
      <c r="B9" t="s">
        <v>2</v>
      </c>
      <c r="C9" s="2">
        <v>42430</v>
      </c>
      <c r="D9" s="1">
        <v>20878</v>
      </c>
      <c r="F9">
        <v>2016</v>
      </c>
      <c r="G9">
        <v>2</v>
      </c>
      <c r="H9" t="s">
        <v>1</v>
      </c>
      <c r="I9">
        <v>2185</v>
      </c>
      <c r="J9" s="12">
        <v>8</v>
      </c>
      <c r="K9" t="s">
        <v>16</v>
      </c>
      <c r="L9" s="11">
        <v>42529.585787037038</v>
      </c>
      <c r="M9" t="s">
        <v>11</v>
      </c>
      <c r="O9" t="s">
        <v>1</v>
      </c>
      <c r="P9">
        <v>1</v>
      </c>
      <c r="Q9">
        <v>2016</v>
      </c>
      <c r="R9" t="s">
        <v>52</v>
      </c>
      <c r="S9">
        <v>51</v>
      </c>
      <c r="T9" s="29">
        <v>2016</v>
      </c>
    </row>
    <row r="10" spans="1:32" x14ac:dyDescent="0.25">
      <c r="A10" t="s">
        <v>1</v>
      </c>
      <c r="B10" t="s">
        <v>3</v>
      </c>
      <c r="C10" s="2">
        <v>42430</v>
      </c>
      <c r="D10" s="1">
        <v>2965</v>
      </c>
      <c r="F10">
        <v>2016</v>
      </c>
      <c r="G10">
        <v>3</v>
      </c>
      <c r="H10" t="s">
        <v>0</v>
      </c>
      <c r="I10">
        <v>143</v>
      </c>
      <c r="J10" s="12">
        <v>7</v>
      </c>
      <c r="K10" t="s">
        <v>17</v>
      </c>
      <c r="L10" s="11">
        <v>42552.421817129631</v>
      </c>
      <c r="M10" t="s">
        <v>18</v>
      </c>
      <c r="O10" t="s">
        <v>1</v>
      </c>
      <c r="P10">
        <v>3</v>
      </c>
      <c r="Q10">
        <v>2016</v>
      </c>
      <c r="R10" t="s">
        <v>50</v>
      </c>
      <c r="S10">
        <v>2965</v>
      </c>
      <c r="T10" s="29">
        <v>2016</v>
      </c>
    </row>
    <row r="11" spans="1:32" x14ac:dyDescent="0.25">
      <c r="A11" t="s">
        <v>0</v>
      </c>
      <c r="B11" t="s">
        <v>2</v>
      </c>
      <c r="C11" s="2">
        <v>42461</v>
      </c>
      <c r="D11" s="1">
        <v>23489</v>
      </c>
      <c r="F11">
        <v>2016</v>
      </c>
      <c r="G11">
        <v>3</v>
      </c>
      <c r="H11" t="s">
        <v>0</v>
      </c>
      <c r="I11">
        <v>17742</v>
      </c>
      <c r="J11" s="12">
        <v>8</v>
      </c>
      <c r="K11" t="s">
        <v>19</v>
      </c>
      <c r="L11" s="11">
        <v>42552.337534722225</v>
      </c>
      <c r="M11" t="s">
        <v>11</v>
      </c>
      <c r="O11" t="s">
        <v>1</v>
      </c>
      <c r="P11">
        <v>4</v>
      </c>
      <c r="Q11">
        <v>2016</v>
      </c>
      <c r="R11" t="s">
        <v>46</v>
      </c>
      <c r="S11">
        <v>3336</v>
      </c>
      <c r="T11" s="29">
        <v>2016</v>
      </c>
    </row>
    <row r="12" spans="1:32" x14ac:dyDescent="0.25">
      <c r="A12" t="s">
        <v>1</v>
      </c>
      <c r="B12" t="s">
        <v>3</v>
      </c>
      <c r="C12" s="2">
        <v>42461</v>
      </c>
      <c r="D12" s="1">
        <v>3336</v>
      </c>
      <c r="F12">
        <v>2016</v>
      </c>
      <c r="G12">
        <v>4</v>
      </c>
      <c r="H12" t="s">
        <v>0</v>
      </c>
      <c r="I12">
        <v>120</v>
      </c>
      <c r="J12" s="12">
        <v>7</v>
      </c>
      <c r="K12" t="s">
        <v>20</v>
      </c>
      <c r="L12" s="11">
        <v>42597.47724537037</v>
      </c>
      <c r="M12" t="s">
        <v>18</v>
      </c>
      <c r="O12" t="s">
        <v>1</v>
      </c>
      <c r="P12">
        <v>5</v>
      </c>
      <c r="Q12">
        <v>2016</v>
      </c>
      <c r="R12" t="s">
        <v>54</v>
      </c>
      <c r="S12">
        <v>544</v>
      </c>
      <c r="T12" s="29">
        <v>2016</v>
      </c>
    </row>
    <row r="13" spans="1:32" x14ac:dyDescent="0.25">
      <c r="A13" t="s">
        <v>0</v>
      </c>
      <c r="B13" t="s">
        <v>2</v>
      </c>
      <c r="C13" s="2">
        <v>42491</v>
      </c>
      <c r="D13" s="1">
        <v>3829</v>
      </c>
      <c r="F13">
        <v>2016</v>
      </c>
      <c r="G13">
        <v>4</v>
      </c>
      <c r="H13" t="s">
        <v>0</v>
      </c>
      <c r="I13">
        <v>21363</v>
      </c>
      <c r="J13" s="12">
        <v>8</v>
      </c>
      <c r="K13" t="s">
        <v>21</v>
      </c>
      <c r="L13" s="11">
        <v>42590.424340277779</v>
      </c>
      <c r="M13" t="s">
        <v>11</v>
      </c>
      <c r="O13" t="s">
        <v>1</v>
      </c>
      <c r="P13">
        <v>10</v>
      </c>
      <c r="Q13">
        <v>2016</v>
      </c>
      <c r="R13" t="s">
        <v>49</v>
      </c>
      <c r="S13">
        <v>4027</v>
      </c>
      <c r="T13" s="29">
        <v>2016</v>
      </c>
    </row>
    <row r="14" spans="1:32" x14ac:dyDescent="0.25">
      <c r="A14" t="s">
        <v>1</v>
      </c>
      <c r="B14" t="s">
        <v>3</v>
      </c>
      <c r="C14" s="2">
        <v>42491</v>
      </c>
      <c r="D14" s="1">
        <v>544</v>
      </c>
      <c r="F14">
        <v>2016</v>
      </c>
      <c r="G14">
        <v>5</v>
      </c>
      <c r="H14" t="s">
        <v>0</v>
      </c>
      <c r="I14">
        <v>1810</v>
      </c>
      <c r="J14" s="12">
        <v>8</v>
      </c>
      <c r="K14" t="s">
        <v>22</v>
      </c>
      <c r="L14" s="11">
        <v>42625.566620370373</v>
      </c>
      <c r="M14" t="s">
        <v>11</v>
      </c>
      <c r="O14" t="s">
        <v>1</v>
      </c>
      <c r="P14">
        <v>9</v>
      </c>
      <c r="Q14">
        <v>2016</v>
      </c>
      <c r="R14" t="s">
        <v>48</v>
      </c>
      <c r="S14">
        <v>1910</v>
      </c>
      <c r="T14" s="29">
        <v>2016</v>
      </c>
    </row>
    <row r="15" spans="1:32" x14ac:dyDescent="0.25">
      <c r="A15" t="s">
        <v>0</v>
      </c>
      <c r="B15" t="s">
        <v>2</v>
      </c>
      <c r="C15" s="2">
        <v>42522</v>
      </c>
      <c r="D15" s="1">
        <v>22426</v>
      </c>
      <c r="F15">
        <v>2016</v>
      </c>
      <c r="G15">
        <v>6</v>
      </c>
      <c r="H15" t="s">
        <v>0</v>
      </c>
      <c r="I15">
        <v>20282</v>
      </c>
      <c r="J15" s="12">
        <v>8</v>
      </c>
      <c r="K15" t="s">
        <v>23</v>
      </c>
      <c r="L15" s="11">
        <v>42647.514236111114</v>
      </c>
      <c r="M15" t="s">
        <v>11</v>
      </c>
      <c r="O15" t="s">
        <v>1</v>
      </c>
      <c r="P15">
        <v>12</v>
      </c>
      <c r="Q15">
        <v>2016</v>
      </c>
      <c r="R15" t="s">
        <v>51</v>
      </c>
      <c r="S15">
        <v>3691</v>
      </c>
      <c r="T15" s="29">
        <v>2016</v>
      </c>
    </row>
    <row r="16" spans="1:32" x14ac:dyDescent="0.25">
      <c r="A16" t="s">
        <v>1</v>
      </c>
      <c r="B16" t="s">
        <v>3</v>
      </c>
      <c r="C16" s="2">
        <v>42522</v>
      </c>
      <c r="D16" s="1">
        <v>3184</v>
      </c>
      <c r="F16">
        <v>2016</v>
      </c>
      <c r="G16">
        <v>7</v>
      </c>
      <c r="H16" t="s">
        <v>0</v>
      </c>
      <c r="I16">
        <v>30282</v>
      </c>
      <c r="J16" s="12">
        <v>8</v>
      </c>
      <c r="K16" t="s">
        <v>24</v>
      </c>
      <c r="L16" s="11">
        <v>42678.493414351855</v>
      </c>
      <c r="M16" t="s">
        <v>11</v>
      </c>
      <c r="O16" t="s">
        <v>1</v>
      </c>
      <c r="P16">
        <v>11</v>
      </c>
      <c r="Q16">
        <v>2016</v>
      </c>
      <c r="R16" t="s">
        <v>248</v>
      </c>
      <c r="S16">
        <v>1435</v>
      </c>
      <c r="T16" s="29">
        <v>2016</v>
      </c>
    </row>
    <row r="17" spans="1:32" x14ac:dyDescent="0.25">
      <c r="A17" t="s">
        <v>0</v>
      </c>
      <c r="B17" t="s">
        <v>2</v>
      </c>
      <c r="C17" s="2">
        <v>42552</v>
      </c>
      <c r="D17" s="1">
        <v>30282</v>
      </c>
      <c r="F17">
        <v>2016</v>
      </c>
      <c r="G17">
        <v>7</v>
      </c>
      <c r="H17" t="s">
        <v>1</v>
      </c>
      <c r="I17">
        <v>2323</v>
      </c>
      <c r="J17" s="12">
        <v>8</v>
      </c>
      <c r="K17" t="s">
        <v>25</v>
      </c>
      <c r="L17" s="11">
        <v>42678.493425925924</v>
      </c>
      <c r="M17" t="s">
        <v>11</v>
      </c>
      <c r="O17" t="s">
        <v>0</v>
      </c>
      <c r="P17">
        <v>11</v>
      </c>
      <c r="Q17">
        <v>2016</v>
      </c>
      <c r="R17" t="s">
        <v>62</v>
      </c>
      <c r="S17">
        <v>5651</v>
      </c>
      <c r="T17" s="29">
        <v>2016</v>
      </c>
    </row>
    <row r="18" spans="1:32" x14ac:dyDescent="0.25">
      <c r="A18" t="s">
        <v>1</v>
      </c>
      <c r="B18" t="s">
        <v>3</v>
      </c>
      <c r="C18" s="2">
        <v>42552</v>
      </c>
      <c r="D18" s="1">
        <v>4301</v>
      </c>
      <c r="F18">
        <v>2016</v>
      </c>
      <c r="G18">
        <v>8</v>
      </c>
      <c r="H18" t="s">
        <v>0</v>
      </c>
      <c r="I18">
        <v>30695</v>
      </c>
      <c r="J18" s="12">
        <v>8</v>
      </c>
      <c r="K18" t="s">
        <v>26</v>
      </c>
      <c r="L18" s="11">
        <v>42723.268009259256</v>
      </c>
      <c r="M18" t="s">
        <v>11</v>
      </c>
      <c r="O18" t="s">
        <v>0</v>
      </c>
      <c r="P18">
        <v>10</v>
      </c>
      <c r="Q18">
        <v>2016</v>
      </c>
      <c r="R18" t="s">
        <v>61</v>
      </c>
      <c r="S18">
        <v>3882</v>
      </c>
      <c r="T18" s="29">
        <v>2016</v>
      </c>
    </row>
    <row r="19" spans="1:32" x14ac:dyDescent="0.25">
      <c r="A19" t="s">
        <v>0</v>
      </c>
      <c r="B19" t="s">
        <v>2</v>
      </c>
      <c r="C19" s="2">
        <v>42583</v>
      </c>
      <c r="D19" s="1">
        <v>30695</v>
      </c>
      <c r="F19">
        <v>2016</v>
      </c>
      <c r="G19">
        <v>8</v>
      </c>
      <c r="H19" t="s">
        <v>1</v>
      </c>
      <c r="I19">
        <v>3816</v>
      </c>
      <c r="J19" s="12">
        <v>8</v>
      </c>
      <c r="K19" t="s">
        <v>27</v>
      </c>
      <c r="L19" s="11">
        <v>42723.268020833333</v>
      </c>
      <c r="M19" t="s">
        <v>11</v>
      </c>
      <c r="O19" t="s">
        <v>0</v>
      </c>
      <c r="P19">
        <v>4</v>
      </c>
      <c r="Q19">
        <v>2016</v>
      </c>
      <c r="R19" t="s">
        <v>57</v>
      </c>
      <c r="S19">
        <v>2006</v>
      </c>
      <c r="T19" s="29">
        <v>2016</v>
      </c>
    </row>
    <row r="20" spans="1:32" x14ac:dyDescent="0.25">
      <c r="A20" t="s">
        <v>1</v>
      </c>
      <c r="B20" t="s">
        <v>3</v>
      </c>
      <c r="C20" s="2">
        <v>42583</v>
      </c>
      <c r="D20" s="1">
        <v>4359</v>
      </c>
      <c r="F20">
        <v>2016</v>
      </c>
      <c r="G20">
        <v>9</v>
      </c>
      <c r="H20" t="s">
        <v>0</v>
      </c>
      <c r="I20">
        <v>27162</v>
      </c>
      <c r="J20" s="12">
        <v>8</v>
      </c>
      <c r="K20" t="s">
        <v>28</v>
      </c>
      <c r="L20" s="11">
        <v>42740.289398148147</v>
      </c>
      <c r="M20" t="s">
        <v>11</v>
      </c>
      <c r="O20" t="s">
        <v>0</v>
      </c>
      <c r="P20">
        <v>5</v>
      </c>
      <c r="Q20">
        <v>2016</v>
      </c>
      <c r="R20" t="s">
        <v>58</v>
      </c>
      <c r="S20">
        <v>2019</v>
      </c>
      <c r="T20" s="29">
        <v>2016</v>
      </c>
    </row>
    <row r="21" spans="1:32" x14ac:dyDescent="0.25">
      <c r="A21" t="s">
        <v>0</v>
      </c>
      <c r="B21" t="s">
        <v>2</v>
      </c>
      <c r="C21" s="2">
        <v>42614</v>
      </c>
      <c r="D21" s="1">
        <v>27162</v>
      </c>
      <c r="F21">
        <v>2016</v>
      </c>
      <c r="G21">
        <v>9</v>
      </c>
      <c r="H21" t="s">
        <v>1</v>
      </c>
      <c r="I21">
        <v>1947</v>
      </c>
      <c r="J21" s="12">
        <v>8</v>
      </c>
      <c r="K21" t="s">
        <v>29</v>
      </c>
      <c r="L21" s="11">
        <v>42740.289409722223</v>
      </c>
      <c r="M21" t="s">
        <v>11</v>
      </c>
      <c r="O21" t="s">
        <v>0</v>
      </c>
      <c r="P21">
        <v>3</v>
      </c>
      <c r="Q21">
        <v>2016</v>
      </c>
      <c r="R21" t="s">
        <v>60</v>
      </c>
      <c r="S21">
        <v>2993</v>
      </c>
      <c r="T21" s="29">
        <v>2016</v>
      </c>
    </row>
    <row r="22" spans="1:32" x14ac:dyDescent="0.25">
      <c r="A22" t="s">
        <v>1</v>
      </c>
      <c r="B22" t="s">
        <v>3</v>
      </c>
      <c r="C22" s="2">
        <v>42614</v>
      </c>
      <c r="D22" s="1">
        <v>3857</v>
      </c>
      <c r="F22">
        <v>2016</v>
      </c>
      <c r="G22">
        <v>10</v>
      </c>
      <c r="H22" t="s">
        <v>0</v>
      </c>
      <c r="I22">
        <v>24477</v>
      </c>
      <c r="J22" s="12">
        <v>8</v>
      </c>
      <c r="K22" t="s">
        <v>30</v>
      </c>
      <c r="L22" s="11">
        <v>42774.342372685183</v>
      </c>
      <c r="M22" t="s">
        <v>11</v>
      </c>
      <c r="O22" t="s">
        <v>0</v>
      </c>
      <c r="P22">
        <v>6</v>
      </c>
      <c r="Q22">
        <v>2016</v>
      </c>
      <c r="R22" t="s">
        <v>59</v>
      </c>
      <c r="S22">
        <v>2144</v>
      </c>
      <c r="T22" s="29">
        <v>2016</v>
      </c>
    </row>
    <row r="23" spans="1:32" x14ac:dyDescent="0.25">
      <c r="A23" t="s">
        <v>0</v>
      </c>
      <c r="B23" t="s">
        <v>2</v>
      </c>
      <c r="C23" s="2">
        <v>42644</v>
      </c>
      <c r="D23" s="1">
        <v>28359</v>
      </c>
      <c r="F23">
        <v>2016</v>
      </c>
      <c r="G23">
        <v>11</v>
      </c>
      <c r="H23" t="s">
        <v>0</v>
      </c>
      <c r="I23">
        <v>20488</v>
      </c>
      <c r="J23" s="12">
        <v>8</v>
      </c>
      <c r="K23" t="s">
        <v>31</v>
      </c>
      <c r="L23" s="11">
        <v>42807.538043981483</v>
      </c>
      <c r="M23" t="s">
        <v>11</v>
      </c>
    </row>
    <row r="24" spans="1:32" x14ac:dyDescent="0.25">
      <c r="A24" t="s">
        <v>1</v>
      </c>
      <c r="B24" t="s">
        <v>3</v>
      </c>
      <c r="C24" s="2">
        <v>42644</v>
      </c>
      <c r="D24" s="1">
        <v>4027</v>
      </c>
      <c r="F24">
        <v>2016</v>
      </c>
      <c r="G24">
        <v>12</v>
      </c>
      <c r="H24" t="s">
        <v>0</v>
      </c>
      <c r="I24">
        <v>30266</v>
      </c>
      <c r="J24" s="12">
        <v>8</v>
      </c>
      <c r="K24" t="s">
        <v>32</v>
      </c>
      <c r="L24" s="11">
        <v>42838.503993055558</v>
      </c>
      <c r="M24" t="s">
        <v>11</v>
      </c>
    </row>
    <row r="25" spans="1:32" x14ac:dyDescent="0.25">
      <c r="A25" t="s">
        <v>0</v>
      </c>
      <c r="B25" t="s">
        <v>2</v>
      </c>
      <c r="C25" s="2">
        <v>42675</v>
      </c>
      <c r="D25" s="1">
        <v>26139</v>
      </c>
      <c r="F25">
        <v>2016</v>
      </c>
      <c r="G25">
        <v>12</v>
      </c>
      <c r="H25" t="s">
        <v>1</v>
      </c>
      <c r="I25">
        <v>607</v>
      </c>
      <c r="J25" s="12">
        <v>8</v>
      </c>
      <c r="K25" t="s">
        <v>33</v>
      </c>
      <c r="L25" s="11">
        <v>42838.504004629627</v>
      </c>
      <c r="M25" t="s">
        <v>11</v>
      </c>
    </row>
    <row r="26" spans="1:32" x14ac:dyDescent="0.25">
      <c r="A26" t="s">
        <v>1</v>
      </c>
      <c r="B26" t="s">
        <v>3</v>
      </c>
      <c r="C26" s="2">
        <v>42675</v>
      </c>
      <c r="D26" s="1">
        <v>3712</v>
      </c>
      <c r="J26" s="12"/>
    </row>
    <row r="27" spans="1:32" x14ac:dyDescent="0.25">
      <c r="A27" t="s">
        <v>0</v>
      </c>
      <c r="B27" t="s">
        <v>2</v>
      </c>
      <c r="C27" s="2">
        <v>42705</v>
      </c>
      <c r="D27" s="1">
        <v>30266</v>
      </c>
      <c r="J27" s="12"/>
    </row>
    <row r="28" spans="1:32" x14ac:dyDescent="0.25">
      <c r="A28" t="s">
        <v>1</v>
      </c>
      <c r="B28" t="s">
        <v>3</v>
      </c>
      <c r="C28" s="2">
        <v>42705</v>
      </c>
      <c r="D28" s="1">
        <v>4298</v>
      </c>
    </row>
    <row r="29" spans="1:32" x14ac:dyDescent="0.25">
      <c r="D29" s="3">
        <f>SUM(D5:D28)</f>
        <v>341046</v>
      </c>
      <c r="I29" s="3">
        <f>SUM(I5:I28)</f>
        <v>294923</v>
      </c>
      <c r="J29" s="12">
        <f>SUMPRODUCT(I5:I28, J5:J28) / I29</f>
        <v>7.9640278988074851</v>
      </c>
      <c r="S29" s="3">
        <f>SUM(S5:S28)</f>
        <v>43846</v>
      </c>
      <c r="T29" s="3"/>
      <c r="Z29" s="3">
        <f>SUM(Z5:Z28)</f>
        <v>2277</v>
      </c>
      <c r="AF29" s="3">
        <f>SUM(AF5:AF28)</f>
        <v>0</v>
      </c>
    </row>
    <row r="33" spans="3:11" x14ac:dyDescent="0.25">
      <c r="C33" s="6" t="s">
        <v>40</v>
      </c>
      <c r="D33" s="1">
        <f>D29</f>
        <v>341046</v>
      </c>
    </row>
    <row r="34" spans="3:11" x14ac:dyDescent="0.25">
      <c r="C34" s="6" t="s">
        <v>41</v>
      </c>
      <c r="D34" s="13">
        <f>I29</f>
        <v>294923</v>
      </c>
      <c r="E34" s="12">
        <f>J29</f>
        <v>7.9640278988074851</v>
      </c>
      <c r="F34" s="12">
        <f>D34 * E34</f>
        <v>2348775</v>
      </c>
      <c r="G34" s="19" t="s">
        <v>360</v>
      </c>
    </row>
    <row r="35" spans="3:11" x14ac:dyDescent="0.25">
      <c r="C35" s="6" t="s">
        <v>242</v>
      </c>
      <c r="D35" s="13">
        <f>S29</f>
        <v>43846</v>
      </c>
      <c r="G35" s="19" t="s">
        <v>368</v>
      </c>
    </row>
    <row r="36" spans="3:11" x14ac:dyDescent="0.25">
      <c r="C36" s="6" t="s">
        <v>350</v>
      </c>
      <c r="D36" s="7">
        <f>Z29</f>
        <v>2277</v>
      </c>
      <c r="F36" s="19"/>
      <c r="G36" s="19" t="s">
        <v>368</v>
      </c>
      <c r="J36" s="30">
        <f>1 - D36 / SUM(D35:D36)</f>
        <v>0.95063200572382545</v>
      </c>
      <c r="K36" t="s">
        <v>361</v>
      </c>
    </row>
    <row r="37" spans="3:11" x14ac:dyDescent="0.25">
      <c r="C37" s="6" t="s">
        <v>42</v>
      </c>
      <c r="D37" s="1">
        <f>D33 - D34 - D35 - D36</f>
        <v>0</v>
      </c>
      <c r="E37" s="17"/>
      <c r="F37" s="19"/>
      <c r="G37" s="19" t="s">
        <v>475</v>
      </c>
      <c r="J37" s="31" t="s">
        <v>362</v>
      </c>
    </row>
    <row r="38" spans="3:11" x14ac:dyDescent="0.25">
      <c r="D38" s="1">
        <f>D37 - AF29</f>
        <v>0</v>
      </c>
      <c r="F38" s="19"/>
    </row>
    <row r="40" spans="3:11" x14ac:dyDescent="0.25">
      <c r="C40" s="36" t="s">
        <v>537</v>
      </c>
      <c r="D40" s="28">
        <v>2016</v>
      </c>
    </row>
    <row r="41" spans="3:11" x14ac:dyDescent="0.25">
      <c r="C41" s="6" t="s">
        <v>246</v>
      </c>
      <c r="D41" s="1">
        <f>SUMIF($T$5:$T$28, D40, $S$5:$S$28)</f>
        <v>43846</v>
      </c>
      <c r="F41" s="19"/>
    </row>
    <row r="42" spans="3:11" x14ac:dyDescent="0.25">
      <c r="C42" s="6"/>
      <c r="D42" s="16"/>
    </row>
    <row r="43" spans="3:11" x14ac:dyDescent="0.25">
      <c r="C43" s="6"/>
      <c r="D43" s="1"/>
    </row>
  </sheetData>
  <sortState xmlns:xlrd2="http://schemas.microsoft.com/office/spreadsheetml/2017/richdata2" ref="AB3:AF20">
    <sortCondition ref="AD3:AD20"/>
    <sortCondition ref="AC3:AC20"/>
    <sortCondition ref="AB3:AB20"/>
  </sortState>
  <pageMargins left="0.2" right="0.2" top="0.75" bottom="0.75" header="0.3" footer="0.3"/>
  <pageSetup scale="58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autoPageBreaks="0" fitToPage="1"/>
  </sheetPr>
  <dimension ref="A1:AB42"/>
  <sheetViews>
    <sheetView showGridLines="0" topLeftCell="A7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8.7109375" bestFit="1" customWidth="1"/>
    <col min="14" max="14" width="10.7109375" customWidth="1"/>
    <col min="15" max="15" width="30.28515625" bestFit="1" customWidth="1"/>
    <col min="20" max="20" width="28.7109375" bestFit="1" customWidth="1"/>
    <col min="22" max="22" width="9.5703125" bestFit="1" customWidth="1"/>
    <col min="27" max="27" width="28.7109375" bestFit="1" customWidth="1"/>
  </cols>
  <sheetData>
    <row r="1" spans="1:28" ht="18.75" x14ac:dyDescent="0.3">
      <c r="A1" s="8">
        <v>2016</v>
      </c>
    </row>
    <row r="3" spans="1:28" ht="18.75" x14ac:dyDescent="0.3">
      <c r="A3" s="5" t="s">
        <v>80</v>
      </c>
      <c r="H3" s="5" t="s">
        <v>9</v>
      </c>
      <c r="Q3" s="5" t="s">
        <v>241</v>
      </c>
      <c r="X3" s="5" t="s">
        <v>43</v>
      </c>
    </row>
    <row r="4" spans="1:28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358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</row>
    <row r="5" spans="1:28" x14ac:dyDescent="0.25">
      <c r="A5">
        <v>2016</v>
      </c>
      <c r="B5">
        <v>1</v>
      </c>
      <c r="C5" t="s">
        <v>66</v>
      </c>
      <c r="D5" t="s">
        <v>67</v>
      </c>
      <c r="E5" s="10">
        <v>34639</v>
      </c>
      <c r="F5" s="1" t="s">
        <v>68</v>
      </c>
      <c r="H5">
        <v>2016</v>
      </c>
      <c r="I5">
        <v>1</v>
      </c>
      <c r="J5" t="s">
        <v>66</v>
      </c>
      <c r="K5">
        <v>21096</v>
      </c>
      <c r="L5" s="12">
        <v>1.1499999999999999</v>
      </c>
      <c r="M5" t="s">
        <v>81</v>
      </c>
      <c r="N5" s="11">
        <v>42552.348506944443</v>
      </c>
      <c r="O5" t="s">
        <v>103</v>
      </c>
      <c r="Q5" t="s">
        <v>66</v>
      </c>
      <c r="R5">
        <v>3</v>
      </c>
      <c r="S5">
        <v>2016</v>
      </c>
      <c r="T5" t="s">
        <v>108</v>
      </c>
      <c r="U5">
        <v>10777</v>
      </c>
      <c r="V5" s="29">
        <v>2016</v>
      </c>
    </row>
    <row r="6" spans="1:28" x14ac:dyDescent="0.25">
      <c r="A6">
        <v>2016</v>
      </c>
      <c r="B6">
        <v>2</v>
      </c>
      <c r="C6" t="s">
        <v>66</v>
      </c>
      <c r="D6" t="s">
        <v>67</v>
      </c>
      <c r="E6" s="10">
        <v>32563</v>
      </c>
      <c r="F6" s="1" t="s">
        <v>69</v>
      </c>
      <c r="H6">
        <v>2016</v>
      </c>
      <c r="I6">
        <v>1</v>
      </c>
      <c r="J6" t="s">
        <v>66</v>
      </c>
      <c r="K6">
        <v>49</v>
      </c>
      <c r="L6" s="12">
        <v>7</v>
      </c>
      <c r="M6" t="s">
        <v>82</v>
      </c>
      <c r="N6" s="11">
        <v>42503.399953703702</v>
      </c>
      <c r="O6" t="s">
        <v>18</v>
      </c>
      <c r="Q6" t="s">
        <v>66</v>
      </c>
      <c r="R6">
        <v>4</v>
      </c>
      <c r="S6">
        <v>2016</v>
      </c>
      <c r="T6" t="s">
        <v>109</v>
      </c>
      <c r="U6">
        <v>14652</v>
      </c>
      <c r="V6" s="29">
        <v>2016</v>
      </c>
    </row>
    <row r="7" spans="1:28" x14ac:dyDescent="0.25">
      <c r="A7">
        <v>2016</v>
      </c>
      <c r="B7">
        <v>3</v>
      </c>
      <c r="C7" t="s">
        <v>66</v>
      </c>
      <c r="D7" t="s">
        <v>67</v>
      </c>
      <c r="E7" s="10">
        <v>40449</v>
      </c>
      <c r="F7" s="1" t="s">
        <v>70</v>
      </c>
      <c r="H7">
        <v>2016</v>
      </c>
      <c r="I7">
        <v>1</v>
      </c>
      <c r="J7" t="s">
        <v>66</v>
      </c>
      <c r="K7">
        <v>13494</v>
      </c>
      <c r="L7" s="12">
        <v>8</v>
      </c>
      <c r="M7" t="s">
        <v>83</v>
      </c>
      <c r="N7" s="11">
        <v>42501.318888888891</v>
      </c>
      <c r="O7" t="s">
        <v>11</v>
      </c>
      <c r="Q7" t="s">
        <v>66</v>
      </c>
      <c r="R7">
        <v>5</v>
      </c>
      <c r="S7">
        <v>2016</v>
      </c>
      <c r="T7" t="s">
        <v>110</v>
      </c>
      <c r="U7">
        <v>15460</v>
      </c>
      <c r="V7" s="29">
        <v>2016</v>
      </c>
    </row>
    <row r="8" spans="1:28" x14ac:dyDescent="0.25">
      <c r="A8">
        <v>2016</v>
      </c>
      <c r="B8">
        <v>4</v>
      </c>
      <c r="C8" t="s">
        <v>66</v>
      </c>
      <c r="D8" t="s">
        <v>67</v>
      </c>
      <c r="E8" s="10">
        <v>18312</v>
      </c>
      <c r="F8" s="1" t="s">
        <v>71</v>
      </c>
      <c r="H8">
        <v>2016</v>
      </c>
      <c r="I8">
        <v>2</v>
      </c>
      <c r="J8" t="s">
        <v>66</v>
      </c>
      <c r="K8">
        <v>80</v>
      </c>
      <c r="L8" s="12">
        <v>1.1499999999999999</v>
      </c>
      <c r="M8" t="s">
        <v>84</v>
      </c>
      <c r="N8" s="11">
        <v>42552.348506944443</v>
      </c>
      <c r="O8" t="s">
        <v>103</v>
      </c>
      <c r="Q8" t="s">
        <v>66</v>
      </c>
      <c r="R8">
        <v>6</v>
      </c>
      <c r="S8">
        <v>2016</v>
      </c>
      <c r="T8" t="s">
        <v>106</v>
      </c>
      <c r="U8">
        <v>15083</v>
      </c>
      <c r="V8" s="29">
        <v>2016</v>
      </c>
    </row>
    <row r="9" spans="1:28" x14ac:dyDescent="0.25">
      <c r="A9">
        <v>2016</v>
      </c>
      <c r="B9">
        <v>5</v>
      </c>
      <c r="C9" t="s">
        <v>66</v>
      </c>
      <c r="D9" t="s">
        <v>67</v>
      </c>
      <c r="E9" s="10">
        <v>29007</v>
      </c>
      <c r="F9" s="1" t="s">
        <v>72</v>
      </c>
      <c r="H9">
        <v>2016</v>
      </c>
      <c r="I9">
        <v>2</v>
      </c>
      <c r="J9" t="s">
        <v>66</v>
      </c>
      <c r="K9">
        <v>19711</v>
      </c>
      <c r="L9" s="12">
        <v>1.1499999999999999</v>
      </c>
      <c r="M9" t="s">
        <v>85</v>
      </c>
      <c r="N9" s="11">
        <v>42552.348506944443</v>
      </c>
      <c r="O9" t="s">
        <v>103</v>
      </c>
      <c r="Q9" t="s">
        <v>66</v>
      </c>
      <c r="R9">
        <v>7</v>
      </c>
      <c r="S9">
        <v>2016</v>
      </c>
      <c r="T9" t="s">
        <v>107</v>
      </c>
      <c r="U9">
        <v>11407</v>
      </c>
      <c r="V9" s="29">
        <v>2016</v>
      </c>
    </row>
    <row r="10" spans="1:28" x14ac:dyDescent="0.25">
      <c r="A10">
        <v>2016</v>
      </c>
      <c r="B10">
        <v>6</v>
      </c>
      <c r="C10" t="s">
        <v>66</v>
      </c>
      <c r="D10" t="s">
        <v>67</v>
      </c>
      <c r="E10" s="10">
        <v>24403</v>
      </c>
      <c r="F10" s="1" t="s">
        <v>73</v>
      </c>
      <c r="H10">
        <v>2016</v>
      </c>
      <c r="I10">
        <v>2</v>
      </c>
      <c r="J10" t="s">
        <v>66</v>
      </c>
      <c r="K10">
        <v>380</v>
      </c>
      <c r="L10" s="12">
        <v>7</v>
      </c>
      <c r="M10" t="s">
        <v>86</v>
      </c>
      <c r="N10" s="11">
        <v>42527.564675925925</v>
      </c>
      <c r="O10" t="s">
        <v>18</v>
      </c>
      <c r="Q10" t="s">
        <v>66</v>
      </c>
      <c r="R10">
        <v>8</v>
      </c>
      <c r="S10">
        <v>2016</v>
      </c>
      <c r="T10" t="s">
        <v>112</v>
      </c>
      <c r="U10">
        <v>4052</v>
      </c>
      <c r="V10" s="29">
        <v>2016</v>
      </c>
    </row>
    <row r="11" spans="1:28" x14ac:dyDescent="0.25">
      <c r="A11">
        <v>2016</v>
      </c>
      <c r="B11">
        <v>7</v>
      </c>
      <c r="C11" t="s">
        <v>66</v>
      </c>
      <c r="D11" t="s">
        <v>67</v>
      </c>
      <c r="E11" s="10">
        <v>21349</v>
      </c>
      <c r="F11" s="1" t="s">
        <v>74</v>
      </c>
      <c r="H11">
        <v>2016</v>
      </c>
      <c r="I11">
        <v>2</v>
      </c>
      <c r="J11" t="s">
        <v>66</v>
      </c>
      <c r="K11">
        <v>12392</v>
      </c>
      <c r="L11" s="12">
        <v>8</v>
      </c>
      <c r="M11" t="s">
        <v>87</v>
      </c>
      <c r="N11" s="11">
        <v>42529.585787037038</v>
      </c>
      <c r="O11" t="s">
        <v>11</v>
      </c>
      <c r="Q11" t="s">
        <v>66</v>
      </c>
      <c r="R11">
        <v>8</v>
      </c>
      <c r="S11">
        <v>2016</v>
      </c>
      <c r="T11" t="s">
        <v>113</v>
      </c>
      <c r="U11">
        <v>9421</v>
      </c>
      <c r="V11" s="29">
        <v>2016</v>
      </c>
    </row>
    <row r="12" spans="1:28" x14ac:dyDescent="0.25">
      <c r="A12">
        <v>2016</v>
      </c>
      <c r="B12">
        <v>8</v>
      </c>
      <c r="C12" t="s">
        <v>66</v>
      </c>
      <c r="D12" t="s">
        <v>67</v>
      </c>
      <c r="E12" s="10">
        <v>21349</v>
      </c>
      <c r="F12" s="1" t="s">
        <v>75</v>
      </c>
      <c r="H12">
        <v>2016</v>
      </c>
      <c r="I12">
        <v>3</v>
      </c>
      <c r="J12" t="s">
        <v>66</v>
      </c>
      <c r="K12">
        <v>295</v>
      </c>
      <c r="L12" s="12">
        <v>1.1499999999999999</v>
      </c>
      <c r="M12" t="s">
        <v>88</v>
      </c>
      <c r="N12" s="11">
        <v>42552.34851851852</v>
      </c>
      <c r="O12" t="s">
        <v>103</v>
      </c>
      <c r="Q12" t="s">
        <v>66</v>
      </c>
      <c r="R12">
        <v>9</v>
      </c>
      <c r="S12">
        <v>2016</v>
      </c>
      <c r="T12" t="s">
        <v>111</v>
      </c>
      <c r="U12">
        <v>14394</v>
      </c>
      <c r="V12" s="29">
        <v>2016</v>
      </c>
    </row>
    <row r="13" spans="1:28" x14ac:dyDescent="0.25">
      <c r="A13">
        <v>2016</v>
      </c>
      <c r="B13">
        <v>9</v>
      </c>
      <c r="C13" t="s">
        <v>66</v>
      </c>
      <c r="D13" t="s">
        <v>67</v>
      </c>
      <c r="E13" s="10">
        <v>23585</v>
      </c>
      <c r="F13" s="1" t="s">
        <v>76</v>
      </c>
      <c r="H13">
        <v>2016</v>
      </c>
      <c r="I13">
        <v>3</v>
      </c>
      <c r="J13" t="s">
        <v>66</v>
      </c>
      <c r="K13">
        <v>168</v>
      </c>
      <c r="L13" s="12">
        <v>7</v>
      </c>
      <c r="M13" t="s">
        <v>89</v>
      </c>
      <c r="N13" s="11">
        <v>42552.4218287037</v>
      </c>
      <c r="O13" t="s">
        <v>18</v>
      </c>
      <c r="Q13" t="s">
        <v>66</v>
      </c>
      <c r="R13">
        <v>12</v>
      </c>
      <c r="S13">
        <v>2016</v>
      </c>
      <c r="T13" t="s">
        <v>114</v>
      </c>
      <c r="U13">
        <v>457</v>
      </c>
      <c r="V13" s="29">
        <v>2016</v>
      </c>
    </row>
    <row r="14" spans="1:28" x14ac:dyDescent="0.25">
      <c r="A14">
        <v>2016</v>
      </c>
      <c r="B14">
        <v>10</v>
      </c>
      <c r="C14" t="s">
        <v>66</v>
      </c>
      <c r="D14" t="s">
        <v>67</v>
      </c>
      <c r="E14" s="10">
        <v>33018</v>
      </c>
      <c r="F14" s="1" t="s">
        <v>77</v>
      </c>
      <c r="H14">
        <v>2016</v>
      </c>
      <c r="I14">
        <v>3</v>
      </c>
      <c r="J14" t="s">
        <v>66</v>
      </c>
      <c r="K14">
        <v>10000</v>
      </c>
      <c r="L14" s="12">
        <v>2.75</v>
      </c>
      <c r="M14" t="s">
        <v>90</v>
      </c>
      <c r="N14" s="11">
        <v>42614.499699074076</v>
      </c>
      <c r="O14" t="s">
        <v>104</v>
      </c>
    </row>
    <row r="15" spans="1:28" x14ac:dyDescent="0.25">
      <c r="A15">
        <v>2016</v>
      </c>
      <c r="B15">
        <v>11</v>
      </c>
      <c r="C15" t="s">
        <v>66</v>
      </c>
      <c r="D15" t="s">
        <v>67</v>
      </c>
      <c r="E15" s="10">
        <v>38492</v>
      </c>
      <c r="F15" s="1" t="s">
        <v>78</v>
      </c>
      <c r="H15">
        <v>2016</v>
      </c>
      <c r="I15">
        <v>3</v>
      </c>
      <c r="J15" t="s">
        <v>66</v>
      </c>
      <c r="K15">
        <v>19209</v>
      </c>
      <c r="L15" s="12">
        <v>8</v>
      </c>
      <c r="M15" t="s">
        <v>91</v>
      </c>
      <c r="N15" s="11">
        <v>42552.337546296294</v>
      </c>
      <c r="O15" t="s">
        <v>11</v>
      </c>
    </row>
    <row r="16" spans="1:28" x14ac:dyDescent="0.25">
      <c r="A16">
        <v>2016</v>
      </c>
      <c r="B16">
        <v>12</v>
      </c>
      <c r="C16" t="s">
        <v>66</v>
      </c>
      <c r="D16" t="s">
        <v>67</v>
      </c>
      <c r="E16" s="10">
        <v>32605</v>
      </c>
      <c r="F16" s="1" t="s">
        <v>79</v>
      </c>
      <c r="H16">
        <v>2016</v>
      </c>
      <c r="I16">
        <v>4</v>
      </c>
      <c r="J16" t="s">
        <v>66</v>
      </c>
      <c r="K16">
        <v>286</v>
      </c>
      <c r="L16" s="12">
        <v>7</v>
      </c>
      <c r="M16" t="s">
        <v>92</v>
      </c>
      <c r="N16" s="11">
        <v>42597.477256944447</v>
      </c>
      <c r="O16" t="s">
        <v>18</v>
      </c>
    </row>
    <row r="17" spans="5:28" x14ac:dyDescent="0.25">
      <c r="E17" s="2"/>
      <c r="F17" s="1"/>
      <c r="H17">
        <v>2016</v>
      </c>
      <c r="I17">
        <v>4</v>
      </c>
      <c r="J17" t="s">
        <v>66</v>
      </c>
      <c r="K17">
        <v>3374</v>
      </c>
      <c r="L17" s="12">
        <v>8</v>
      </c>
      <c r="M17" t="s">
        <v>93</v>
      </c>
      <c r="N17" s="11">
        <v>42590.424340277779</v>
      </c>
      <c r="O17" t="s">
        <v>11</v>
      </c>
    </row>
    <row r="18" spans="5:28" x14ac:dyDescent="0.25">
      <c r="E18" s="2"/>
      <c r="F18" s="1"/>
      <c r="H18">
        <v>2016</v>
      </c>
      <c r="I18">
        <v>5</v>
      </c>
      <c r="J18" t="s">
        <v>66</v>
      </c>
      <c r="K18">
        <v>13547</v>
      </c>
      <c r="L18" s="12">
        <v>8</v>
      </c>
      <c r="M18" t="s">
        <v>94</v>
      </c>
      <c r="N18" s="11">
        <v>42625.566631944443</v>
      </c>
      <c r="O18" t="s">
        <v>11</v>
      </c>
    </row>
    <row r="19" spans="5:28" x14ac:dyDescent="0.25">
      <c r="E19" s="2"/>
      <c r="F19" s="1"/>
      <c r="H19">
        <v>2016</v>
      </c>
      <c r="I19">
        <v>6</v>
      </c>
      <c r="J19" t="s">
        <v>66</v>
      </c>
      <c r="K19">
        <v>9320</v>
      </c>
      <c r="L19" s="12">
        <v>8</v>
      </c>
      <c r="M19" t="s">
        <v>95</v>
      </c>
      <c r="N19" s="11">
        <v>42647.514247685183</v>
      </c>
      <c r="O19" t="s">
        <v>11</v>
      </c>
    </row>
    <row r="20" spans="5:28" x14ac:dyDescent="0.25">
      <c r="E20" s="2"/>
      <c r="F20" s="1"/>
      <c r="H20">
        <v>2016</v>
      </c>
      <c r="I20">
        <v>7</v>
      </c>
      <c r="J20" t="s">
        <v>66</v>
      </c>
      <c r="K20">
        <v>9942</v>
      </c>
      <c r="L20" s="12">
        <v>8</v>
      </c>
      <c r="M20" t="s">
        <v>96</v>
      </c>
      <c r="N20" s="11">
        <v>42678.493437500001</v>
      </c>
      <c r="O20" t="s">
        <v>11</v>
      </c>
    </row>
    <row r="21" spans="5:28" x14ac:dyDescent="0.25">
      <c r="E21" s="2"/>
      <c r="F21" s="1"/>
      <c r="H21">
        <v>2016</v>
      </c>
      <c r="I21">
        <v>8</v>
      </c>
      <c r="J21" t="s">
        <v>66</v>
      </c>
      <c r="K21">
        <v>7876</v>
      </c>
      <c r="L21" s="12">
        <v>8</v>
      </c>
      <c r="M21" t="s">
        <v>97</v>
      </c>
      <c r="N21" s="11">
        <v>42723.268020833333</v>
      </c>
      <c r="O21" t="s">
        <v>11</v>
      </c>
    </row>
    <row r="22" spans="5:28" x14ac:dyDescent="0.25">
      <c r="E22" s="2"/>
      <c r="F22" s="1"/>
      <c r="H22">
        <v>2016</v>
      </c>
      <c r="I22">
        <v>9</v>
      </c>
      <c r="J22" t="s">
        <v>66</v>
      </c>
      <c r="K22">
        <v>9191</v>
      </c>
      <c r="L22" s="12">
        <v>8</v>
      </c>
      <c r="M22" t="s">
        <v>98</v>
      </c>
      <c r="N22" s="11">
        <v>42740.289409722223</v>
      </c>
      <c r="O22" t="s">
        <v>11</v>
      </c>
    </row>
    <row r="23" spans="5:28" x14ac:dyDescent="0.25">
      <c r="E23" s="2"/>
      <c r="F23" s="1"/>
      <c r="H23">
        <v>2016</v>
      </c>
      <c r="I23">
        <v>10</v>
      </c>
      <c r="J23" t="s">
        <v>66</v>
      </c>
      <c r="K23">
        <v>32938</v>
      </c>
      <c r="L23" s="12">
        <f>(20956*10+11982*5)/(20956+11982)</f>
        <v>8.1811281802173781</v>
      </c>
      <c r="M23" t="s">
        <v>99</v>
      </c>
      <c r="N23" s="11">
        <v>42779.64943287037</v>
      </c>
      <c r="O23" t="s">
        <v>105</v>
      </c>
    </row>
    <row r="24" spans="5:28" x14ac:dyDescent="0.25">
      <c r="E24" s="2"/>
      <c r="F24" s="1"/>
      <c r="H24">
        <v>2016</v>
      </c>
      <c r="I24">
        <v>10</v>
      </c>
      <c r="J24" t="s">
        <v>66</v>
      </c>
      <c r="K24">
        <v>80</v>
      </c>
      <c r="L24" s="12">
        <v>8</v>
      </c>
      <c r="M24" t="s">
        <v>100</v>
      </c>
      <c r="N24" s="11">
        <v>42774.34238425926</v>
      </c>
      <c r="O24" t="s">
        <v>11</v>
      </c>
    </row>
    <row r="25" spans="5:28" x14ac:dyDescent="0.25">
      <c r="E25" s="2"/>
      <c r="F25" s="1"/>
      <c r="H25">
        <v>2016</v>
      </c>
      <c r="I25">
        <v>11</v>
      </c>
      <c r="J25" t="s">
        <v>66</v>
      </c>
      <c r="K25">
        <v>38492</v>
      </c>
      <c r="L25" s="12">
        <f>(31246*10+7246*5)/(31246+7246)</f>
        <v>9.0587654577574561</v>
      </c>
      <c r="M25" t="s">
        <v>78</v>
      </c>
      <c r="N25" s="11">
        <v>42802.454953703702</v>
      </c>
      <c r="O25" t="s">
        <v>105</v>
      </c>
    </row>
    <row r="26" spans="5:28" x14ac:dyDescent="0.25">
      <c r="E26" s="2"/>
      <c r="F26" s="1"/>
      <c r="H26">
        <v>2016</v>
      </c>
      <c r="I26">
        <v>12</v>
      </c>
      <c r="J26" t="s">
        <v>66</v>
      </c>
      <c r="K26">
        <v>94</v>
      </c>
      <c r="L26" s="12">
        <f>(26087*10+6061*5)/(26087+6061)</f>
        <v>9.0573286052009454</v>
      </c>
      <c r="M26" t="s">
        <v>101</v>
      </c>
      <c r="N26" s="11">
        <v>42853.417349537034</v>
      </c>
      <c r="O26" t="s">
        <v>105</v>
      </c>
    </row>
    <row r="27" spans="5:28" x14ac:dyDescent="0.25">
      <c r="E27" s="2"/>
      <c r="F27" s="1"/>
      <c r="H27">
        <v>2016</v>
      </c>
      <c r="I27">
        <v>12</v>
      </c>
      <c r="J27" t="s">
        <v>66</v>
      </c>
      <c r="K27">
        <v>32054</v>
      </c>
      <c r="L27" s="12">
        <f>L26</f>
        <v>9.0573286052009454</v>
      </c>
      <c r="M27" t="s">
        <v>102</v>
      </c>
      <c r="N27" s="11">
        <v>42853.417349537034</v>
      </c>
      <c r="O27" t="s">
        <v>105</v>
      </c>
    </row>
    <row r="28" spans="5:28" x14ac:dyDescent="0.25">
      <c r="E28" s="2"/>
      <c r="F28" s="1"/>
    </row>
    <row r="29" spans="5:28" x14ac:dyDescent="0.25">
      <c r="E29" s="3">
        <f>SUM(E5:E28)</f>
        <v>349771</v>
      </c>
      <c r="F29" s="3"/>
      <c r="K29" s="3">
        <f>SUM(K5:K28)</f>
        <v>254068</v>
      </c>
      <c r="L29" s="12">
        <f>SUMPRODUCT(K5:K28, L5:L28) / K29</f>
        <v>6.9972420769242891</v>
      </c>
      <c r="U29" s="3">
        <f>SUM(U5:U28)</f>
        <v>95703</v>
      </c>
      <c r="V29" s="3"/>
      <c r="AB29" s="3">
        <f>SUM(AB5:AB28)</f>
        <v>0</v>
      </c>
    </row>
    <row r="33" spans="3:7" x14ac:dyDescent="0.25">
      <c r="C33" s="6" t="s">
        <v>40</v>
      </c>
      <c r="D33" s="1">
        <f>E29</f>
        <v>349771</v>
      </c>
    </row>
    <row r="34" spans="3:7" x14ac:dyDescent="0.25">
      <c r="C34" s="6" t="s">
        <v>41</v>
      </c>
      <c r="D34" s="13">
        <f>K29</f>
        <v>254068</v>
      </c>
      <c r="E34" s="12">
        <f>L29</f>
        <v>6.9972420769242891</v>
      </c>
      <c r="F34" s="12">
        <f>D34 * E34</f>
        <v>1777775.3000000003</v>
      </c>
      <c r="G34" s="19" t="s">
        <v>368</v>
      </c>
    </row>
    <row r="35" spans="3:7" x14ac:dyDescent="0.25">
      <c r="C35" s="6" t="s">
        <v>242</v>
      </c>
      <c r="D35" s="7">
        <f>U29</f>
        <v>95703</v>
      </c>
      <c r="E35" t="s">
        <v>346</v>
      </c>
      <c r="G35" s="19" t="s">
        <v>368</v>
      </c>
    </row>
    <row r="36" spans="3:7" x14ac:dyDescent="0.25">
      <c r="C36" s="6" t="s">
        <v>42</v>
      </c>
      <c r="D36" s="1">
        <f>D33 - D34 - D35</f>
        <v>0</v>
      </c>
      <c r="G36" s="19" t="s">
        <v>499</v>
      </c>
    </row>
    <row r="37" spans="3:7" x14ac:dyDescent="0.25">
      <c r="D37" s="1"/>
    </row>
    <row r="39" spans="3:7" x14ac:dyDescent="0.25">
      <c r="C39" s="36" t="s">
        <v>537</v>
      </c>
      <c r="D39" s="28">
        <v>2016</v>
      </c>
    </row>
    <row r="40" spans="3:7" x14ac:dyDescent="0.25">
      <c r="C40" s="6" t="s">
        <v>246</v>
      </c>
      <c r="D40" s="20">
        <f>SUMIF($V$5:$V$28, D39, $U$5:$U$28)</f>
        <v>95703</v>
      </c>
    </row>
    <row r="41" spans="3:7" x14ac:dyDescent="0.25">
      <c r="C41" s="6" t="s">
        <v>245</v>
      </c>
      <c r="D41" s="16">
        <v>1.2</v>
      </c>
    </row>
    <row r="42" spans="3:7" x14ac:dyDescent="0.25">
      <c r="C42" s="6" t="s">
        <v>247</v>
      </c>
      <c r="D42" s="1">
        <f>ROUNDDOWN(D40*D41, 0)</f>
        <v>114843</v>
      </c>
    </row>
  </sheetData>
  <sortState xmlns:xlrd2="http://schemas.microsoft.com/office/spreadsheetml/2017/richdata2" ref="Q5:U13">
    <sortCondition ref="S5:S13"/>
    <sortCondition ref="R5:R13"/>
  </sortState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autoPageBreaks="0" fitToPage="1"/>
  </sheetPr>
  <dimension ref="A1:AL44"/>
  <sheetViews>
    <sheetView showGridLines="0" zoomScaleNormal="100" workbookViewId="0">
      <selection activeCell="D39" sqref="D39:D40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7" max="7" width="6.7109375" customWidth="1"/>
    <col min="10" max="10" width="7.7109375" customWidth="1"/>
    <col min="11" max="11" width="28.7109375" bestFit="1" customWidth="1"/>
    <col min="12" max="12" width="10.7109375" customWidth="1"/>
    <col min="13" max="13" width="30.28515625" bestFit="1" customWidth="1"/>
    <col min="18" max="18" width="28.7109375" bestFit="1" customWidth="1"/>
    <col min="25" max="25" width="28.7109375" bestFit="1" customWidth="1"/>
    <col min="31" max="31" width="28.7109375" bestFit="1" customWidth="1"/>
    <col min="37" max="37" width="28.7109375" bestFit="1" customWidth="1"/>
  </cols>
  <sheetData>
    <row r="1" spans="1:38" ht="18.75" x14ac:dyDescent="0.3">
      <c r="A1" s="8">
        <v>2017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348</v>
      </c>
    </row>
    <row r="4" spans="1:38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358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0</v>
      </c>
      <c r="B5" t="s">
        <v>2</v>
      </c>
      <c r="C5" s="2">
        <v>42736</v>
      </c>
      <c r="D5" s="1">
        <v>29489</v>
      </c>
      <c r="F5">
        <v>2017</v>
      </c>
      <c r="G5">
        <v>1</v>
      </c>
      <c r="H5" t="s">
        <v>0</v>
      </c>
      <c r="I5">
        <v>29489</v>
      </c>
      <c r="J5" s="12">
        <v>8</v>
      </c>
      <c r="K5" t="s">
        <v>63</v>
      </c>
      <c r="L5" s="11">
        <v>42859.529143518521</v>
      </c>
      <c r="M5" t="s">
        <v>11</v>
      </c>
      <c r="O5" t="s">
        <v>1</v>
      </c>
      <c r="P5">
        <v>12</v>
      </c>
      <c r="Q5">
        <v>2017</v>
      </c>
      <c r="R5" t="s">
        <v>209</v>
      </c>
      <c r="S5" s="1">
        <v>4329</v>
      </c>
      <c r="T5" s="29">
        <v>2017</v>
      </c>
      <c r="AB5" t="s">
        <v>0</v>
      </c>
      <c r="AC5">
        <v>7</v>
      </c>
      <c r="AD5">
        <v>2017</v>
      </c>
      <c r="AE5" t="s">
        <v>261</v>
      </c>
      <c r="AF5">
        <v>67</v>
      </c>
      <c r="AH5" t="s">
        <v>1</v>
      </c>
      <c r="AI5">
        <v>1</v>
      </c>
      <c r="AJ5">
        <v>2017</v>
      </c>
      <c r="AK5" t="s">
        <v>65</v>
      </c>
      <c r="AL5">
        <v>2806</v>
      </c>
    </row>
    <row r="6" spans="1:38" x14ac:dyDescent="0.25">
      <c r="A6" t="s">
        <v>1</v>
      </c>
      <c r="B6" t="s">
        <v>3</v>
      </c>
      <c r="C6" s="2">
        <v>42736</v>
      </c>
      <c r="D6" s="1">
        <v>4188</v>
      </c>
      <c r="F6">
        <v>2017</v>
      </c>
      <c r="G6">
        <v>1</v>
      </c>
      <c r="H6" t="s">
        <v>1</v>
      </c>
      <c r="I6">
        <v>1382</v>
      </c>
      <c r="J6" s="12">
        <f>(1238*8+144*5)/(1238+144)</f>
        <v>7.6874095513748193</v>
      </c>
      <c r="K6" t="s">
        <v>64</v>
      </c>
      <c r="L6" s="11">
        <v>42859.529143518521</v>
      </c>
      <c r="M6" t="s">
        <v>11</v>
      </c>
      <c r="O6" t="s">
        <v>1</v>
      </c>
      <c r="P6">
        <v>11</v>
      </c>
      <c r="Q6">
        <v>2017</v>
      </c>
      <c r="R6" t="s">
        <v>208</v>
      </c>
      <c r="S6" s="1">
        <v>4177</v>
      </c>
      <c r="T6" s="29">
        <v>2017</v>
      </c>
      <c r="AB6" t="s">
        <v>0</v>
      </c>
      <c r="AC6">
        <v>9</v>
      </c>
      <c r="AD6">
        <v>2017</v>
      </c>
      <c r="AE6" t="s">
        <v>262</v>
      </c>
      <c r="AF6">
        <v>224</v>
      </c>
      <c r="AH6" t="s">
        <v>1</v>
      </c>
      <c r="AI6">
        <v>2</v>
      </c>
      <c r="AJ6">
        <v>2017</v>
      </c>
      <c r="AK6" t="s">
        <v>211</v>
      </c>
      <c r="AL6">
        <v>1641</v>
      </c>
    </row>
    <row r="7" spans="1:38" x14ac:dyDescent="0.25">
      <c r="A7" t="s">
        <v>0</v>
      </c>
      <c r="B7" t="s">
        <v>2</v>
      </c>
      <c r="C7" s="2">
        <v>42767</v>
      </c>
      <c r="D7" s="1">
        <v>24516</v>
      </c>
      <c r="F7">
        <v>2017</v>
      </c>
      <c r="G7">
        <v>2</v>
      </c>
      <c r="H7" t="s">
        <v>0</v>
      </c>
      <c r="I7">
        <v>24516</v>
      </c>
      <c r="J7" s="12">
        <v>8</v>
      </c>
      <c r="K7" t="s">
        <v>192</v>
      </c>
      <c r="L7" s="11">
        <v>42887.392083333332</v>
      </c>
      <c r="M7" t="s">
        <v>11</v>
      </c>
      <c r="O7" t="s">
        <v>1</v>
      </c>
      <c r="P7">
        <v>3</v>
      </c>
      <c r="Q7">
        <v>2017</v>
      </c>
      <c r="R7" t="s">
        <v>210</v>
      </c>
      <c r="S7" s="1">
        <v>2770</v>
      </c>
      <c r="T7" s="29">
        <v>2017</v>
      </c>
      <c r="AB7" t="s">
        <v>0</v>
      </c>
      <c r="AC7">
        <v>12</v>
      </c>
      <c r="AD7">
        <v>2017</v>
      </c>
      <c r="AE7" t="s">
        <v>263</v>
      </c>
      <c r="AF7">
        <v>4987</v>
      </c>
      <c r="AH7" t="s">
        <v>0</v>
      </c>
      <c r="AI7">
        <v>3</v>
      </c>
      <c r="AJ7">
        <v>2017</v>
      </c>
      <c r="AK7" t="s">
        <v>349</v>
      </c>
      <c r="AL7">
        <v>1045</v>
      </c>
    </row>
    <row r="8" spans="1:38" x14ac:dyDescent="0.25">
      <c r="A8" t="s">
        <v>1</v>
      </c>
      <c r="B8" t="s">
        <v>3</v>
      </c>
      <c r="C8" s="2">
        <v>42767</v>
      </c>
      <c r="D8" s="1">
        <v>3482</v>
      </c>
      <c r="F8">
        <v>2017</v>
      </c>
      <c r="G8">
        <v>2</v>
      </c>
      <c r="H8" t="s">
        <v>1</v>
      </c>
      <c r="I8">
        <v>1841</v>
      </c>
      <c r="J8" s="12">
        <f>(1334*8+507*5)/(1334+507)</f>
        <v>7.1738185768604019</v>
      </c>
      <c r="K8" t="s">
        <v>193</v>
      </c>
      <c r="L8" s="11">
        <v>42887.392083333332</v>
      </c>
      <c r="M8" t="s">
        <v>11</v>
      </c>
      <c r="O8" t="s">
        <v>1</v>
      </c>
      <c r="P8">
        <v>9</v>
      </c>
      <c r="Q8">
        <v>2017</v>
      </c>
      <c r="R8" t="s">
        <v>206</v>
      </c>
      <c r="S8" s="1">
        <v>4132</v>
      </c>
      <c r="T8" s="29">
        <v>2017</v>
      </c>
      <c r="AB8" t="s">
        <v>0</v>
      </c>
      <c r="AC8">
        <v>10</v>
      </c>
      <c r="AD8">
        <v>2017</v>
      </c>
      <c r="AE8" t="s">
        <v>264</v>
      </c>
      <c r="AF8">
        <v>86</v>
      </c>
    </row>
    <row r="9" spans="1:38" x14ac:dyDescent="0.25">
      <c r="A9" t="s">
        <v>0</v>
      </c>
      <c r="B9" t="s">
        <v>2</v>
      </c>
      <c r="C9" s="2">
        <v>42795</v>
      </c>
      <c r="D9" s="1">
        <v>19504</v>
      </c>
      <c r="F9">
        <v>2017</v>
      </c>
      <c r="G9">
        <v>3</v>
      </c>
      <c r="H9" t="s">
        <v>0</v>
      </c>
      <c r="I9">
        <v>9664</v>
      </c>
      <c r="J9" s="12">
        <f>(9652*8+12*5)/(9652+12)</f>
        <v>7.9962748344370862</v>
      </c>
      <c r="K9" t="s">
        <v>194</v>
      </c>
      <c r="L9" s="11">
        <v>42916.340717592589</v>
      </c>
      <c r="M9" t="s">
        <v>11</v>
      </c>
      <c r="O9" t="s">
        <v>1</v>
      </c>
      <c r="P9">
        <v>10</v>
      </c>
      <c r="Q9">
        <v>2017</v>
      </c>
      <c r="R9" t="s">
        <v>207</v>
      </c>
      <c r="S9" s="1">
        <v>3352</v>
      </c>
      <c r="T9" s="29">
        <v>2017</v>
      </c>
      <c r="AB9" t="s">
        <v>0</v>
      </c>
      <c r="AC9">
        <v>11</v>
      </c>
      <c r="AD9">
        <v>2017</v>
      </c>
      <c r="AE9" t="s">
        <v>265</v>
      </c>
      <c r="AF9">
        <v>3935</v>
      </c>
    </row>
    <row r="10" spans="1:38" x14ac:dyDescent="0.25">
      <c r="A10" t="s">
        <v>1</v>
      </c>
      <c r="B10" t="s">
        <v>3</v>
      </c>
      <c r="C10" s="2">
        <v>42795</v>
      </c>
      <c r="D10" s="1">
        <v>2770</v>
      </c>
      <c r="F10">
        <v>2017</v>
      </c>
      <c r="G10">
        <v>4</v>
      </c>
      <c r="H10" t="s">
        <v>0</v>
      </c>
      <c r="I10">
        <v>3722</v>
      </c>
      <c r="J10" s="12">
        <f>(3651*8+71*5)/(3651+71)</f>
        <v>7.9427727028479316</v>
      </c>
      <c r="K10" t="s">
        <v>195</v>
      </c>
      <c r="L10" s="11">
        <v>42947.554826388892</v>
      </c>
      <c r="M10" t="s">
        <v>11</v>
      </c>
      <c r="O10" t="s">
        <v>1</v>
      </c>
      <c r="P10">
        <v>7</v>
      </c>
      <c r="Q10">
        <v>2017</v>
      </c>
      <c r="R10" t="s">
        <v>213</v>
      </c>
      <c r="S10" s="1">
        <v>3757</v>
      </c>
      <c r="T10" s="29">
        <v>2017</v>
      </c>
    </row>
    <row r="11" spans="1:38" x14ac:dyDescent="0.25">
      <c r="A11" t="s">
        <v>0</v>
      </c>
      <c r="B11" t="s">
        <v>2</v>
      </c>
      <c r="C11" s="2">
        <v>42826</v>
      </c>
      <c r="D11" s="1">
        <v>11203</v>
      </c>
      <c r="F11">
        <v>2017</v>
      </c>
      <c r="G11">
        <v>4</v>
      </c>
      <c r="H11" t="s">
        <v>1</v>
      </c>
      <c r="I11">
        <v>1591</v>
      </c>
      <c r="J11" s="12">
        <v>8</v>
      </c>
      <c r="K11" t="s">
        <v>196</v>
      </c>
      <c r="L11" s="11">
        <v>42947.554826388892</v>
      </c>
      <c r="M11" t="s">
        <v>11</v>
      </c>
      <c r="O11" t="s">
        <v>1</v>
      </c>
      <c r="P11">
        <v>8</v>
      </c>
      <c r="Q11">
        <v>2017</v>
      </c>
      <c r="R11" t="s">
        <v>212</v>
      </c>
      <c r="S11" s="1">
        <v>2350</v>
      </c>
      <c r="T11" s="29">
        <v>2017</v>
      </c>
    </row>
    <row r="12" spans="1:38" x14ac:dyDescent="0.25">
      <c r="A12" t="s">
        <v>1</v>
      </c>
      <c r="B12" t="s">
        <v>3</v>
      </c>
      <c r="C12" s="2">
        <v>42826</v>
      </c>
      <c r="D12" s="1">
        <v>1591</v>
      </c>
      <c r="F12">
        <v>2017</v>
      </c>
      <c r="G12">
        <v>6</v>
      </c>
      <c r="H12" t="s">
        <v>0</v>
      </c>
      <c r="I12">
        <v>1306</v>
      </c>
      <c r="J12" s="12">
        <f>(1300*8+6*5)/(1300+6)</f>
        <v>7.9862174578866769</v>
      </c>
      <c r="K12" t="s">
        <v>197</v>
      </c>
      <c r="L12" s="11">
        <v>43017.357395833336</v>
      </c>
      <c r="M12" t="s">
        <v>11</v>
      </c>
      <c r="O12" t="s">
        <v>0</v>
      </c>
      <c r="P12">
        <v>6</v>
      </c>
      <c r="Q12">
        <v>2017</v>
      </c>
      <c r="R12" t="s">
        <v>215</v>
      </c>
      <c r="S12" s="1">
        <v>3327</v>
      </c>
      <c r="T12" s="29">
        <v>2017</v>
      </c>
    </row>
    <row r="13" spans="1:38" x14ac:dyDescent="0.25">
      <c r="A13" t="s">
        <v>0</v>
      </c>
      <c r="B13" t="s">
        <v>2</v>
      </c>
      <c r="C13" s="2">
        <v>42856</v>
      </c>
      <c r="D13" s="1">
        <v>0</v>
      </c>
      <c r="F13">
        <v>2017</v>
      </c>
      <c r="G13">
        <v>6</v>
      </c>
      <c r="H13" t="s">
        <v>1</v>
      </c>
      <c r="I13">
        <v>658</v>
      </c>
      <c r="J13" s="12">
        <v>8</v>
      </c>
      <c r="K13" t="s">
        <v>198</v>
      </c>
      <c r="L13" s="11">
        <v>43017.357395833336</v>
      </c>
      <c r="M13" t="s">
        <v>11</v>
      </c>
      <c r="O13" t="s">
        <v>0</v>
      </c>
      <c r="P13">
        <v>7</v>
      </c>
      <c r="Q13">
        <v>2017</v>
      </c>
      <c r="R13" t="s">
        <v>269</v>
      </c>
      <c r="S13" s="1">
        <v>7498</v>
      </c>
      <c r="T13" s="29">
        <v>2017</v>
      </c>
    </row>
    <row r="14" spans="1:38" x14ac:dyDescent="0.25">
      <c r="A14" t="s">
        <v>1</v>
      </c>
      <c r="B14" t="s">
        <v>3</v>
      </c>
      <c r="C14" s="2">
        <v>42856</v>
      </c>
      <c r="D14" s="1">
        <v>0</v>
      </c>
      <c r="F14">
        <v>2017</v>
      </c>
      <c r="G14">
        <v>7</v>
      </c>
      <c r="H14" t="s">
        <v>0</v>
      </c>
      <c r="I14">
        <v>18892</v>
      </c>
      <c r="J14" s="12">
        <f>(18869*8+23*5)/(18869+23)</f>
        <v>7.9963476603853483</v>
      </c>
      <c r="K14" t="s">
        <v>199</v>
      </c>
      <c r="L14" s="11">
        <v>43046.602581018517</v>
      </c>
      <c r="M14" t="s">
        <v>11</v>
      </c>
      <c r="O14" t="s">
        <v>0</v>
      </c>
      <c r="P14">
        <v>3</v>
      </c>
      <c r="Q14">
        <v>2017</v>
      </c>
      <c r="R14" t="s">
        <v>347</v>
      </c>
      <c r="S14" s="1">
        <v>8795</v>
      </c>
      <c r="T14" s="29">
        <v>2017</v>
      </c>
    </row>
    <row r="15" spans="1:38" x14ac:dyDescent="0.25">
      <c r="A15" t="s">
        <v>0</v>
      </c>
      <c r="B15" t="s">
        <v>2</v>
      </c>
      <c r="C15" s="2">
        <v>42887</v>
      </c>
      <c r="D15" s="1">
        <v>4633</v>
      </c>
      <c r="F15">
        <v>2017</v>
      </c>
      <c r="G15">
        <v>8</v>
      </c>
      <c r="H15" t="s">
        <v>0</v>
      </c>
      <c r="I15">
        <v>25194</v>
      </c>
      <c r="J15" s="12">
        <v>8</v>
      </c>
      <c r="K15" t="s">
        <v>200</v>
      </c>
      <c r="L15" s="11">
        <v>43070.443483796298</v>
      </c>
      <c r="M15" t="s">
        <v>11</v>
      </c>
      <c r="O15" t="s">
        <v>0</v>
      </c>
      <c r="P15">
        <v>4</v>
      </c>
      <c r="Q15">
        <v>2017</v>
      </c>
      <c r="R15" t="s">
        <v>214</v>
      </c>
      <c r="S15" s="1">
        <v>7481</v>
      </c>
      <c r="T15" s="29">
        <v>2017</v>
      </c>
    </row>
    <row r="16" spans="1:38" x14ac:dyDescent="0.25">
      <c r="A16" t="s">
        <v>1</v>
      </c>
      <c r="B16" t="s">
        <v>3</v>
      </c>
      <c r="C16" s="2">
        <v>42887</v>
      </c>
      <c r="D16" s="1">
        <v>658</v>
      </c>
      <c r="F16">
        <v>2017</v>
      </c>
      <c r="G16">
        <v>8</v>
      </c>
      <c r="H16" t="s">
        <v>1</v>
      </c>
      <c r="I16">
        <v>1228</v>
      </c>
      <c r="J16" s="12">
        <f>(976*8+252*5)/(976+252)</f>
        <v>7.3843648208469057</v>
      </c>
      <c r="K16" t="s">
        <v>201</v>
      </c>
      <c r="L16" s="11">
        <v>43070.443483796298</v>
      </c>
      <c r="M16" t="s">
        <v>11</v>
      </c>
      <c r="O16" t="s">
        <v>0</v>
      </c>
      <c r="P16">
        <v>9</v>
      </c>
      <c r="Q16">
        <v>2017</v>
      </c>
      <c r="R16" t="s">
        <v>268</v>
      </c>
      <c r="S16" s="1">
        <v>2687</v>
      </c>
      <c r="T16" s="29">
        <v>2017</v>
      </c>
    </row>
    <row r="17" spans="1:38" x14ac:dyDescent="0.25">
      <c r="A17" t="s">
        <v>0</v>
      </c>
      <c r="B17" t="s">
        <v>2</v>
      </c>
      <c r="C17" s="2">
        <v>42917</v>
      </c>
      <c r="D17" s="1">
        <v>26457</v>
      </c>
      <c r="F17">
        <v>2017</v>
      </c>
      <c r="G17">
        <v>9</v>
      </c>
      <c r="H17" t="s">
        <v>0</v>
      </c>
      <c r="I17">
        <v>26189</v>
      </c>
      <c r="J17" s="12">
        <f>(26153*8+36*5)/(26153+36)</f>
        <v>7.9958761312001219</v>
      </c>
      <c r="K17" t="s">
        <v>202</v>
      </c>
      <c r="L17" s="11">
        <v>43104.3905787037</v>
      </c>
      <c r="M17" t="s">
        <v>11</v>
      </c>
      <c r="O17" t="s">
        <v>0</v>
      </c>
      <c r="P17">
        <v>10</v>
      </c>
      <c r="Q17">
        <v>2017</v>
      </c>
      <c r="R17" t="s">
        <v>267</v>
      </c>
      <c r="S17" s="1">
        <v>8625</v>
      </c>
      <c r="T17" s="29">
        <v>2017</v>
      </c>
    </row>
    <row r="18" spans="1:38" x14ac:dyDescent="0.25">
      <c r="A18" t="s">
        <v>1</v>
      </c>
      <c r="B18" t="s">
        <v>3</v>
      </c>
      <c r="C18" s="2">
        <v>42917</v>
      </c>
      <c r="D18" s="1">
        <v>3757</v>
      </c>
      <c r="F18">
        <v>2017</v>
      </c>
      <c r="G18">
        <v>10</v>
      </c>
      <c r="H18" t="s">
        <v>0</v>
      </c>
      <c r="I18">
        <v>14893</v>
      </c>
      <c r="J18" s="12">
        <f>(14857*8+36*5)/(14857+36)</f>
        <v>7.9927482709997983</v>
      </c>
      <c r="K18" t="s">
        <v>203</v>
      </c>
      <c r="L18" s="11">
        <v>43140.313530092593</v>
      </c>
      <c r="M18" t="s">
        <v>11</v>
      </c>
      <c r="O18" t="s">
        <v>0</v>
      </c>
      <c r="P18">
        <v>11</v>
      </c>
      <c r="Q18">
        <v>2017</v>
      </c>
      <c r="R18" t="s">
        <v>266</v>
      </c>
      <c r="S18" s="1">
        <v>17796</v>
      </c>
      <c r="T18" s="29">
        <v>2017</v>
      </c>
    </row>
    <row r="19" spans="1:38" x14ac:dyDescent="0.25">
      <c r="A19" t="s">
        <v>0</v>
      </c>
      <c r="B19" t="s">
        <v>2</v>
      </c>
      <c r="C19" s="2">
        <v>42948</v>
      </c>
      <c r="D19" s="1">
        <v>25194</v>
      </c>
      <c r="F19">
        <v>2017</v>
      </c>
      <c r="G19">
        <v>11</v>
      </c>
      <c r="H19" t="s">
        <v>0</v>
      </c>
      <c r="I19">
        <v>7682</v>
      </c>
      <c r="J19" s="12">
        <v>8</v>
      </c>
      <c r="K19" t="s">
        <v>204</v>
      </c>
      <c r="L19" s="11">
        <v>43164.428402777776</v>
      </c>
      <c r="M19" t="s">
        <v>11</v>
      </c>
      <c r="O19" t="s">
        <v>0</v>
      </c>
      <c r="P19">
        <v>12</v>
      </c>
      <c r="Q19">
        <v>2017</v>
      </c>
      <c r="R19" t="s">
        <v>270</v>
      </c>
      <c r="S19" s="1">
        <v>24695</v>
      </c>
      <c r="T19" s="29">
        <v>2017</v>
      </c>
    </row>
    <row r="20" spans="1:38" x14ac:dyDescent="0.25">
      <c r="A20" t="s">
        <v>1</v>
      </c>
      <c r="B20" t="s">
        <v>3</v>
      </c>
      <c r="C20" s="2">
        <v>42948</v>
      </c>
      <c r="D20" s="1">
        <v>3578</v>
      </c>
      <c r="F20">
        <v>2017</v>
      </c>
      <c r="G20">
        <v>12</v>
      </c>
      <c r="H20" t="s">
        <v>0</v>
      </c>
      <c r="I20">
        <v>800</v>
      </c>
      <c r="J20" s="12">
        <v>8</v>
      </c>
      <c r="K20" t="s">
        <v>205</v>
      </c>
      <c r="L20" s="11">
        <v>43195.308912037035</v>
      </c>
      <c r="M20" t="s">
        <v>11</v>
      </c>
    </row>
    <row r="21" spans="1:38" x14ac:dyDescent="0.25">
      <c r="A21" t="s">
        <v>0</v>
      </c>
      <c r="B21" t="s">
        <v>2</v>
      </c>
      <c r="C21" s="2">
        <v>42979</v>
      </c>
      <c r="D21" s="1">
        <v>29100</v>
      </c>
      <c r="J21" s="12"/>
      <c r="L21" s="4"/>
    </row>
    <row r="22" spans="1:38" x14ac:dyDescent="0.25">
      <c r="A22" t="s">
        <v>1</v>
      </c>
      <c r="B22" t="s">
        <v>3</v>
      </c>
      <c r="C22" s="2">
        <v>42979</v>
      </c>
      <c r="D22" s="1">
        <v>4132</v>
      </c>
      <c r="J22" s="12"/>
      <c r="L22" s="4"/>
    </row>
    <row r="23" spans="1:38" x14ac:dyDescent="0.25">
      <c r="A23" t="s">
        <v>0</v>
      </c>
      <c r="B23" t="s">
        <v>2</v>
      </c>
      <c r="C23" s="2">
        <v>43009</v>
      </c>
      <c r="D23" s="1">
        <v>23604</v>
      </c>
      <c r="J23" s="12"/>
      <c r="L23" s="4"/>
    </row>
    <row r="24" spans="1:38" x14ac:dyDescent="0.25">
      <c r="A24" t="s">
        <v>1</v>
      </c>
      <c r="B24" t="s">
        <v>3</v>
      </c>
      <c r="C24" s="2">
        <v>43009</v>
      </c>
      <c r="D24" s="1">
        <v>3352</v>
      </c>
      <c r="J24" s="12"/>
      <c r="L24" s="4"/>
    </row>
    <row r="25" spans="1:38" x14ac:dyDescent="0.25">
      <c r="A25" t="s">
        <v>0</v>
      </c>
      <c r="B25" t="s">
        <v>2</v>
      </c>
      <c r="C25" s="2">
        <v>43040</v>
      </c>
      <c r="D25" s="1">
        <v>29413</v>
      </c>
      <c r="J25" s="12"/>
      <c r="L25" s="4"/>
    </row>
    <row r="26" spans="1:38" x14ac:dyDescent="0.25">
      <c r="A26" t="s">
        <v>1</v>
      </c>
      <c r="B26" t="s">
        <v>3</v>
      </c>
      <c r="C26" s="2">
        <v>43040</v>
      </c>
      <c r="D26" s="1">
        <v>4177</v>
      </c>
      <c r="J26" s="12"/>
    </row>
    <row r="27" spans="1:38" x14ac:dyDescent="0.25">
      <c r="A27" t="s">
        <v>0</v>
      </c>
      <c r="B27" t="s">
        <v>2</v>
      </c>
      <c r="C27" s="2">
        <v>43070</v>
      </c>
      <c r="D27" s="1">
        <v>30482</v>
      </c>
      <c r="J27" s="12"/>
    </row>
    <row r="28" spans="1:38" x14ac:dyDescent="0.25">
      <c r="A28" t="s">
        <v>1</v>
      </c>
      <c r="B28" t="s">
        <v>3</v>
      </c>
      <c r="C28" s="2">
        <v>43070</v>
      </c>
      <c r="D28" s="1">
        <v>4329</v>
      </c>
    </row>
    <row r="29" spans="1:38" x14ac:dyDescent="0.25">
      <c r="D29" s="3">
        <f>SUM(D5:D28)</f>
        <v>289609</v>
      </c>
      <c r="I29" s="3">
        <f>SUM(I5:I28)</f>
        <v>169047</v>
      </c>
      <c r="J29" s="12">
        <f>SUMPRODUCT(I5:I28, J5:J28) / I29</f>
        <v>7.9807095068235459</v>
      </c>
      <c r="S29" s="3">
        <f>SUM(S5:S28)</f>
        <v>105771</v>
      </c>
      <c r="T29" s="3"/>
      <c r="Z29" s="3">
        <f>SUM(Z5:Z28)</f>
        <v>0</v>
      </c>
      <c r="AF29" s="3">
        <f>SUM(AF5:AF28)</f>
        <v>9299</v>
      </c>
      <c r="AL29" s="3">
        <f>SUM(AL5:AL28)</f>
        <v>5492</v>
      </c>
    </row>
    <row r="33" spans="3:13" x14ac:dyDescent="0.25">
      <c r="C33" s="6" t="s">
        <v>40</v>
      </c>
      <c r="D33" s="1">
        <f>D29</f>
        <v>289609</v>
      </c>
      <c r="K33" t="s">
        <v>424</v>
      </c>
    </row>
    <row r="34" spans="3:13" x14ac:dyDescent="0.25">
      <c r="C34" s="6" t="s">
        <v>41</v>
      </c>
      <c r="D34" s="13">
        <f>I29</f>
        <v>169047</v>
      </c>
      <c r="E34" s="12">
        <f>J29</f>
        <v>7.9807095068235459</v>
      </c>
      <c r="F34" s="12">
        <f>D34 * E34</f>
        <v>1349115</v>
      </c>
      <c r="G34" s="19" t="s">
        <v>360</v>
      </c>
      <c r="K34" t="s">
        <v>425</v>
      </c>
      <c r="L34" s="1">
        <f>D33 - D34</f>
        <v>120562</v>
      </c>
    </row>
    <row r="35" spans="3:13" x14ac:dyDescent="0.25">
      <c r="C35" s="6" t="s">
        <v>242</v>
      </c>
      <c r="D35" s="13">
        <f>S29</f>
        <v>105771</v>
      </c>
      <c r="G35" s="19" t="s">
        <v>368</v>
      </c>
      <c r="K35" t="s">
        <v>426</v>
      </c>
      <c r="L35" s="7">
        <f>D36</f>
        <v>9299</v>
      </c>
    </row>
    <row r="36" spans="3:13" x14ac:dyDescent="0.25">
      <c r="C36" s="6" t="s">
        <v>260</v>
      </c>
      <c r="D36" s="13">
        <f>AF29</f>
        <v>9299</v>
      </c>
      <c r="G36" s="19" t="s">
        <v>368</v>
      </c>
      <c r="K36" t="s">
        <v>427</v>
      </c>
      <c r="L36" s="1">
        <f>L34-L35</f>
        <v>111263</v>
      </c>
    </row>
    <row r="37" spans="3:13" x14ac:dyDescent="0.25">
      <c r="C37" s="6" t="s">
        <v>350</v>
      </c>
      <c r="D37" s="13">
        <f>AL29</f>
        <v>5492</v>
      </c>
      <c r="G37" s="19" t="s">
        <v>368</v>
      </c>
      <c r="J37" s="30"/>
      <c r="K37" t="s">
        <v>428</v>
      </c>
      <c r="L37" s="7">
        <f>D37</f>
        <v>5492</v>
      </c>
      <c r="M37" s="32">
        <f>1 - L37/L36</f>
        <v>0.95063947583653141</v>
      </c>
    </row>
    <row r="38" spans="3:13" x14ac:dyDescent="0.25">
      <c r="C38" s="6"/>
      <c r="D38" s="13"/>
      <c r="G38" s="19"/>
      <c r="K38" t="s">
        <v>429</v>
      </c>
      <c r="L38" s="1">
        <f>L36-L37</f>
        <v>105771</v>
      </c>
    </row>
    <row r="39" spans="3:13" x14ac:dyDescent="0.25">
      <c r="C39" s="6" t="s">
        <v>291</v>
      </c>
      <c r="D39" s="13">
        <f>D33 - D34 - D35 - D36 - D37</f>
        <v>0</v>
      </c>
      <c r="G39" s="19" t="s">
        <v>475</v>
      </c>
      <c r="K39" s="30"/>
    </row>
    <row r="40" spans="3:13" x14ac:dyDescent="0.25">
      <c r="C40" s="6" t="s">
        <v>290</v>
      </c>
      <c r="D40" s="1">
        <f>D39 + D37</f>
        <v>5492</v>
      </c>
      <c r="G40" s="19"/>
    </row>
    <row r="41" spans="3:13" x14ac:dyDescent="0.25">
      <c r="C41" s="6" t="s">
        <v>351</v>
      </c>
      <c r="D41" s="1">
        <f>D39 - Z29</f>
        <v>0</v>
      </c>
      <c r="G41" s="19"/>
    </row>
    <row r="43" spans="3:13" x14ac:dyDescent="0.25">
      <c r="C43" s="36" t="s">
        <v>537</v>
      </c>
      <c r="D43" s="28">
        <v>2017</v>
      </c>
    </row>
    <row r="44" spans="3:13" x14ac:dyDescent="0.25">
      <c r="C44" s="6" t="s">
        <v>246</v>
      </c>
      <c r="D44" s="1">
        <f>SUMIF($T$5:$T$28, D43, $S$5:$S$28)</f>
        <v>105771</v>
      </c>
      <c r="G44" s="19"/>
    </row>
  </sheetData>
  <pageMargins left="0.2" right="0.2" top="0.75" bottom="0.75" header="0.3" footer="0.3"/>
  <pageSetup scale="57" orientation="landscape" r:id="rId1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autoPageBreaks="0" fitToPage="1"/>
  </sheetPr>
  <dimension ref="A1:AH42"/>
  <sheetViews>
    <sheetView showGridLines="0" topLeftCell="A10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8.7109375" bestFit="1" customWidth="1"/>
    <col min="14" max="14" width="10.7109375" customWidth="1"/>
    <col min="15" max="15" width="30.2851562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2017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358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2017</v>
      </c>
      <c r="B5">
        <v>1</v>
      </c>
      <c r="C5" t="s">
        <v>66</v>
      </c>
      <c r="D5" t="s">
        <v>67</v>
      </c>
      <c r="E5" s="10">
        <v>25652</v>
      </c>
      <c r="F5" s="1" t="s">
        <v>115</v>
      </c>
      <c r="H5">
        <v>2017</v>
      </c>
      <c r="I5">
        <v>1</v>
      </c>
      <c r="J5" t="s">
        <v>66</v>
      </c>
      <c r="K5">
        <v>1017</v>
      </c>
      <c r="L5" s="12">
        <f>(875*8+142*5)/(875+142)</f>
        <v>7.5811209439528024</v>
      </c>
      <c r="M5" t="s">
        <v>116</v>
      </c>
      <c r="N5" s="11">
        <v>42859.529143518521</v>
      </c>
      <c r="O5" t="s">
        <v>11</v>
      </c>
      <c r="Q5" t="s">
        <v>66</v>
      </c>
      <c r="R5">
        <v>3</v>
      </c>
      <c r="S5">
        <v>2017</v>
      </c>
      <c r="T5" t="s">
        <v>237</v>
      </c>
      <c r="U5">
        <v>37191</v>
      </c>
      <c r="V5" s="29">
        <v>2016</v>
      </c>
      <c r="AD5" t="s">
        <v>66</v>
      </c>
      <c r="AE5">
        <v>11</v>
      </c>
      <c r="AF5">
        <v>2017</v>
      </c>
      <c r="AG5" t="s">
        <v>284</v>
      </c>
      <c r="AH5">
        <v>202</v>
      </c>
    </row>
    <row r="6" spans="1:34" x14ac:dyDescent="0.25">
      <c r="A6">
        <v>2017</v>
      </c>
      <c r="B6">
        <v>2</v>
      </c>
      <c r="C6" t="s">
        <v>66</v>
      </c>
      <c r="D6" t="s">
        <v>67</v>
      </c>
      <c r="E6" s="10">
        <v>29557</v>
      </c>
      <c r="F6" s="1" t="s">
        <v>216</v>
      </c>
      <c r="H6">
        <v>2017</v>
      </c>
      <c r="I6">
        <v>2</v>
      </c>
      <c r="J6" t="s">
        <v>66</v>
      </c>
      <c r="K6">
        <v>460</v>
      </c>
      <c r="L6" s="12">
        <f>(441*8+19*5)/K6</f>
        <v>7.8760869565217391</v>
      </c>
      <c r="M6" t="s">
        <v>227</v>
      </c>
      <c r="N6" s="11">
        <v>42887.392083333332</v>
      </c>
      <c r="O6" t="s">
        <v>11</v>
      </c>
      <c r="Q6" t="s">
        <v>66</v>
      </c>
      <c r="R6">
        <v>2</v>
      </c>
      <c r="S6">
        <v>2017</v>
      </c>
      <c r="T6" t="s">
        <v>236</v>
      </c>
      <c r="U6">
        <v>29097</v>
      </c>
      <c r="V6" s="29">
        <v>2016</v>
      </c>
      <c r="AD6" t="s">
        <v>66</v>
      </c>
      <c r="AE6">
        <v>7</v>
      </c>
      <c r="AF6">
        <v>2017</v>
      </c>
      <c r="AG6" t="s">
        <v>285</v>
      </c>
      <c r="AH6">
        <v>48</v>
      </c>
    </row>
    <row r="7" spans="1:34" x14ac:dyDescent="0.25">
      <c r="A7">
        <v>2017</v>
      </c>
      <c r="B7">
        <v>3</v>
      </c>
      <c r="C7" t="s">
        <v>66</v>
      </c>
      <c r="D7" t="s">
        <v>67</v>
      </c>
      <c r="E7" s="10">
        <v>38349</v>
      </c>
      <c r="F7" s="1" t="s">
        <v>217</v>
      </c>
      <c r="H7">
        <v>2017</v>
      </c>
      <c r="I7">
        <v>3</v>
      </c>
      <c r="J7" t="s">
        <v>66</v>
      </c>
      <c r="K7">
        <v>1158</v>
      </c>
      <c r="L7" s="12">
        <f>(1149*8+9*5)/K7</f>
        <v>7.9766839378238341</v>
      </c>
      <c r="M7" t="s">
        <v>228</v>
      </c>
      <c r="N7" s="11">
        <v>42916.340717592589</v>
      </c>
      <c r="O7" t="s">
        <v>11</v>
      </c>
      <c r="Q7" t="s">
        <v>66</v>
      </c>
      <c r="R7">
        <v>1</v>
      </c>
      <c r="S7">
        <v>2017</v>
      </c>
      <c r="T7" t="s">
        <v>117</v>
      </c>
      <c r="U7">
        <v>24635</v>
      </c>
      <c r="V7" s="29">
        <v>2016</v>
      </c>
      <c r="AD7" t="s">
        <v>66</v>
      </c>
      <c r="AE7">
        <v>9</v>
      </c>
      <c r="AF7">
        <v>2017</v>
      </c>
      <c r="AG7" t="s">
        <v>286</v>
      </c>
      <c r="AH7">
        <v>559</v>
      </c>
    </row>
    <row r="8" spans="1:34" x14ac:dyDescent="0.25">
      <c r="A8">
        <v>2017</v>
      </c>
      <c r="B8">
        <v>4</v>
      </c>
      <c r="C8" t="s">
        <v>66</v>
      </c>
      <c r="D8" t="s">
        <v>67</v>
      </c>
      <c r="E8" s="10">
        <v>34655</v>
      </c>
      <c r="F8" s="1" t="s">
        <v>218</v>
      </c>
      <c r="H8">
        <v>2017</v>
      </c>
      <c r="I8">
        <v>4</v>
      </c>
      <c r="J8" t="s">
        <v>66</v>
      </c>
      <c r="K8">
        <v>3712</v>
      </c>
      <c r="L8" s="12">
        <f>(3277*8+435*5)/K8</f>
        <v>7.6484375</v>
      </c>
      <c r="M8" t="s">
        <v>229</v>
      </c>
      <c r="N8" s="11">
        <v>42947.554826388892</v>
      </c>
      <c r="O8" t="s">
        <v>11</v>
      </c>
      <c r="Q8" t="s">
        <v>66</v>
      </c>
      <c r="R8">
        <v>4</v>
      </c>
      <c r="S8">
        <v>2017</v>
      </c>
      <c r="T8" t="s">
        <v>243</v>
      </c>
      <c r="U8">
        <v>21743</v>
      </c>
      <c r="V8" s="29">
        <v>2016</v>
      </c>
    </row>
    <row r="9" spans="1:34" x14ac:dyDescent="0.25">
      <c r="A9">
        <v>2017</v>
      </c>
      <c r="B9">
        <v>5</v>
      </c>
      <c r="C9" t="s">
        <v>66</v>
      </c>
      <c r="D9" t="s">
        <v>67</v>
      </c>
      <c r="E9" s="10">
        <v>14800</v>
      </c>
      <c r="F9" s="1" t="s">
        <v>219</v>
      </c>
      <c r="H9">
        <v>2017</v>
      </c>
      <c r="I9">
        <v>5</v>
      </c>
      <c r="J9" t="s">
        <v>66</v>
      </c>
      <c r="K9">
        <v>3473</v>
      </c>
      <c r="L9" s="12">
        <f>(2268*8+1205*5)/K9</f>
        <v>6.9591131586524622</v>
      </c>
      <c r="M9" t="s">
        <v>230</v>
      </c>
      <c r="N9" s="11">
        <v>42985.321122685185</v>
      </c>
      <c r="O9" t="s">
        <v>11</v>
      </c>
      <c r="Q9" t="s">
        <v>66</v>
      </c>
      <c r="R9">
        <v>10</v>
      </c>
      <c r="S9">
        <v>2017</v>
      </c>
      <c r="T9" t="s">
        <v>239</v>
      </c>
      <c r="U9">
        <v>30123</v>
      </c>
      <c r="V9" s="29">
        <v>2017</v>
      </c>
    </row>
    <row r="10" spans="1:34" x14ac:dyDescent="0.25">
      <c r="A10">
        <v>2017</v>
      </c>
      <c r="B10">
        <v>6</v>
      </c>
      <c r="C10" t="s">
        <v>66</v>
      </c>
      <c r="D10" t="s">
        <v>67</v>
      </c>
      <c r="E10" s="10">
        <v>21053</v>
      </c>
      <c r="F10" s="1" t="s">
        <v>220</v>
      </c>
      <c r="H10">
        <v>2017</v>
      </c>
      <c r="I10">
        <v>6</v>
      </c>
      <c r="J10" t="s">
        <v>66</v>
      </c>
      <c r="K10">
        <v>3329</v>
      </c>
      <c r="L10" s="12">
        <f>(2518*8+811*5)/K10</f>
        <v>7.2691498948633226</v>
      </c>
      <c r="M10" t="s">
        <v>231</v>
      </c>
      <c r="N10" s="11">
        <v>43017.357407407406</v>
      </c>
      <c r="O10" t="s">
        <v>11</v>
      </c>
      <c r="Q10" t="s">
        <v>66</v>
      </c>
      <c r="R10">
        <v>9</v>
      </c>
      <c r="S10">
        <v>2017</v>
      </c>
      <c r="T10" t="s">
        <v>287</v>
      </c>
      <c r="U10">
        <v>14406</v>
      </c>
      <c r="V10" s="29">
        <v>2017</v>
      </c>
    </row>
    <row r="11" spans="1:34" x14ac:dyDescent="0.25">
      <c r="A11">
        <v>2017</v>
      </c>
      <c r="B11">
        <v>7</v>
      </c>
      <c r="C11" t="s">
        <v>66</v>
      </c>
      <c r="D11" t="s">
        <v>67</v>
      </c>
      <c r="E11" s="10">
        <v>14114</v>
      </c>
      <c r="F11" s="1" t="s">
        <v>221</v>
      </c>
      <c r="H11">
        <v>2017</v>
      </c>
      <c r="I11">
        <v>7</v>
      </c>
      <c r="J11" t="s">
        <v>66</v>
      </c>
      <c r="K11">
        <v>1258</v>
      </c>
      <c r="L11" s="12">
        <f>(1002*8+256*5)/K11</f>
        <v>7.3895071542130362</v>
      </c>
      <c r="M11" t="s">
        <v>232</v>
      </c>
      <c r="N11" s="11">
        <v>43046.602581018517</v>
      </c>
      <c r="O11" t="s">
        <v>11</v>
      </c>
      <c r="Q11" t="s">
        <v>66</v>
      </c>
      <c r="R11">
        <v>8</v>
      </c>
      <c r="S11">
        <v>2017</v>
      </c>
      <c r="T11" t="s">
        <v>235</v>
      </c>
      <c r="U11">
        <v>10617</v>
      </c>
      <c r="V11" s="29">
        <v>2017</v>
      </c>
    </row>
    <row r="12" spans="1:34" x14ac:dyDescent="0.25">
      <c r="A12">
        <v>2017</v>
      </c>
      <c r="B12">
        <v>8</v>
      </c>
      <c r="C12" t="s">
        <v>66</v>
      </c>
      <c r="D12" t="s">
        <v>67</v>
      </c>
      <c r="E12" s="10">
        <v>14815</v>
      </c>
      <c r="F12" s="1" t="s">
        <v>222</v>
      </c>
      <c r="H12">
        <v>2017</v>
      </c>
      <c r="I12">
        <v>8</v>
      </c>
      <c r="J12" t="s">
        <v>66</v>
      </c>
      <c r="K12">
        <v>4198</v>
      </c>
      <c r="L12" s="12">
        <f>(846*8+3352*5)/K12</f>
        <v>5.6045736064792759</v>
      </c>
      <c r="M12" t="s">
        <v>233</v>
      </c>
      <c r="N12" s="11">
        <v>43070.443483796298</v>
      </c>
      <c r="O12" t="s">
        <v>11</v>
      </c>
      <c r="Q12" t="s">
        <v>66</v>
      </c>
      <c r="R12">
        <v>7</v>
      </c>
      <c r="S12">
        <v>2017</v>
      </c>
      <c r="T12" t="s">
        <v>288</v>
      </c>
      <c r="U12">
        <v>12808</v>
      </c>
      <c r="V12" s="29">
        <v>2017</v>
      </c>
    </row>
    <row r="13" spans="1:34" x14ac:dyDescent="0.25">
      <c r="A13">
        <v>2017</v>
      </c>
      <c r="B13">
        <v>9</v>
      </c>
      <c r="C13" t="s">
        <v>66</v>
      </c>
      <c r="D13" t="s">
        <v>67</v>
      </c>
      <c r="E13" s="10">
        <v>14965</v>
      </c>
      <c r="F13" s="1" t="s">
        <v>223</v>
      </c>
      <c r="H13">
        <v>2017</v>
      </c>
      <c r="I13">
        <v>10</v>
      </c>
      <c r="J13" t="s">
        <v>66</v>
      </c>
      <c r="K13">
        <v>3028</v>
      </c>
      <c r="L13" s="12">
        <f>(2471*8+557*5)/K13</f>
        <v>7.448150594451783</v>
      </c>
      <c r="M13" t="s">
        <v>234</v>
      </c>
      <c r="N13" s="11">
        <v>43140.313530092593</v>
      </c>
      <c r="O13" t="s">
        <v>11</v>
      </c>
      <c r="Q13" t="s">
        <v>66</v>
      </c>
      <c r="R13">
        <v>12</v>
      </c>
      <c r="S13">
        <v>2017</v>
      </c>
      <c r="T13" t="s">
        <v>226</v>
      </c>
      <c r="U13">
        <v>15469</v>
      </c>
      <c r="V13" s="29">
        <v>2017</v>
      </c>
    </row>
    <row r="14" spans="1:34" x14ac:dyDescent="0.25">
      <c r="A14">
        <v>2017</v>
      </c>
      <c r="B14">
        <v>10</v>
      </c>
      <c r="C14" t="s">
        <v>66</v>
      </c>
      <c r="D14" t="s">
        <v>67</v>
      </c>
      <c r="E14" s="10">
        <v>33151</v>
      </c>
      <c r="F14" s="1" t="s">
        <v>224</v>
      </c>
      <c r="L14" s="12"/>
      <c r="N14" s="4"/>
      <c r="Q14" t="s">
        <v>66</v>
      </c>
      <c r="R14">
        <v>11</v>
      </c>
      <c r="S14">
        <v>2017</v>
      </c>
      <c r="T14" t="s">
        <v>289</v>
      </c>
      <c r="U14">
        <v>43598</v>
      </c>
      <c r="V14" s="29">
        <v>2017</v>
      </c>
    </row>
    <row r="15" spans="1:34" x14ac:dyDescent="0.25">
      <c r="A15">
        <v>2017</v>
      </c>
      <c r="B15">
        <v>11</v>
      </c>
      <c r="C15" t="s">
        <v>66</v>
      </c>
      <c r="D15" t="s">
        <v>67</v>
      </c>
      <c r="E15" s="10">
        <v>43800</v>
      </c>
      <c r="F15" s="1" t="s">
        <v>225</v>
      </c>
      <c r="L15" s="12"/>
      <c r="N15" s="4"/>
      <c r="Q15" t="s">
        <v>66</v>
      </c>
      <c r="R15">
        <v>4</v>
      </c>
      <c r="S15">
        <v>2017</v>
      </c>
      <c r="T15" t="s">
        <v>244</v>
      </c>
      <c r="U15">
        <v>9200</v>
      </c>
      <c r="V15" s="29">
        <v>2017</v>
      </c>
    </row>
    <row r="16" spans="1:34" x14ac:dyDescent="0.25">
      <c r="A16">
        <v>2017</v>
      </c>
      <c r="B16">
        <v>12</v>
      </c>
      <c r="C16" t="s">
        <v>66</v>
      </c>
      <c r="D16" t="s">
        <v>67</v>
      </c>
      <c r="E16" s="10">
        <v>15469</v>
      </c>
      <c r="F16" s="1" t="s">
        <v>226</v>
      </c>
      <c r="L16" s="12"/>
      <c r="N16" s="4"/>
      <c r="Q16" t="s">
        <v>66</v>
      </c>
      <c r="R16">
        <v>5</v>
      </c>
      <c r="S16">
        <v>2017</v>
      </c>
      <c r="T16" t="s">
        <v>238</v>
      </c>
      <c r="U16">
        <v>11327</v>
      </c>
      <c r="V16" s="29">
        <v>2017</v>
      </c>
    </row>
    <row r="17" spans="5:34" x14ac:dyDescent="0.25">
      <c r="E17" s="10"/>
      <c r="F17" s="1"/>
      <c r="L17" s="12"/>
      <c r="N17" s="4"/>
      <c r="Q17" t="s">
        <v>66</v>
      </c>
      <c r="R17">
        <v>6</v>
      </c>
      <c r="S17">
        <v>2017</v>
      </c>
      <c r="T17" t="s">
        <v>240</v>
      </c>
      <c r="U17">
        <v>17724</v>
      </c>
      <c r="V17" s="29">
        <v>2017</v>
      </c>
    </row>
    <row r="18" spans="5:34" x14ac:dyDescent="0.25">
      <c r="E18" s="10"/>
      <c r="F18" s="1"/>
      <c r="L18" s="12"/>
      <c r="N18" s="4"/>
    </row>
    <row r="19" spans="5:34" x14ac:dyDescent="0.25">
      <c r="E19" s="10"/>
      <c r="F19" s="1"/>
      <c r="L19" s="12"/>
      <c r="N19" s="4"/>
    </row>
    <row r="20" spans="5:34" x14ac:dyDescent="0.25">
      <c r="E20" s="10"/>
      <c r="F20" s="1"/>
      <c r="L20" s="12"/>
      <c r="N20" s="4"/>
    </row>
    <row r="21" spans="5:34" x14ac:dyDescent="0.25">
      <c r="E21" s="2"/>
      <c r="F21" s="1"/>
      <c r="L21" s="12"/>
      <c r="N21" s="4"/>
    </row>
    <row r="22" spans="5:34" x14ac:dyDescent="0.25">
      <c r="E22" s="2"/>
      <c r="F22" s="1"/>
      <c r="L22" s="12"/>
      <c r="N22" s="4"/>
    </row>
    <row r="23" spans="5:34" x14ac:dyDescent="0.25">
      <c r="E23" s="2"/>
      <c r="F23" s="1"/>
      <c r="L23" s="12"/>
      <c r="N23" s="4"/>
    </row>
    <row r="24" spans="5:34" x14ac:dyDescent="0.25">
      <c r="E24" s="2"/>
      <c r="F24" s="1"/>
      <c r="L24" s="12"/>
      <c r="N24" s="4"/>
    </row>
    <row r="25" spans="5:34" x14ac:dyDescent="0.25">
      <c r="E25" s="2"/>
      <c r="F25" s="1"/>
      <c r="L25" s="12"/>
      <c r="N25" s="4"/>
    </row>
    <row r="26" spans="5:34" x14ac:dyDescent="0.25">
      <c r="E26" s="2"/>
      <c r="F26" s="1"/>
      <c r="L26" s="12"/>
      <c r="N26" s="4"/>
    </row>
    <row r="27" spans="5:34" x14ac:dyDescent="0.25">
      <c r="E27" s="2"/>
      <c r="F27" s="1"/>
      <c r="L27" s="12"/>
      <c r="N27" s="4"/>
    </row>
    <row r="28" spans="5:34" x14ac:dyDescent="0.25">
      <c r="E28" s="2"/>
      <c r="F28" s="1"/>
    </row>
    <row r="29" spans="5:34" x14ac:dyDescent="0.25">
      <c r="E29" s="3">
        <f>SUM(E5:E28)</f>
        <v>300380</v>
      </c>
      <c r="F29" s="3"/>
      <c r="K29" s="3">
        <f>SUM(K5:K28)</f>
        <v>21633</v>
      </c>
      <c r="L29" s="12">
        <f>SUMPRODUCT(K5:K28, L5:L28) / K29</f>
        <v>7.0589377340174737</v>
      </c>
      <c r="U29" s="3">
        <f>SUM(U5:U28)</f>
        <v>277938</v>
      </c>
      <c r="V29" s="3"/>
      <c r="AB29" s="3">
        <f>SUM(AB5:AB28)</f>
        <v>0</v>
      </c>
      <c r="AH29" s="3">
        <f>SUM(AH5:AH28)</f>
        <v>809</v>
      </c>
    </row>
    <row r="33" spans="3:7" x14ac:dyDescent="0.25">
      <c r="C33" s="6" t="s">
        <v>40</v>
      </c>
      <c r="D33" s="1">
        <f>E29</f>
        <v>300380</v>
      </c>
    </row>
    <row r="34" spans="3:7" x14ac:dyDescent="0.25">
      <c r="C34" s="6" t="s">
        <v>41</v>
      </c>
      <c r="D34" s="13">
        <f>K29</f>
        <v>21633</v>
      </c>
      <c r="E34" s="12">
        <f>L29</f>
        <v>7.0589377340174737</v>
      </c>
      <c r="F34" s="12">
        <f>D34 * E34</f>
        <v>152706</v>
      </c>
      <c r="G34" s="19" t="s">
        <v>368</v>
      </c>
    </row>
    <row r="35" spans="3:7" x14ac:dyDescent="0.25">
      <c r="C35" s="6" t="s">
        <v>242</v>
      </c>
      <c r="D35" s="34">
        <f>U29</f>
        <v>277938</v>
      </c>
      <c r="E35" s="12" t="s">
        <v>346</v>
      </c>
      <c r="F35" s="12"/>
      <c r="G35" s="19" t="s">
        <v>368</v>
      </c>
    </row>
    <row r="36" spans="3:7" x14ac:dyDescent="0.25">
      <c r="C36" s="6" t="s">
        <v>260</v>
      </c>
      <c r="D36" s="7">
        <f>AH29</f>
        <v>809</v>
      </c>
      <c r="G36" s="19" t="s">
        <v>368</v>
      </c>
    </row>
    <row r="37" spans="3:7" x14ac:dyDescent="0.25">
      <c r="C37" s="6" t="s">
        <v>352</v>
      </c>
      <c r="D37" s="13">
        <f>D33 - SUM(D34:D36)</f>
        <v>0</v>
      </c>
      <c r="G37" s="19" t="s">
        <v>499</v>
      </c>
    </row>
    <row r="38" spans="3:7" x14ac:dyDescent="0.25">
      <c r="C38" s="6"/>
      <c r="D38" s="13"/>
    </row>
    <row r="39" spans="3:7" x14ac:dyDescent="0.25">
      <c r="C39" s="36" t="s">
        <v>537</v>
      </c>
      <c r="D39" s="28">
        <v>2016</v>
      </c>
      <c r="E39" s="28">
        <v>2017</v>
      </c>
    </row>
    <row r="40" spans="3:7" x14ac:dyDescent="0.25">
      <c r="C40" s="6" t="s">
        <v>246</v>
      </c>
      <c r="D40" s="20">
        <f t="shared" ref="D40:E40" si="0">SUMIF($V$5:$V$28, D39, $U$5:$U$28)</f>
        <v>112666</v>
      </c>
      <c r="E40" s="20">
        <f t="shared" si="0"/>
        <v>165272</v>
      </c>
      <c r="F40" s="33">
        <f>D40+E40</f>
        <v>277938</v>
      </c>
    </row>
    <row r="41" spans="3:7" x14ac:dyDescent="0.25">
      <c r="C41" s="6" t="s">
        <v>245</v>
      </c>
      <c r="D41" s="16">
        <v>1.2</v>
      </c>
      <c r="E41" s="16">
        <v>1.2</v>
      </c>
    </row>
    <row r="42" spans="3:7" x14ac:dyDescent="0.25">
      <c r="C42" s="6" t="s">
        <v>247</v>
      </c>
      <c r="D42" s="1">
        <f>ROUNDDOWN(D40*D41, 0)</f>
        <v>135199</v>
      </c>
      <c r="E42" s="1">
        <f>ROUNDDOWN(E40*E41, 0)</f>
        <v>198326</v>
      </c>
    </row>
  </sheetData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  <pageSetUpPr autoPageBreaks="0" fitToPage="1"/>
  </sheetPr>
  <dimension ref="A1:AL44"/>
  <sheetViews>
    <sheetView showGridLines="0" topLeftCell="A6" zoomScaleNormal="100" workbookViewId="0">
      <selection activeCell="D39" sqref="D39:D40"/>
    </sheetView>
  </sheetViews>
  <sheetFormatPr defaultRowHeight="15" x14ac:dyDescent="0.25"/>
  <cols>
    <col min="2" max="2" width="9.7109375" customWidth="1"/>
    <col min="6" max="6" width="13.7109375" customWidth="1"/>
    <col min="10" max="10" width="7.7109375" customWidth="1"/>
    <col min="11" max="11" width="23.28515625" customWidth="1"/>
    <col min="12" max="12" width="10.7109375" customWidth="1"/>
    <col min="13" max="13" width="30.28515625" bestFit="1" customWidth="1"/>
    <col min="14" max="14" width="11.5703125" bestFit="1" customWidth="1"/>
    <col min="18" max="18" width="28.7109375" bestFit="1" customWidth="1"/>
    <col min="20" max="20" width="9.5703125" bestFit="1" customWidth="1"/>
    <col min="25" max="25" width="28.7109375" bestFit="1" customWidth="1"/>
    <col min="31" max="31" width="28.7109375" bestFit="1" customWidth="1"/>
    <col min="37" max="37" width="28.7109375" bestFit="1" customWidth="1"/>
  </cols>
  <sheetData>
    <row r="1" spans="1:38" ht="18.75" x14ac:dyDescent="0.3">
      <c r="A1" s="8">
        <v>2018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350</v>
      </c>
    </row>
    <row r="4" spans="1:38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358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0</v>
      </c>
      <c r="B5" t="s">
        <v>2</v>
      </c>
      <c r="C5" s="2">
        <v>43101</v>
      </c>
      <c r="D5" s="1">
        <v>30677</v>
      </c>
      <c r="F5">
        <v>2018</v>
      </c>
      <c r="G5">
        <v>1</v>
      </c>
      <c r="H5" t="s">
        <v>0</v>
      </c>
      <c r="I5">
        <v>27787</v>
      </c>
      <c r="J5" s="12">
        <f>N5/I5</f>
        <v>7.9948177205167887</v>
      </c>
      <c r="K5" t="s">
        <v>250</v>
      </c>
      <c r="L5" s="11">
        <v>43222.42864583333</v>
      </c>
      <c r="M5" t="s">
        <v>11</v>
      </c>
      <c r="N5" s="24">
        <v>222152</v>
      </c>
      <c r="O5" t="s">
        <v>1</v>
      </c>
      <c r="P5">
        <v>9</v>
      </c>
      <c r="Q5">
        <v>2018</v>
      </c>
      <c r="R5" t="s">
        <v>271</v>
      </c>
      <c r="S5">
        <v>3275</v>
      </c>
      <c r="T5" s="29">
        <v>2019</v>
      </c>
      <c r="Z5" s="20"/>
      <c r="AB5" t="s">
        <v>0</v>
      </c>
      <c r="AC5">
        <v>4</v>
      </c>
      <c r="AD5">
        <v>2018</v>
      </c>
      <c r="AE5" t="s">
        <v>282</v>
      </c>
      <c r="AF5" s="20">
        <v>420</v>
      </c>
      <c r="AH5" t="s">
        <v>0</v>
      </c>
      <c r="AI5">
        <v>2</v>
      </c>
      <c r="AJ5">
        <v>2018</v>
      </c>
      <c r="AK5" t="s">
        <v>536</v>
      </c>
      <c r="AL5" s="20">
        <v>8288</v>
      </c>
    </row>
    <row r="6" spans="1:38" x14ac:dyDescent="0.25">
      <c r="A6" t="s">
        <v>1</v>
      </c>
      <c r="B6" t="s">
        <v>3</v>
      </c>
      <c r="C6" s="2">
        <v>43101</v>
      </c>
      <c r="D6" s="1">
        <v>4356</v>
      </c>
      <c r="F6">
        <v>2018</v>
      </c>
      <c r="G6">
        <v>2</v>
      </c>
      <c r="H6" t="s">
        <v>0</v>
      </c>
      <c r="I6">
        <v>7296</v>
      </c>
      <c r="J6" s="12">
        <f t="shared" ref="J6:J18" si="0">N6/I6</f>
        <v>7.9954769736842106</v>
      </c>
      <c r="K6" t="s">
        <v>251</v>
      </c>
      <c r="L6" s="11">
        <v>43259.555300925924</v>
      </c>
      <c r="M6" t="s">
        <v>11</v>
      </c>
      <c r="N6" s="24">
        <v>58335</v>
      </c>
      <c r="O6" t="s">
        <v>1</v>
      </c>
      <c r="P6">
        <v>10</v>
      </c>
      <c r="Q6">
        <v>2018</v>
      </c>
      <c r="R6" t="s">
        <v>320</v>
      </c>
      <c r="S6">
        <v>4471</v>
      </c>
      <c r="T6" s="29">
        <v>2019</v>
      </c>
      <c r="Z6" s="20"/>
      <c r="AB6" t="s">
        <v>0</v>
      </c>
      <c r="AC6">
        <v>1</v>
      </c>
      <c r="AD6">
        <v>2018</v>
      </c>
      <c r="AE6" t="s">
        <v>283</v>
      </c>
      <c r="AF6" s="20">
        <v>465</v>
      </c>
      <c r="AL6" s="20"/>
    </row>
    <row r="7" spans="1:38" x14ac:dyDescent="0.25">
      <c r="A7" t="s">
        <v>0</v>
      </c>
      <c r="B7" t="s">
        <v>2</v>
      </c>
      <c r="C7" s="2">
        <v>43132</v>
      </c>
      <c r="D7" s="1">
        <v>22585</v>
      </c>
      <c r="F7">
        <v>2018</v>
      </c>
      <c r="G7">
        <v>3</v>
      </c>
      <c r="H7" t="s">
        <v>0</v>
      </c>
      <c r="I7">
        <v>7279</v>
      </c>
      <c r="J7" s="12">
        <f t="shared" si="0"/>
        <v>8</v>
      </c>
      <c r="K7" t="s">
        <v>252</v>
      </c>
      <c r="L7" s="11">
        <v>43292.58625</v>
      </c>
      <c r="M7" t="s">
        <v>11</v>
      </c>
      <c r="N7" s="24">
        <v>58232</v>
      </c>
      <c r="O7" t="s">
        <v>0</v>
      </c>
      <c r="P7">
        <v>10</v>
      </c>
      <c r="Q7">
        <v>2018</v>
      </c>
      <c r="R7" t="s">
        <v>321</v>
      </c>
      <c r="S7">
        <v>6303</v>
      </c>
      <c r="T7" s="29">
        <v>2019</v>
      </c>
      <c r="Z7" s="20"/>
      <c r="AB7" t="s">
        <v>0</v>
      </c>
      <c r="AC7">
        <v>12</v>
      </c>
      <c r="AD7">
        <v>2018</v>
      </c>
      <c r="AE7" t="s">
        <v>315</v>
      </c>
      <c r="AF7" s="20">
        <v>96</v>
      </c>
      <c r="AL7" s="20"/>
    </row>
    <row r="8" spans="1:38" x14ac:dyDescent="0.25">
      <c r="A8" t="s">
        <v>1</v>
      </c>
      <c r="B8" t="s">
        <v>3</v>
      </c>
      <c r="C8" s="2">
        <v>43132</v>
      </c>
      <c r="D8" s="1">
        <v>3208</v>
      </c>
      <c r="F8">
        <v>2018</v>
      </c>
      <c r="G8">
        <v>4</v>
      </c>
      <c r="H8" t="s">
        <v>0</v>
      </c>
      <c r="I8">
        <v>2862</v>
      </c>
      <c r="J8" s="12">
        <f t="shared" si="0"/>
        <v>7.9926624737945495</v>
      </c>
      <c r="K8" t="s">
        <v>253</v>
      </c>
      <c r="L8" s="11">
        <v>43311.314606481479</v>
      </c>
      <c r="M8" t="s">
        <v>11</v>
      </c>
      <c r="N8" s="24">
        <v>22875</v>
      </c>
      <c r="O8" t="s">
        <v>0</v>
      </c>
      <c r="P8">
        <v>11</v>
      </c>
      <c r="Q8">
        <v>2018</v>
      </c>
      <c r="R8" t="s">
        <v>323</v>
      </c>
      <c r="S8">
        <v>17145</v>
      </c>
      <c r="T8" s="29">
        <v>2019</v>
      </c>
      <c r="Z8" s="20"/>
      <c r="AF8" s="20"/>
      <c r="AL8" s="20"/>
    </row>
    <row r="9" spans="1:38" x14ac:dyDescent="0.25">
      <c r="A9" t="s">
        <v>0</v>
      </c>
      <c r="B9" t="s">
        <v>2</v>
      </c>
      <c r="C9" s="2">
        <v>43160</v>
      </c>
      <c r="D9" s="1">
        <v>30153</v>
      </c>
      <c r="F9">
        <v>2018</v>
      </c>
      <c r="G9">
        <v>6</v>
      </c>
      <c r="H9" t="s">
        <v>0</v>
      </c>
      <c r="I9">
        <v>1140</v>
      </c>
      <c r="J9" s="12">
        <f t="shared" si="0"/>
        <v>8</v>
      </c>
      <c r="K9" t="s">
        <v>254</v>
      </c>
      <c r="L9" s="11">
        <v>43376.370844907404</v>
      </c>
      <c r="M9" t="s">
        <v>11</v>
      </c>
      <c r="N9" s="24">
        <v>9120</v>
      </c>
      <c r="O9" t="s">
        <v>1</v>
      </c>
      <c r="P9">
        <v>11</v>
      </c>
      <c r="Q9">
        <v>2018</v>
      </c>
      <c r="R9" t="s">
        <v>322</v>
      </c>
      <c r="S9">
        <v>4237</v>
      </c>
      <c r="T9" s="29">
        <v>2019</v>
      </c>
      <c r="Z9" s="20"/>
      <c r="AF9" s="20"/>
      <c r="AL9" s="20"/>
    </row>
    <row r="10" spans="1:38" x14ac:dyDescent="0.25">
      <c r="A10" t="s">
        <v>1</v>
      </c>
      <c r="B10" t="s">
        <v>3</v>
      </c>
      <c r="C10" s="2">
        <v>43160</v>
      </c>
      <c r="D10" s="1">
        <v>4282</v>
      </c>
      <c r="F10">
        <v>2018</v>
      </c>
      <c r="G10">
        <v>7</v>
      </c>
      <c r="H10" t="s">
        <v>0</v>
      </c>
      <c r="I10">
        <v>21634</v>
      </c>
      <c r="J10" s="12">
        <f t="shared" si="0"/>
        <v>7.9932051400573174</v>
      </c>
      <c r="K10" t="s">
        <v>255</v>
      </c>
      <c r="L10" s="11">
        <v>43406.424293981479</v>
      </c>
      <c r="M10" t="s">
        <v>11</v>
      </c>
      <c r="N10" s="24">
        <v>172925</v>
      </c>
      <c r="O10" t="s">
        <v>1</v>
      </c>
      <c r="P10">
        <v>8</v>
      </c>
      <c r="Q10">
        <v>2018</v>
      </c>
      <c r="R10" t="s">
        <v>272</v>
      </c>
      <c r="S10">
        <v>3569</v>
      </c>
      <c r="T10" s="29">
        <v>2019</v>
      </c>
      <c r="Z10" s="20"/>
      <c r="AF10" s="20"/>
      <c r="AL10" s="20"/>
    </row>
    <row r="11" spans="1:38" x14ac:dyDescent="0.25">
      <c r="A11" t="s">
        <v>0</v>
      </c>
      <c r="B11" t="s">
        <v>2</v>
      </c>
      <c r="C11" s="2">
        <v>43191</v>
      </c>
      <c r="D11" s="1">
        <v>23112</v>
      </c>
      <c r="F11">
        <v>2018</v>
      </c>
      <c r="G11">
        <v>8</v>
      </c>
      <c r="H11" t="s">
        <v>0</v>
      </c>
      <c r="I11">
        <v>31137</v>
      </c>
      <c r="J11" s="12">
        <f t="shared" si="0"/>
        <v>8</v>
      </c>
      <c r="K11" t="s">
        <v>256</v>
      </c>
      <c r="L11" s="11">
        <v>43437.459016203706</v>
      </c>
      <c r="M11" t="s">
        <v>11</v>
      </c>
      <c r="N11" s="24">
        <v>249096</v>
      </c>
      <c r="O11" t="s">
        <v>1</v>
      </c>
      <c r="P11">
        <v>7</v>
      </c>
      <c r="Q11">
        <v>2018</v>
      </c>
      <c r="R11" t="s">
        <v>273</v>
      </c>
      <c r="S11">
        <v>4170</v>
      </c>
      <c r="T11" s="29">
        <v>2019</v>
      </c>
      <c r="Z11" s="20"/>
      <c r="AF11" s="20"/>
      <c r="AL11" s="20"/>
    </row>
    <row r="12" spans="1:38" x14ac:dyDescent="0.25">
      <c r="A12" t="s">
        <v>1</v>
      </c>
      <c r="B12" t="s">
        <v>3</v>
      </c>
      <c r="C12" s="2">
        <v>43191</v>
      </c>
      <c r="D12" s="1">
        <v>3282</v>
      </c>
      <c r="F12">
        <v>2018</v>
      </c>
      <c r="G12">
        <v>8</v>
      </c>
      <c r="H12" t="s">
        <v>1</v>
      </c>
      <c r="I12">
        <v>853</v>
      </c>
      <c r="J12" s="12">
        <f t="shared" si="0"/>
        <v>7.9191090269636577</v>
      </c>
      <c r="K12" t="s">
        <v>257</v>
      </c>
      <c r="L12" s="11">
        <v>43437.459016203706</v>
      </c>
      <c r="M12" t="s">
        <v>11</v>
      </c>
      <c r="N12" s="24">
        <v>6755</v>
      </c>
      <c r="O12" t="s">
        <v>0</v>
      </c>
      <c r="P12">
        <v>7</v>
      </c>
      <c r="Q12">
        <v>2018</v>
      </c>
      <c r="R12" t="s">
        <v>279</v>
      </c>
      <c r="S12">
        <v>7737</v>
      </c>
      <c r="T12" s="29">
        <v>2019</v>
      </c>
      <c r="Z12" s="20"/>
      <c r="AF12" s="20"/>
      <c r="AL12" s="20"/>
    </row>
    <row r="13" spans="1:38" x14ac:dyDescent="0.25">
      <c r="A13" t="s">
        <v>0</v>
      </c>
      <c r="B13" t="s">
        <v>2</v>
      </c>
      <c r="C13" s="2">
        <v>43221</v>
      </c>
      <c r="D13" s="1">
        <v>0</v>
      </c>
      <c r="F13">
        <v>2018</v>
      </c>
      <c r="G13">
        <v>9</v>
      </c>
      <c r="H13" t="s">
        <v>0</v>
      </c>
      <c r="I13">
        <v>28811</v>
      </c>
      <c r="J13" s="12">
        <f t="shared" si="0"/>
        <v>8</v>
      </c>
      <c r="K13" t="s">
        <v>258</v>
      </c>
      <c r="L13" s="11">
        <v>43467.481990740744</v>
      </c>
      <c r="M13" t="s">
        <v>11</v>
      </c>
      <c r="N13" s="24">
        <v>230488</v>
      </c>
      <c r="O13" t="s">
        <v>0</v>
      </c>
      <c r="P13">
        <v>6</v>
      </c>
      <c r="Q13">
        <v>2018</v>
      </c>
      <c r="R13" t="s">
        <v>277</v>
      </c>
      <c r="S13">
        <v>6165</v>
      </c>
      <c r="T13" s="29">
        <v>2019</v>
      </c>
      <c r="Z13" s="20"/>
      <c r="AF13" s="20"/>
      <c r="AL13" s="20"/>
    </row>
    <row r="14" spans="1:38" x14ac:dyDescent="0.25">
      <c r="A14" t="s">
        <v>1</v>
      </c>
      <c r="B14" t="s">
        <v>3</v>
      </c>
      <c r="C14" s="2">
        <v>43221</v>
      </c>
      <c r="D14" s="1">
        <v>0</v>
      </c>
      <c r="F14">
        <v>2018</v>
      </c>
      <c r="G14">
        <v>9</v>
      </c>
      <c r="H14" t="s">
        <v>1</v>
      </c>
      <c r="I14">
        <v>817</v>
      </c>
      <c r="J14" s="12">
        <f t="shared" si="0"/>
        <v>7.625458996328029</v>
      </c>
      <c r="K14" t="s">
        <v>259</v>
      </c>
      <c r="L14" s="11">
        <v>43467.481990740744</v>
      </c>
      <c r="M14" t="s">
        <v>11</v>
      </c>
      <c r="N14" s="24">
        <v>6230</v>
      </c>
      <c r="O14" t="s">
        <v>0</v>
      </c>
      <c r="P14">
        <v>4</v>
      </c>
      <c r="Q14">
        <v>2018</v>
      </c>
      <c r="R14" t="s">
        <v>281</v>
      </c>
      <c r="S14">
        <v>19830</v>
      </c>
      <c r="T14" s="29">
        <v>2019</v>
      </c>
      <c r="Z14" s="20"/>
      <c r="AF14" s="20"/>
      <c r="AL14" s="20"/>
    </row>
    <row r="15" spans="1:38" x14ac:dyDescent="0.25">
      <c r="A15" t="s">
        <v>0</v>
      </c>
      <c r="B15" t="s">
        <v>2</v>
      </c>
      <c r="C15" s="2">
        <v>43252</v>
      </c>
      <c r="D15" s="1">
        <v>7305</v>
      </c>
      <c r="F15">
        <v>2018</v>
      </c>
      <c r="G15">
        <v>10</v>
      </c>
      <c r="H15" t="s">
        <v>0</v>
      </c>
      <c r="I15">
        <v>25183</v>
      </c>
      <c r="J15" s="12">
        <f t="shared" si="0"/>
        <v>8</v>
      </c>
      <c r="K15" t="s">
        <v>316</v>
      </c>
      <c r="L15" s="11">
        <v>43507.56763888889</v>
      </c>
      <c r="M15" t="s">
        <v>11</v>
      </c>
      <c r="N15" s="24">
        <v>201464</v>
      </c>
      <c r="O15" t="s">
        <v>1</v>
      </c>
      <c r="P15">
        <v>4</v>
      </c>
      <c r="Q15">
        <v>2018</v>
      </c>
      <c r="R15" t="s">
        <v>274</v>
      </c>
      <c r="S15">
        <v>3282</v>
      </c>
      <c r="T15" s="29">
        <v>2019</v>
      </c>
      <c r="Z15" s="20"/>
      <c r="AF15" s="20"/>
      <c r="AL15" s="20"/>
    </row>
    <row r="16" spans="1:38" x14ac:dyDescent="0.25">
      <c r="A16" t="s">
        <v>1</v>
      </c>
      <c r="B16" t="s">
        <v>3</v>
      </c>
      <c r="C16" s="2">
        <v>43252</v>
      </c>
      <c r="D16" s="1">
        <v>1038</v>
      </c>
      <c r="F16">
        <v>2018</v>
      </c>
      <c r="G16">
        <v>11</v>
      </c>
      <c r="H16" t="s">
        <v>0</v>
      </c>
      <c r="I16">
        <v>12688</v>
      </c>
      <c r="J16" s="12">
        <f t="shared" si="0"/>
        <v>7.9962168978562422</v>
      </c>
      <c r="K16" t="s">
        <v>317</v>
      </c>
      <c r="L16" s="11">
        <v>43536.517534722225</v>
      </c>
      <c r="M16" t="s">
        <v>11</v>
      </c>
      <c r="N16" s="24">
        <v>101456</v>
      </c>
      <c r="O16" t="s">
        <v>1</v>
      </c>
      <c r="P16">
        <v>6</v>
      </c>
      <c r="Q16">
        <v>2018</v>
      </c>
      <c r="R16" t="s">
        <v>276</v>
      </c>
      <c r="S16">
        <v>1038</v>
      </c>
      <c r="T16" s="29">
        <v>2019</v>
      </c>
      <c r="Z16" s="20"/>
      <c r="AF16" s="20"/>
      <c r="AL16" s="20"/>
    </row>
    <row r="17" spans="1:38" x14ac:dyDescent="0.25">
      <c r="A17" t="s">
        <v>0</v>
      </c>
      <c r="B17" t="s">
        <v>2</v>
      </c>
      <c r="C17" s="2">
        <v>43282</v>
      </c>
      <c r="D17" s="1">
        <v>29371</v>
      </c>
      <c r="F17">
        <v>2018</v>
      </c>
      <c r="G17">
        <v>12</v>
      </c>
      <c r="H17" t="s">
        <v>0</v>
      </c>
      <c r="I17">
        <v>5706</v>
      </c>
      <c r="J17" s="12">
        <f t="shared" si="0"/>
        <v>8</v>
      </c>
      <c r="K17" t="s">
        <v>318</v>
      </c>
      <c r="L17" s="11">
        <v>43566.276331018518</v>
      </c>
      <c r="M17" t="s">
        <v>11</v>
      </c>
      <c r="N17" s="24">
        <v>45648</v>
      </c>
      <c r="O17" t="s">
        <v>0</v>
      </c>
      <c r="P17">
        <v>3</v>
      </c>
      <c r="Q17">
        <v>2018</v>
      </c>
      <c r="R17" t="s">
        <v>280</v>
      </c>
      <c r="S17">
        <v>22874</v>
      </c>
      <c r="T17" s="29">
        <v>2019</v>
      </c>
      <c r="Z17" s="20"/>
      <c r="AF17" s="20"/>
      <c r="AL17" s="20"/>
    </row>
    <row r="18" spans="1:38" x14ac:dyDescent="0.25">
      <c r="A18" t="s">
        <v>1</v>
      </c>
      <c r="B18" t="s">
        <v>3</v>
      </c>
      <c r="C18" s="2">
        <v>43282</v>
      </c>
      <c r="D18" s="1">
        <v>4170</v>
      </c>
      <c r="F18">
        <v>2018</v>
      </c>
      <c r="G18">
        <v>12</v>
      </c>
      <c r="H18" t="s">
        <v>1</v>
      </c>
      <c r="I18">
        <v>304</v>
      </c>
      <c r="J18" s="12">
        <f t="shared" si="0"/>
        <v>8</v>
      </c>
      <c r="K18" t="s">
        <v>319</v>
      </c>
      <c r="L18" s="11">
        <v>43586.512152777781</v>
      </c>
      <c r="M18" t="s">
        <v>11</v>
      </c>
      <c r="N18" s="24">
        <v>2432</v>
      </c>
      <c r="O18" t="s">
        <v>1</v>
      </c>
      <c r="P18">
        <v>3</v>
      </c>
      <c r="Q18">
        <v>2018</v>
      </c>
      <c r="R18" t="s">
        <v>367</v>
      </c>
      <c r="S18">
        <v>383</v>
      </c>
      <c r="T18" s="29">
        <v>2019</v>
      </c>
      <c r="Z18" s="20"/>
      <c r="AF18" s="20"/>
      <c r="AL18" s="20"/>
    </row>
    <row r="19" spans="1:38" x14ac:dyDescent="0.25">
      <c r="A19" t="s">
        <v>0</v>
      </c>
      <c r="B19" t="s">
        <v>2</v>
      </c>
      <c r="C19" s="2">
        <v>43313</v>
      </c>
      <c r="D19" s="1">
        <v>31137</v>
      </c>
      <c r="O19" t="s">
        <v>1</v>
      </c>
      <c r="P19">
        <v>3</v>
      </c>
      <c r="Q19">
        <v>2018</v>
      </c>
      <c r="R19" t="s">
        <v>355</v>
      </c>
      <c r="S19">
        <v>2689</v>
      </c>
      <c r="T19" s="29">
        <v>2019</v>
      </c>
      <c r="Z19" s="20"/>
      <c r="AF19" s="18"/>
      <c r="AL19" s="18"/>
    </row>
    <row r="20" spans="1:38" x14ac:dyDescent="0.25">
      <c r="A20" t="s">
        <v>1</v>
      </c>
      <c r="B20" t="s">
        <v>3</v>
      </c>
      <c r="C20" s="2">
        <v>43313</v>
      </c>
      <c r="D20" s="1">
        <v>4422</v>
      </c>
      <c r="J20" s="12"/>
      <c r="L20" s="11"/>
      <c r="O20" t="s">
        <v>1</v>
      </c>
      <c r="P20">
        <v>3</v>
      </c>
      <c r="Q20">
        <v>2018</v>
      </c>
      <c r="R20" t="s">
        <v>366</v>
      </c>
      <c r="S20">
        <v>1210</v>
      </c>
      <c r="T20" s="29">
        <v>2019</v>
      </c>
      <c r="Z20" s="20"/>
    </row>
    <row r="21" spans="1:38" x14ac:dyDescent="0.25">
      <c r="A21" t="s">
        <v>0</v>
      </c>
      <c r="B21" t="s">
        <v>2</v>
      </c>
      <c r="C21" s="2">
        <v>43344</v>
      </c>
      <c r="D21" s="1">
        <v>28811</v>
      </c>
      <c r="J21" s="12"/>
      <c r="L21" s="11"/>
      <c r="N21" s="12"/>
      <c r="O21" t="s">
        <v>0</v>
      </c>
      <c r="P21">
        <v>2</v>
      </c>
      <c r="Q21">
        <v>2018</v>
      </c>
      <c r="R21" t="s">
        <v>535</v>
      </c>
      <c r="S21">
        <v>7001</v>
      </c>
      <c r="T21" s="29">
        <v>2019</v>
      </c>
      <c r="Z21" s="20"/>
    </row>
    <row r="22" spans="1:38" x14ac:dyDescent="0.25">
      <c r="A22" t="s">
        <v>1</v>
      </c>
      <c r="B22" t="s">
        <v>3</v>
      </c>
      <c r="C22" s="2">
        <v>43344</v>
      </c>
      <c r="D22" s="23">
        <v>4092</v>
      </c>
      <c r="J22" s="12"/>
      <c r="L22" s="11"/>
      <c r="N22" s="12"/>
      <c r="O22" t="s">
        <v>1</v>
      </c>
      <c r="P22">
        <v>2</v>
      </c>
      <c r="Q22">
        <v>2018</v>
      </c>
      <c r="R22" t="s">
        <v>357</v>
      </c>
      <c r="S22">
        <v>2072</v>
      </c>
      <c r="T22" s="29">
        <v>2019</v>
      </c>
      <c r="Z22" s="20"/>
    </row>
    <row r="23" spans="1:38" x14ac:dyDescent="0.25">
      <c r="A23" t="s">
        <v>0</v>
      </c>
      <c r="B23" t="s">
        <v>2</v>
      </c>
      <c r="C23" s="2">
        <v>43374</v>
      </c>
      <c r="D23" s="23">
        <v>31486</v>
      </c>
      <c r="J23" s="12"/>
      <c r="L23" s="11"/>
      <c r="N23" s="12"/>
      <c r="O23" t="s">
        <v>1</v>
      </c>
      <c r="P23">
        <v>2</v>
      </c>
      <c r="Q23">
        <v>2018</v>
      </c>
      <c r="R23" t="s">
        <v>356</v>
      </c>
      <c r="S23">
        <v>1136</v>
      </c>
      <c r="T23" s="29">
        <v>2019</v>
      </c>
      <c r="Z23" s="20"/>
    </row>
    <row r="24" spans="1:38" x14ac:dyDescent="0.25">
      <c r="A24" t="s">
        <v>1</v>
      </c>
      <c r="B24" t="s">
        <v>3</v>
      </c>
      <c r="C24" s="2">
        <v>43374</v>
      </c>
      <c r="D24" s="1">
        <v>4471</v>
      </c>
      <c r="J24" s="12"/>
      <c r="L24" s="11"/>
      <c r="O24" t="s">
        <v>1</v>
      </c>
      <c r="P24">
        <v>1</v>
      </c>
      <c r="Q24">
        <v>2018</v>
      </c>
      <c r="R24" t="s">
        <v>275</v>
      </c>
      <c r="S24">
        <v>4356</v>
      </c>
      <c r="T24" s="29">
        <v>2019</v>
      </c>
      <c r="Z24" s="20"/>
    </row>
    <row r="25" spans="1:38" x14ac:dyDescent="0.25">
      <c r="A25" t="s">
        <v>0</v>
      </c>
      <c r="B25" t="s">
        <v>2</v>
      </c>
      <c r="C25" s="2">
        <v>43405</v>
      </c>
      <c r="D25" s="1">
        <v>29833</v>
      </c>
      <c r="J25" s="12"/>
      <c r="L25" s="4"/>
      <c r="O25" t="s">
        <v>0</v>
      </c>
      <c r="P25">
        <v>1</v>
      </c>
      <c r="Q25">
        <v>2018</v>
      </c>
      <c r="R25" t="s">
        <v>278</v>
      </c>
      <c r="S25">
        <v>2425</v>
      </c>
      <c r="T25" s="29">
        <v>2019</v>
      </c>
    </row>
    <row r="26" spans="1:38" x14ac:dyDescent="0.25">
      <c r="A26" t="s">
        <v>1</v>
      </c>
      <c r="B26" t="s">
        <v>3</v>
      </c>
      <c r="C26" s="2">
        <v>43405</v>
      </c>
      <c r="D26" s="1">
        <v>4237</v>
      </c>
      <c r="J26" s="12"/>
      <c r="O26" t="s">
        <v>0</v>
      </c>
      <c r="P26">
        <v>12</v>
      </c>
      <c r="Q26">
        <v>2018</v>
      </c>
      <c r="R26" t="s">
        <v>325</v>
      </c>
      <c r="S26">
        <v>24810</v>
      </c>
      <c r="T26" s="29">
        <v>2019</v>
      </c>
    </row>
    <row r="27" spans="1:38" x14ac:dyDescent="0.25">
      <c r="A27" t="s">
        <v>0</v>
      </c>
      <c r="B27" t="s">
        <v>2</v>
      </c>
      <c r="C27" s="2">
        <v>43435</v>
      </c>
      <c r="D27" s="1">
        <v>30612</v>
      </c>
      <c r="J27" s="12"/>
      <c r="O27" t="s">
        <v>1</v>
      </c>
      <c r="P27">
        <v>12</v>
      </c>
      <c r="Q27">
        <v>2018</v>
      </c>
      <c r="R27" t="s">
        <v>324</v>
      </c>
      <c r="S27">
        <v>4043</v>
      </c>
      <c r="T27" s="29">
        <v>2019</v>
      </c>
    </row>
    <row r="28" spans="1:38" x14ac:dyDescent="0.25">
      <c r="A28" t="s">
        <v>1</v>
      </c>
      <c r="B28" t="s">
        <v>3</v>
      </c>
      <c r="C28" s="2">
        <v>43435</v>
      </c>
      <c r="D28" s="1">
        <v>4347</v>
      </c>
    </row>
    <row r="29" spans="1:38" x14ac:dyDescent="0.25">
      <c r="D29" s="3">
        <f>SUM(D5:D28)</f>
        <v>336987</v>
      </c>
      <c r="I29" s="3">
        <f>SUM(I5:I28)</f>
        <v>173497</v>
      </c>
      <c r="J29" s="12">
        <f t="shared" ref="J29" si="1">N29/I29</f>
        <v>7.9955734104912475</v>
      </c>
      <c r="N29" s="3">
        <f>SUM(N5:N28)</f>
        <v>1387208</v>
      </c>
      <c r="S29" s="3">
        <f>SUM(S5:S28)</f>
        <v>154221</v>
      </c>
      <c r="T29" s="3"/>
      <c r="Z29" s="3">
        <f>SUM(Z5:Z28)</f>
        <v>0</v>
      </c>
      <c r="AF29" s="3">
        <f>SUM(AF5:AF28)</f>
        <v>981</v>
      </c>
      <c r="AL29" s="3">
        <f>SUM(AL5:AL28)</f>
        <v>8288</v>
      </c>
    </row>
    <row r="33" spans="3:13" x14ac:dyDescent="0.25">
      <c r="C33" s="6" t="s">
        <v>40</v>
      </c>
      <c r="D33" s="1">
        <f>D29</f>
        <v>336987</v>
      </c>
      <c r="G33" s="19"/>
      <c r="K33" s="1">
        <f>ROUNDUP((D33-D34-D36) * (1 - 0.953), 0)</f>
        <v>7638</v>
      </c>
      <c r="L33" s="31" t="s">
        <v>364</v>
      </c>
      <c r="M33" t="s">
        <v>365</v>
      </c>
    </row>
    <row r="34" spans="3:13" x14ac:dyDescent="0.25">
      <c r="C34" s="6" t="s">
        <v>41</v>
      </c>
      <c r="D34" s="13">
        <f>I29</f>
        <v>173497</v>
      </c>
      <c r="E34" s="12">
        <f>J29</f>
        <v>7.9955734104912475</v>
      </c>
      <c r="F34" s="12">
        <f>D34 * E34</f>
        <v>1387208</v>
      </c>
      <c r="G34" s="19" t="s">
        <v>433</v>
      </c>
      <c r="M34" t="str">
        <f>"so " &amp; FIXED(K33, 0, FALSE) &amp; " need to be put in the Old Growth Subaccount"</f>
        <v>so 7,638 need to be put in the Old Growth Subaccount</v>
      </c>
    </row>
    <row r="35" spans="3:13" x14ac:dyDescent="0.25">
      <c r="C35" s="6" t="s">
        <v>242</v>
      </c>
      <c r="D35" s="13">
        <f>S29</f>
        <v>154221</v>
      </c>
      <c r="G35" s="19" t="s">
        <v>544</v>
      </c>
      <c r="M35" s="31" t="s">
        <v>430</v>
      </c>
    </row>
    <row r="36" spans="3:13" x14ac:dyDescent="0.25">
      <c r="C36" s="6" t="s">
        <v>260</v>
      </c>
      <c r="D36" s="13">
        <f>AF29</f>
        <v>981</v>
      </c>
      <c r="G36" s="19" t="s">
        <v>544</v>
      </c>
    </row>
    <row r="37" spans="3:13" x14ac:dyDescent="0.25">
      <c r="C37" s="6" t="s">
        <v>350</v>
      </c>
      <c r="D37" s="13">
        <f>AL29</f>
        <v>8288</v>
      </c>
      <c r="G37" s="19" t="s">
        <v>544</v>
      </c>
      <c r="K37" s="30">
        <f>1 - D37 / (D33 - D34 - D36)</f>
        <v>0.94899974770628093</v>
      </c>
      <c r="L37" t="s">
        <v>361</v>
      </c>
    </row>
    <row r="38" spans="3:13" x14ac:dyDescent="0.25">
      <c r="C38" s="6"/>
      <c r="D38" s="13"/>
      <c r="G38" s="19"/>
      <c r="L38" s="31" t="s">
        <v>363</v>
      </c>
    </row>
    <row r="39" spans="3:13" x14ac:dyDescent="0.25">
      <c r="C39" s="6" t="s">
        <v>291</v>
      </c>
      <c r="D39" s="13">
        <f>D33 - D34 - D35 - D36 - D37</f>
        <v>0</v>
      </c>
      <c r="G39" s="19" t="s">
        <v>544</v>
      </c>
    </row>
    <row r="40" spans="3:13" x14ac:dyDescent="0.25">
      <c r="C40" s="6" t="s">
        <v>290</v>
      </c>
      <c r="D40" s="1">
        <f>D39 + D37</f>
        <v>8288</v>
      </c>
      <c r="G40" s="19"/>
    </row>
    <row r="41" spans="3:13" x14ac:dyDescent="0.25">
      <c r="C41" s="6" t="s">
        <v>351</v>
      </c>
      <c r="D41" s="1">
        <f>D39 - Z29</f>
        <v>0</v>
      </c>
    </row>
    <row r="43" spans="3:13" x14ac:dyDescent="0.25">
      <c r="C43" s="36" t="s">
        <v>537</v>
      </c>
      <c r="D43" s="28">
        <v>2018</v>
      </c>
      <c r="E43" s="28">
        <v>2019</v>
      </c>
    </row>
    <row r="44" spans="3:13" x14ac:dyDescent="0.25">
      <c r="C44" s="6" t="s">
        <v>246</v>
      </c>
      <c r="D44" s="1">
        <f>SUMIF($T$5:$T$28, D43, $S$5:$S$28)</f>
        <v>0</v>
      </c>
      <c r="E44" s="1">
        <f>SUMIF($T$5:$T$28, E43, $S$5:$S$28)</f>
        <v>154221</v>
      </c>
    </row>
  </sheetData>
  <sortState xmlns:xlrd2="http://schemas.microsoft.com/office/spreadsheetml/2017/richdata2" ref="AH5:AL7">
    <sortCondition ref="AI5:AI7"/>
  </sortState>
  <pageMargins left="0.2" right="0.2" top="0.75" bottom="0.75" header="0.3" footer="0.3"/>
  <pageSetup scale="57" orientation="landscape" r:id="rId1"/>
  <headerFoot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autoPageBreaks="0" fitToPage="1"/>
  </sheetPr>
  <dimension ref="A1:AH41"/>
  <sheetViews>
    <sheetView showGridLines="0" zoomScaleNormal="100" workbookViewId="0"/>
  </sheetViews>
  <sheetFormatPr defaultRowHeight="15" x14ac:dyDescent="0.25"/>
  <cols>
    <col min="4" max="4" width="9.7109375" customWidth="1"/>
    <col min="6" max="6" width="25.42578125" bestFit="1" customWidth="1"/>
    <col min="12" max="12" width="7.7109375" customWidth="1"/>
    <col min="13" max="13" width="23.28515625" customWidth="1"/>
    <col min="14" max="14" width="10.7109375" customWidth="1"/>
    <col min="15" max="15" width="30.28515625" bestFit="1" customWidth="1"/>
    <col min="16" max="16" width="10.42578125" bestFit="1" customWidth="1"/>
    <col min="20" max="20" width="28.7109375" bestFit="1" customWidth="1"/>
    <col min="27" max="27" width="28.7109375" bestFit="1" customWidth="1"/>
    <col min="33" max="33" width="28.7109375" bestFit="1" customWidth="1"/>
  </cols>
  <sheetData>
    <row r="1" spans="1:34" ht="18.75" x14ac:dyDescent="0.3">
      <c r="A1" s="8">
        <v>2018</v>
      </c>
    </row>
    <row r="3" spans="1:34" ht="18.75" x14ac:dyDescent="0.3">
      <c r="A3" s="5" t="s">
        <v>80</v>
      </c>
      <c r="H3" s="5" t="s">
        <v>9</v>
      </c>
      <c r="Q3" s="5" t="s">
        <v>241</v>
      </c>
      <c r="X3" s="5" t="s">
        <v>43</v>
      </c>
      <c r="AD3" s="5" t="s">
        <v>260</v>
      </c>
    </row>
    <row r="4" spans="1:34" x14ac:dyDescent="0.25">
      <c r="A4" t="s">
        <v>34</v>
      </c>
      <c r="B4" t="s">
        <v>35</v>
      </c>
      <c r="C4" t="s">
        <v>4</v>
      </c>
      <c r="D4" t="s">
        <v>5</v>
      </c>
      <c r="E4" t="s">
        <v>36</v>
      </c>
      <c r="F4" t="s">
        <v>37</v>
      </c>
      <c r="H4" t="s">
        <v>34</v>
      </c>
      <c r="I4" t="s">
        <v>35</v>
      </c>
      <c r="J4" t="s">
        <v>4</v>
      </c>
      <c r="K4" t="s">
        <v>36</v>
      </c>
      <c r="L4" t="s">
        <v>118</v>
      </c>
      <c r="M4" t="s">
        <v>37</v>
      </c>
      <c r="N4" t="s">
        <v>38</v>
      </c>
      <c r="O4" s="21" t="s">
        <v>39</v>
      </c>
      <c r="Q4" t="s">
        <v>4</v>
      </c>
      <c r="R4" t="s">
        <v>44</v>
      </c>
      <c r="S4" t="s">
        <v>45</v>
      </c>
      <c r="T4" t="s">
        <v>37</v>
      </c>
      <c r="U4" t="s">
        <v>36</v>
      </c>
      <c r="V4" t="s">
        <v>358</v>
      </c>
      <c r="X4" t="s">
        <v>4</v>
      </c>
      <c r="Y4" t="s">
        <v>44</v>
      </c>
      <c r="Z4" t="s">
        <v>45</v>
      </c>
      <c r="AA4" t="s">
        <v>37</v>
      </c>
      <c r="AB4" t="s">
        <v>36</v>
      </c>
      <c r="AD4" t="s">
        <v>4</v>
      </c>
      <c r="AE4" t="s">
        <v>44</v>
      </c>
      <c r="AF4" t="s">
        <v>45</v>
      </c>
      <c r="AG4" t="s">
        <v>37</v>
      </c>
      <c r="AH4" t="s">
        <v>36</v>
      </c>
    </row>
    <row r="5" spans="1:34" x14ac:dyDescent="0.25">
      <c r="A5">
        <v>2018</v>
      </c>
      <c r="B5">
        <v>1</v>
      </c>
      <c r="C5" t="s">
        <v>66</v>
      </c>
      <c r="D5" t="s">
        <v>67</v>
      </c>
      <c r="E5" s="10">
        <v>39160</v>
      </c>
      <c r="F5" s="1" t="s">
        <v>292</v>
      </c>
      <c r="H5">
        <v>2018</v>
      </c>
      <c r="I5">
        <v>3</v>
      </c>
      <c r="J5" t="s">
        <v>66</v>
      </c>
      <c r="K5">
        <v>815</v>
      </c>
      <c r="L5" s="12">
        <f>IFERROR(P5/K5, 0)</f>
        <v>7.882208588957055</v>
      </c>
      <c r="M5" t="s">
        <v>301</v>
      </c>
      <c r="N5" s="11">
        <v>43292.58625</v>
      </c>
      <c r="O5" s="21" t="s">
        <v>11</v>
      </c>
      <c r="P5" s="24">
        <v>6424</v>
      </c>
      <c r="Q5" t="s">
        <v>66</v>
      </c>
      <c r="R5">
        <v>1</v>
      </c>
      <c r="S5">
        <v>2018</v>
      </c>
      <c r="T5" t="s">
        <v>335</v>
      </c>
      <c r="U5">
        <v>56</v>
      </c>
      <c r="V5" s="29">
        <v>2017</v>
      </c>
      <c r="AD5" t="s">
        <v>66</v>
      </c>
      <c r="AE5">
        <v>9</v>
      </c>
      <c r="AF5">
        <v>2018</v>
      </c>
      <c r="AG5" t="s">
        <v>338</v>
      </c>
      <c r="AH5">
        <v>27</v>
      </c>
    </row>
    <row r="6" spans="1:34" x14ac:dyDescent="0.25">
      <c r="A6">
        <v>2018</v>
      </c>
      <c r="B6">
        <v>2</v>
      </c>
      <c r="C6" t="s">
        <v>66</v>
      </c>
      <c r="D6" t="s">
        <v>67</v>
      </c>
      <c r="E6" s="10">
        <v>36979</v>
      </c>
      <c r="F6" s="1" t="s">
        <v>293</v>
      </c>
      <c r="H6">
        <v>2018</v>
      </c>
      <c r="I6">
        <v>4</v>
      </c>
      <c r="J6" t="s">
        <v>66</v>
      </c>
      <c r="K6">
        <v>155</v>
      </c>
      <c r="L6" s="12">
        <f t="shared" ref="L6:L12" si="0">IFERROR(P6/K6, 0)</f>
        <v>8</v>
      </c>
      <c r="M6" t="s">
        <v>302</v>
      </c>
      <c r="N6" s="11">
        <v>43311.314618055556</v>
      </c>
      <c r="O6" s="21" t="s">
        <v>11</v>
      </c>
      <c r="P6" s="24">
        <v>1240</v>
      </c>
      <c r="Q6" t="s">
        <v>66</v>
      </c>
      <c r="R6">
        <v>1</v>
      </c>
      <c r="S6">
        <v>2018</v>
      </c>
      <c r="T6" t="s">
        <v>401</v>
      </c>
      <c r="U6">
        <v>6539</v>
      </c>
      <c r="V6" s="29">
        <v>2017</v>
      </c>
      <c r="AD6" t="s">
        <v>66</v>
      </c>
      <c r="AE6">
        <v>2</v>
      </c>
      <c r="AF6">
        <v>2018</v>
      </c>
      <c r="AG6" t="s">
        <v>313</v>
      </c>
      <c r="AH6">
        <v>418</v>
      </c>
    </row>
    <row r="7" spans="1:34" x14ac:dyDescent="0.25">
      <c r="A7">
        <v>2018</v>
      </c>
      <c r="B7">
        <v>3</v>
      </c>
      <c r="C7" t="s">
        <v>66</v>
      </c>
      <c r="D7" t="s">
        <v>67</v>
      </c>
      <c r="E7">
        <v>34318</v>
      </c>
      <c r="F7" s="1" t="s">
        <v>294</v>
      </c>
      <c r="H7">
        <v>2018</v>
      </c>
      <c r="I7">
        <v>5</v>
      </c>
      <c r="J7" t="s">
        <v>66</v>
      </c>
      <c r="K7">
        <v>367</v>
      </c>
      <c r="L7" s="12">
        <f t="shared" si="0"/>
        <v>7.1498637602179835</v>
      </c>
      <c r="M7" t="s">
        <v>303</v>
      </c>
      <c r="N7" s="11">
        <v>43342.320844907408</v>
      </c>
      <c r="O7" s="21" t="s">
        <v>11</v>
      </c>
      <c r="P7" s="24">
        <v>2624</v>
      </c>
      <c r="Q7" t="s">
        <v>66</v>
      </c>
      <c r="R7">
        <v>2</v>
      </c>
      <c r="S7">
        <v>2018</v>
      </c>
      <c r="T7" t="s">
        <v>308</v>
      </c>
      <c r="U7">
        <v>36561</v>
      </c>
      <c r="V7" s="29">
        <v>2018</v>
      </c>
      <c r="AD7" t="s">
        <v>66</v>
      </c>
      <c r="AE7">
        <v>12</v>
      </c>
      <c r="AF7">
        <v>2018</v>
      </c>
      <c r="AG7" t="s">
        <v>339</v>
      </c>
      <c r="AH7">
        <v>196</v>
      </c>
    </row>
    <row r="8" spans="1:34" x14ac:dyDescent="0.25">
      <c r="A8">
        <v>2018</v>
      </c>
      <c r="B8">
        <v>4</v>
      </c>
      <c r="C8" t="s">
        <v>66</v>
      </c>
      <c r="D8" t="s">
        <v>67</v>
      </c>
      <c r="E8">
        <v>33275</v>
      </c>
      <c r="F8" s="1" t="s">
        <v>295</v>
      </c>
      <c r="H8">
        <v>2018</v>
      </c>
      <c r="I8">
        <v>6</v>
      </c>
      <c r="J8" t="s">
        <v>66</v>
      </c>
      <c r="K8">
        <v>2045</v>
      </c>
      <c r="L8" s="12">
        <f t="shared" si="0"/>
        <v>7.812224938875306</v>
      </c>
      <c r="M8" t="s">
        <v>304</v>
      </c>
      <c r="N8" s="11">
        <v>43376.370844907404</v>
      </c>
      <c r="O8" s="21" t="s">
        <v>11</v>
      </c>
      <c r="P8" s="24">
        <v>15976</v>
      </c>
      <c r="Q8" t="s">
        <v>66</v>
      </c>
      <c r="R8">
        <v>3</v>
      </c>
      <c r="S8">
        <v>2018</v>
      </c>
      <c r="T8" t="s">
        <v>310</v>
      </c>
      <c r="U8">
        <v>33503</v>
      </c>
      <c r="V8" s="29">
        <v>2018</v>
      </c>
      <c r="AD8" t="s">
        <v>66</v>
      </c>
      <c r="AE8">
        <v>1</v>
      </c>
      <c r="AF8">
        <v>2018</v>
      </c>
      <c r="AG8" t="s">
        <v>340</v>
      </c>
      <c r="AH8">
        <v>466</v>
      </c>
    </row>
    <row r="9" spans="1:34" x14ac:dyDescent="0.25">
      <c r="A9">
        <v>2018</v>
      </c>
      <c r="B9">
        <v>5</v>
      </c>
      <c r="C9" t="s">
        <v>66</v>
      </c>
      <c r="D9" t="s">
        <v>67</v>
      </c>
      <c r="E9">
        <v>18977</v>
      </c>
      <c r="F9" s="1" t="s">
        <v>296</v>
      </c>
      <c r="H9">
        <v>2018</v>
      </c>
      <c r="I9">
        <v>7</v>
      </c>
      <c r="J9" t="s">
        <v>66</v>
      </c>
      <c r="K9">
        <v>1142</v>
      </c>
      <c r="L9" s="12">
        <f t="shared" si="0"/>
        <v>7.6322241681260943</v>
      </c>
      <c r="M9" t="s">
        <v>305</v>
      </c>
      <c r="N9" s="11">
        <v>43406.424293981479</v>
      </c>
      <c r="O9" s="21" t="s">
        <v>11</v>
      </c>
      <c r="P9" s="24">
        <v>8716</v>
      </c>
      <c r="Q9" t="s">
        <v>66</v>
      </c>
      <c r="R9">
        <v>4</v>
      </c>
      <c r="S9">
        <v>2018</v>
      </c>
      <c r="T9" t="s">
        <v>309</v>
      </c>
      <c r="U9">
        <v>33120</v>
      </c>
      <c r="V9" s="29">
        <v>2018</v>
      </c>
      <c r="AD9" t="s">
        <v>66</v>
      </c>
      <c r="AE9">
        <v>7</v>
      </c>
      <c r="AF9">
        <v>2018</v>
      </c>
      <c r="AG9" t="s">
        <v>341</v>
      </c>
      <c r="AH9">
        <v>703</v>
      </c>
    </row>
    <row r="10" spans="1:34" x14ac:dyDescent="0.25">
      <c r="A10">
        <v>2018</v>
      </c>
      <c r="B10">
        <v>6</v>
      </c>
      <c r="C10" t="s">
        <v>66</v>
      </c>
      <c r="D10" t="s">
        <v>67</v>
      </c>
      <c r="E10">
        <v>24888</v>
      </c>
      <c r="F10" s="1" t="s">
        <v>297</v>
      </c>
      <c r="H10">
        <v>2018</v>
      </c>
      <c r="I10">
        <v>9</v>
      </c>
      <c r="J10" t="s">
        <v>66</v>
      </c>
      <c r="K10">
        <v>90</v>
      </c>
      <c r="L10" s="12">
        <f t="shared" si="0"/>
        <v>8</v>
      </c>
      <c r="M10" t="s">
        <v>306</v>
      </c>
      <c r="N10" s="11">
        <v>43467.481990740744</v>
      </c>
      <c r="O10" s="21" t="s">
        <v>11</v>
      </c>
      <c r="P10" s="24">
        <v>720</v>
      </c>
      <c r="Q10" t="s">
        <v>66</v>
      </c>
      <c r="R10">
        <v>5</v>
      </c>
      <c r="S10">
        <v>2018</v>
      </c>
      <c r="T10" t="s">
        <v>307</v>
      </c>
      <c r="U10">
        <v>18610</v>
      </c>
      <c r="V10" s="29">
        <v>2018</v>
      </c>
      <c r="AD10" t="s">
        <v>66</v>
      </c>
      <c r="AE10">
        <v>8</v>
      </c>
      <c r="AF10">
        <v>2018</v>
      </c>
      <c r="AG10" t="s">
        <v>314</v>
      </c>
      <c r="AH10">
        <v>160</v>
      </c>
    </row>
    <row r="11" spans="1:34" x14ac:dyDescent="0.25">
      <c r="A11">
        <v>2018</v>
      </c>
      <c r="B11">
        <v>7</v>
      </c>
      <c r="C11" t="s">
        <v>66</v>
      </c>
      <c r="D11" t="s">
        <v>67</v>
      </c>
      <c r="E11">
        <v>16868</v>
      </c>
      <c r="F11" s="1" t="s">
        <v>298</v>
      </c>
      <c r="H11">
        <v>2018</v>
      </c>
      <c r="I11">
        <v>11</v>
      </c>
      <c r="J11" t="s">
        <v>66</v>
      </c>
      <c r="K11">
        <v>142</v>
      </c>
      <c r="L11" s="12">
        <f t="shared" si="0"/>
        <v>8</v>
      </c>
      <c r="M11" t="s">
        <v>331</v>
      </c>
      <c r="N11" s="11">
        <v>43536.517534722225</v>
      </c>
      <c r="O11" s="21" t="s">
        <v>11</v>
      </c>
      <c r="P11" s="24">
        <v>1136</v>
      </c>
      <c r="Q11" t="s">
        <v>66</v>
      </c>
      <c r="R11">
        <v>6</v>
      </c>
      <c r="S11">
        <v>2018</v>
      </c>
      <c r="T11" t="s">
        <v>312</v>
      </c>
      <c r="U11">
        <v>22843</v>
      </c>
      <c r="V11" s="29">
        <v>2018</v>
      </c>
      <c r="AD11" t="s">
        <v>66</v>
      </c>
      <c r="AE11">
        <v>8</v>
      </c>
      <c r="AF11">
        <v>2018</v>
      </c>
      <c r="AG11" t="s">
        <v>342</v>
      </c>
      <c r="AH11">
        <v>123</v>
      </c>
    </row>
    <row r="12" spans="1:34" x14ac:dyDescent="0.25">
      <c r="A12">
        <v>2018</v>
      </c>
      <c r="B12">
        <v>8</v>
      </c>
      <c r="C12" t="s">
        <v>66</v>
      </c>
      <c r="D12" t="s">
        <v>67</v>
      </c>
      <c r="E12">
        <v>21475</v>
      </c>
      <c r="F12" s="1" t="s">
        <v>299</v>
      </c>
      <c r="H12">
        <v>2018</v>
      </c>
      <c r="I12">
        <v>12</v>
      </c>
      <c r="J12" t="s">
        <v>66</v>
      </c>
      <c r="K12">
        <v>126</v>
      </c>
      <c r="L12" s="12">
        <f t="shared" si="0"/>
        <v>8</v>
      </c>
      <c r="M12" t="s">
        <v>332</v>
      </c>
      <c r="N12" s="11">
        <v>43566.276331018518</v>
      </c>
      <c r="O12" s="21" t="s">
        <v>11</v>
      </c>
      <c r="P12" s="24">
        <v>1008</v>
      </c>
      <c r="Q12" t="s">
        <v>66</v>
      </c>
      <c r="R12">
        <v>7</v>
      </c>
      <c r="S12">
        <v>2018</v>
      </c>
      <c r="T12" t="s">
        <v>334</v>
      </c>
      <c r="U12">
        <v>7</v>
      </c>
      <c r="V12" s="29">
        <v>2018</v>
      </c>
      <c r="AD12" t="s">
        <v>66</v>
      </c>
      <c r="AE12">
        <v>11</v>
      </c>
      <c r="AF12">
        <v>2018</v>
      </c>
      <c r="AG12" t="s">
        <v>343</v>
      </c>
      <c r="AH12">
        <v>353</v>
      </c>
    </row>
    <row r="13" spans="1:34" x14ac:dyDescent="0.25">
      <c r="A13">
        <v>2018</v>
      </c>
      <c r="B13">
        <v>9</v>
      </c>
      <c r="C13" t="s">
        <v>66</v>
      </c>
      <c r="D13" t="s">
        <v>67</v>
      </c>
      <c r="E13">
        <v>19654</v>
      </c>
      <c r="F13" s="1" t="s">
        <v>300</v>
      </c>
      <c r="L13" s="12"/>
      <c r="N13" s="4"/>
      <c r="Q13" t="s">
        <v>66</v>
      </c>
      <c r="R13">
        <v>7</v>
      </c>
      <c r="S13">
        <v>2018</v>
      </c>
      <c r="T13" t="s">
        <v>311</v>
      </c>
      <c r="U13">
        <v>15016</v>
      </c>
      <c r="V13" s="29">
        <v>2018</v>
      </c>
    </row>
    <row r="14" spans="1:34" x14ac:dyDescent="0.25">
      <c r="A14">
        <v>2018</v>
      </c>
      <c r="B14">
        <v>10</v>
      </c>
      <c r="C14" t="s">
        <v>66</v>
      </c>
      <c r="D14" t="s">
        <v>67</v>
      </c>
      <c r="E14">
        <v>19011</v>
      </c>
      <c r="F14" s="1" t="s">
        <v>328</v>
      </c>
      <c r="L14" s="12"/>
      <c r="N14" s="4"/>
      <c r="Q14" t="s">
        <v>66</v>
      </c>
      <c r="R14">
        <v>8</v>
      </c>
      <c r="S14">
        <v>2018</v>
      </c>
      <c r="T14" t="s">
        <v>333</v>
      </c>
      <c r="U14">
        <v>21192</v>
      </c>
      <c r="V14" s="29">
        <v>2018</v>
      </c>
    </row>
    <row r="15" spans="1:34" x14ac:dyDescent="0.25">
      <c r="A15">
        <v>2018</v>
      </c>
      <c r="B15">
        <v>11</v>
      </c>
      <c r="C15" t="s">
        <v>66</v>
      </c>
      <c r="D15" t="s">
        <v>67</v>
      </c>
      <c r="E15">
        <v>30146</v>
      </c>
      <c r="F15" s="1" t="s">
        <v>329</v>
      </c>
      <c r="L15" s="12"/>
      <c r="N15" s="4"/>
      <c r="Q15" t="s">
        <v>66</v>
      </c>
      <c r="R15">
        <v>9</v>
      </c>
      <c r="S15">
        <v>2018</v>
      </c>
      <c r="T15" t="s">
        <v>337</v>
      </c>
      <c r="U15">
        <v>19537</v>
      </c>
      <c r="V15" s="29">
        <v>2018</v>
      </c>
    </row>
    <row r="16" spans="1:34" x14ac:dyDescent="0.25">
      <c r="A16">
        <v>2018</v>
      </c>
      <c r="B16">
        <v>12</v>
      </c>
      <c r="C16" t="s">
        <v>66</v>
      </c>
      <c r="D16" t="s">
        <v>67</v>
      </c>
      <c r="E16">
        <v>32421</v>
      </c>
      <c r="F16" s="1" t="s">
        <v>330</v>
      </c>
      <c r="L16" s="12"/>
      <c r="N16" s="4"/>
      <c r="Q16" t="s">
        <v>66</v>
      </c>
      <c r="R16">
        <v>10</v>
      </c>
      <c r="S16">
        <v>2018</v>
      </c>
      <c r="T16" t="s">
        <v>328</v>
      </c>
      <c r="U16">
        <v>19011</v>
      </c>
      <c r="V16" s="29">
        <v>2018</v>
      </c>
    </row>
    <row r="17" spans="3:34" x14ac:dyDescent="0.25">
      <c r="F17" s="1"/>
      <c r="L17" s="12"/>
      <c r="N17" s="4"/>
      <c r="Q17" t="s">
        <v>66</v>
      </c>
      <c r="R17">
        <v>11</v>
      </c>
      <c r="S17">
        <v>2018</v>
      </c>
      <c r="T17" t="s">
        <v>432</v>
      </c>
      <c r="U17">
        <v>15806</v>
      </c>
      <c r="V17" s="29">
        <v>2018</v>
      </c>
      <c r="AE17" s="9"/>
      <c r="AH17" s="22"/>
    </row>
    <row r="18" spans="3:34" x14ac:dyDescent="0.25">
      <c r="F18" s="1"/>
      <c r="L18" s="12"/>
      <c r="N18" s="4"/>
      <c r="Q18" t="s">
        <v>66</v>
      </c>
      <c r="R18">
        <v>12</v>
      </c>
      <c r="S18">
        <v>2018</v>
      </c>
      <c r="T18" t="s">
        <v>336</v>
      </c>
      <c r="U18">
        <v>32099</v>
      </c>
      <c r="V18" s="29">
        <v>2018</v>
      </c>
      <c r="AE18" s="9"/>
      <c r="AH18" s="22"/>
    </row>
    <row r="19" spans="3:34" x14ac:dyDescent="0.25">
      <c r="F19" s="1"/>
      <c r="L19" s="12"/>
      <c r="N19" s="4"/>
      <c r="Q19" t="s">
        <v>66</v>
      </c>
      <c r="R19">
        <v>1</v>
      </c>
      <c r="S19">
        <v>2018</v>
      </c>
      <c r="T19" t="s">
        <v>402</v>
      </c>
      <c r="U19">
        <v>32099</v>
      </c>
      <c r="V19" s="29">
        <v>2019</v>
      </c>
      <c r="AE19" s="9"/>
      <c r="AH19" s="22"/>
    </row>
    <row r="20" spans="3:34" x14ac:dyDescent="0.25">
      <c r="E20" s="2"/>
      <c r="F20" s="1"/>
      <c r="L20" s="12"/>
      <c r="N20" s="4"/>
      <c r="Q20" t="s">
        <v>66</v>
      </c>
      <c r="R20">
        <v>11</v>
      </c>
      <c r="S20">
        <v>2018</v>
      </c>
      <c r="T20" t="s">
        <v>431</v>
      </c>
      <c r="U20">
        <v>13845</v>
      </c>
      <c r="V20" s="29">
        <v>2019</v>
      </c>
    </row>
    <row r="21" spans="3:34" x14ac:dyDescent="0.25">
      <c r="E21" s="2"/>
      <c r="F21" s="1"/>
      <c r="L21" s="12"/>
      <c r="N21" s="4"/>
    </row>
    <row r="22" spans="3:34" x14ac:dyDescent="0.25">
      <c r="E22" s="2"/>
      <c r="F22" s="1"/>
      <c r="L22" s="12"/>
      <c r="N22" s="4"/>
    </row>
    <row r="23" spans="3:34" x14ac:dyDescent="0.25">
      <c r="E23" s="2"/>
      <c r="F23" s="1"/>
      <c r="L23" s="12"/>
      <c r="N23" s="4"/>
    </row>
    <row r="24" spans="3:34" x14ac:dyDescent="0.25">
      <c r="E24" s="2"/>
      <c r="F24" s="1"/>
      <c r="L24" s="12"/>
      <c r="N24" s="4"/>
    </row>
    <row r="25" spans="3:34" x14ac:dyDescent="0.25">
      <c r="E25" s="2"/>
      <c r="F25" s="1"/>
      <c r="L25" s="12"/>
      <c r="N25" s="4"/>
    </row>
    <row r="26" spans="3:34" x14ac:dyDescent="0.25">
      <c r="E26" s="2"/>
      <c r="F26" s="1"/>
      <c r="L26" s="12"/>
      <c r="N26" s="4"/>
    </row>
    <row r="27" spans="3:34" x14ac:dyDescent="0.25">
      <c r="E27" s="3">
        <f>SUM(E5:E26)</f>
        <v>327172</v>
      </c>
      <c r="F27" s="3"/>
      <c r="K27" s="3">
        <f>SUM(K5:K26)</f>
        <v>4882</v>
      </c>
      <c r="L27" s="12">
        <f t="shared" ref="L27" si="1">IFERROR(P27/K27, 0)</f>
        <v>7.7517410897173287</v>
      </c>
      <c r="P27" s="3">
        <f>SUM(P5:P26)</f>
        <v>37844</v>
      </c>
      <c r="U27" s="3">
        <f>SUM(U5:U26)</f>
        <v>319844</v>
      </c>
      <c r="AB27" s="3">
        <f>SUM(AB5:AB26)</f>
        <v>0</v>
      </c>
      <c r="AH27" s="3">
        <f>SUM(AH5:AH26)</f>
        <v>2446</v>
      </c>
    </row>
    <row r="31" spans="3:34" x14ac:dyDescent="0.25">
      <c r="C31" s="6" t="s">
        <v>40</v>
      </c>
      <c r="D31" s="1">
        <f>E27</f>
        <v>327172</v>
      </c>
      <c r="G31" s="19"/>
    </row>
    <row r="32" spans="3:34" x14ac:dyDescent="0.25">
      <c r="C32" s="6" t="s">
        <v>41</v>
      </c>
      <c r="D32" s="13">
        <f>K27</f>
        <v>4882</v>
      </c>
      <c r="E32" s="12">
        <f>L27</f>
        <v>7.7517410897173287</v>
      </c>
      <c r="F32" s="12">
        <f>P27</f>
        <v>37844</v>
      </c>
      <c r="G32" s="19" t="s">
        <v>433</v>
      </c>
    </row>
    <row r="33" spans="3:7" x14ac:dyDescent="0.25">
      <c r="C33" s="6" t="s">
        <v>242</v>
      </c>
      <c r="D33" s="34">
        <f>U27</f>
        <v>319844</v>
      </c>
      <c r="G33" s="19" t="s">
        <v>544</v>
      </c>
    </row>
    <row r="34" spans="3:7" x14ac:dyDescent="0.25">
      <c r="C34" s="6" t="s">
        <v>260</v>
      </c>
      <c r="D34" s="7">
        <f>AH27</f>
        <v>2446</v>
      </c>
      <c r="G34" s="19" t="s">
        <v>544</v>
      </c>
    </row>
    <row r="35" spans="3:7" x14ac:dyDescent="0.25">
      <c r="C35" s="6" t="s">
        <v>352</v>
      </c>
      <c r="D35" s="13">
        <f>D31 - SUM(D32:D34)</f>
        <v>0</v>
      </c>
      <c r="G35" s="19" t="s">
        <v>544</v>
      </c>
    </row>
    <row r="36" spans="3:7" x14ac:dyDescent="0.25">
      <c r="C36" s="6" t="s">
        <v>351</v>
      </c>
      <c r="D36" s="13">
        <f>D35 - AB27</f>
        <v>0</v>
      </c>
    </row>
    <row r="37" spans="3:7" x14ac:dyDescent="0.25">
      <c r="C37" s="6"/>
      <c r="D37" s="13"/>
    </row>
    <row r="38" spans="3:7" x14ac:dyDescent="0.25">
      <c r="C38" s="36" t="s">
        <v>537</v>
      </c>
      <c r="D38" s="28">
        <v>2017</v>
      </c>
      <c r="E38" s="28">
        <v>2018</v>
      </c>
      <c r="F38" s="28">
        <v>2019</v>
      </c>
    </row>
    <row r="39" spans="3:7" x14ac:dyDescent="0.25">
      <c r="C39" s="6" t="s">
        <v>246</v>
      </c>
      <c r="D39" s="20">
        <f>SUMIF($V$5:$V$26, D38, $U$5:$U$26)</f>
        <v>6595</v>
      </c>
      <c r="E39" s="20">
        <f>SUMIF($V$5:$V$26, E38, $U$5:$U$26)</f>
        <v>267305</v>
      </c>
      <c r="F39" s="20">
        <f>SUMIF($V$5:$V$26, F38, $U$5:$U$26)</f>
        <v>45944</v>
      </c>
      <c r="G39" s="33">
        <f>SUM(D39:F39)</f>
        <v>319844</v>
      </c>
    </row>
    <row r="40" spans="3:7" x14ac:dyDescent="0.25">
      <c r="C40" s="6" t="s">
        <v>245</v>
      </c>
      <c r="D40" s="16">
        <v>1.2</v>
      </c>
      <c r="E40" s="16">
        <v>1.2</v>
      </c>
      <c r="F40" s="16">
        <v>1.2</v>
      </c>
    </row>
    <row r="41" spans="3:7" x14ac:dyDescent="0.25">
      <c r="C41" s="6" t="s">
        <v>247</v>
      </c>
      <c r="D41" s="1">
        <f>ROUNDDOWN(D39*D40, 0)</f>
        <v>7914</v>
      </c>
      <c r="E41" s="1">
        <f>ROUNDDOWN(E39*E40, 0)</f>
        <v>320766</v>
      </c>
      <c r="F41" s="1">
        <f>ROUNDDOWN(F39*F40, 0)</f>
        <v>55132</v>
      </c>
    </row>
  </sheetData>
  <sortState xmlns:xlrd2="http://schemas.microsoft.com/office/spreadsheetml/2017/richdata2" ref="Q5:V18">
    <sortCondition ref="R5:R18"/>
  </sortState>
  <pageMargins left="0.2" right="0.2" top="0.75" bottom="0.75" header="0.3" footer="0.3"/>
  <pageSetup scale="50" orientation="landscape" r:id="rId1"/>
  <headerFoot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 fitToPage="1"/>
  </sheetPr>
  <dimension ref="A1:AL42"/>
  <sheetViews>
    <sheetView showGridLines="0" zoomScaleNormal="100" workbookViewId="0">
      <selection activeCell="A27" sqref="A27"/>
    </sheetView>
  </sheetViews>
  <sheetFormatPr defaultRowHeight="15" x14ac:dyDescent="0.25"/>
  <cols>
    <col min="2" max="2" width="9.7109375" customWidth="1"/>
    <col min="5" max="5" width="6.7109375" customWidth="1"/>
    <col min="6" max="6" width="13.7109375" customWidth="1"/>
    <col min="10" max="10" width="7.7109375" customWidth="1"/>
    <col min="11" max="11" width="23.28515625" customWidth="1"/>
    <col min="12" max="12" width="10.7109375" customWidth="1"/>
    <col min="13" max="13" width="30.28515625" bestFit="1" customWidth="1"/>
    <col min="14" max="14" width="11.5703125" bestFit="1" customWidth="1"/>
    <col min="18" max="18" width="28.7109375" bestFit="1" customWidth="1"/>
    <col min="25" max="25" width="28.7109375" bestFit="1" customWidth="1"/>
    <col min="31" max="31" width="28.7109375" bestFit="1" customWidth="1"/>
  </cols>
  <sheetData>
    <row r="1" spans="1:38" ht="18.75" x14ac:dyDescent="0.3">
      <c r="A1" s="8">
        <v>2019</v>
      </c>
    </row>
    <row r="3" spans="1:38" ht="18.75" x14ac:dyDescent="0.3">
      <c r="A3" s="5" t="s">
        <v>8</v>
      </c>
      <c r="F3" s="5" t="s">
        <v>9</v>
      </c>
      <c r="O3" s="5" t="s">
        <v>241</v>
      </c>
      <c r="V3" s="5" t="s">
        <v>43</v>
      </c>
      <c r="AB3" s="5" t="s">
        <v>260</v>
      </c>
      <c r="AH3" s="5" t="s">
        <v>350</v>
      </c>
    </row>
    <row r="4" spans="1:38" x14ac:dyDescent="0.25">
      <c r="A4" t="s">
        <v>4</v>
      </c>
      <c r="B4" t="s">
        <v>5</v>
      </c>
      <c r="C4" t="s">
        <v>6</v>
      </c>
      <c r="D4" t="s">
        <v>7</v>
      </c>
      <c r="F4" t="s">
        <v>34</v>
      </c>
      <c r="G4" t="s">
        <v>35</v>
      </c>
      <c r="H4" t="s">
        <v>4</v>
      </c>
      <c r="I4" t="s">
        <v>36</v>
      </c>
      <c r="J4" t="s">
        <v>118</v>
      </c>
      <c r="K4" t="s">
        <v>37</v>
      </c>
      <c r="L4" t="s">
        <v>38</v>
      </c>
      <c r="M4" t="s">
        <v>39</v>
      </c>
      <c r="O4" t="s">
        <v>4</v>
      </c>
      <c r="P4" t="s">
        <v>44</v>
      </c>
      <c r="Q4" t="s">
        <v>45</v>
      </c>
      <c r="R4" t="s">
        <v>37</v>
      </c>
      <c r="S4" t="s">
        <v>36</v>
      </c>
      <c r="T4" t="s">
        <v>358</v>
      </c>
      <c r="V4" t="s">
        <v>4</v>
      </c>
      <c r="W4" t="s">
        <v>44</v>
      </c>
      <c r="X4" t="s">
        <v>45</v>
      </c>
      <c r="Y4" t="s">
        <v>37</v>
      </c>
      <c r="Z4" t="s">
        <v>36</v>
      </c>
      <c r="AB4" t="s">
        <v>4</v>
      </c>
      <c r="AC4" t="s">
        <v>44</v>
      </c>
      <c r="AD4" t="s">
        <v>45</v>
      </c>
      <c r="AE4" t="s">
        <v>37</v>
      </c>
      <c r="AF4" t="s">
        <v>36</v>
      </c>
      <c r="AH4" t="s">
        <v>4</v>
      </c>
      <c r="AI4" t="s">
        <v>44</v>
      </c>
      <c r="AJ4" t="s">
        <v>45</v>
      </c>
      <c r="AK4" t="s">
        <v>37</v>
      </c>
      <c r="AL4" t="s">
        <v>36</v>
      </c>
    </row>
    <row r="5" spans="1:38" x14ac:dyDescent="0.25">
      <c r="A5" t="s">
        <v>1</v>
      </c>
      <c r="B5" t="s">
        <v>3</v>
      </c>
      <c r="C5" s="2">
        <v>43496</v>
      </c>
      <c r="D5" s="18">
        <v>4347</v>
      </c>
      <c r="F5">
        <v>2019</v>
      </c>
      <c r="G5">
        <v>1</v>
      </c>
      <c r="H5" t="s">
        <v>0</v>
      </c>
      <c r="I5">
        <v>132</v>
      </c>
      <c r="J5" s="12">
        <f>IFERROR(N5/I5, 0)</f>
        <v>8</v>
      </c>
      <c r="K5" t="s">
        <v>369</v>
      </c>
      <c r="L5" s="11">
        <v>43594.413483796299</v>
      </c>
      <c r="M5" t="s">
        <v>11</v>
      </c>
      <c r="N5" s="24">
        <v>1056</v>
      </c>
      <c r="V5" t="s">
        <v>0</v>
      </c>
      <c r="W5">
        <v>1</v>
      </c>
      <c r="X5">
        <v>2019</v>
      </c>
      <c r="Y5" t="s">
        <v>327</v>
      </c>
      <c r="Z5" s="20">
        <v>30475</v>
      </c>
      <c r="AB5" t="s">
        <v>0</v>
      </c>
      <c r="AC5">
        <v>7</v>
      </c>
      <c r="AD5">
        <v>2019</v>
      </c>
      <c r="AE5" t="s">
        <v>441</v>
      </c>
      <c r="AF5" s="20">
        <v>62</v>
      </c>
      <c r="AH5" t="s">
        <v>1</v>
      </c>
      <c r="AI5">
        <v>10</v>
      </c>
      <c r="AJ5">
        <v>2019</v>
      </c>
      <c r="AK5" t="s">
        <v>400</v>
      </c>
      <c r="AL5" s="20">
        <v>401</v>
      </c>
    </row>
    <row r="6" spans="1:38" x14ac:dyDescent="0.25">
      <c r="A6" t="s">
        <v>1</v>
      </c>
      <c r="B6" t="s">
        <v>3</v>
      </c>
      <c r="C6" s="2">
        <v>43524</v>
      </c>
      <c r="D6" s="18">
        <v>4007</v>
      </c>
      <c r="F6">
        <v>2019</v>
      </c>
      <c r="G6">
        <v>3</v>
      </c>
      <c r="H6" t="s">
        <v>0</v>
      </c>
      <c r="I6">
        <v>960</v>
      </c>
      <c r="J6" s="12">
        <f t="shared" ref="J6:J10" si="0">IFERROR(N6/I6, 0)</f>
        <v>8</v>
      </c>
      <c r="K6" t="s">
        <v>370</v>
      </c>
      <c r="L6" s="11">
        <v>43655.465729166666</v>
      </c>
      <c r="M6" t="s">
        <v>11</v>
      </c>
      <c r="N6" s="24">
        <v>7680</v>
      </c>
      <c r="V6" t="s">
        <v>0</v>
      </c>
      <c r="W6">
        <v>2</v>
      </c>
      <c r="X6">
        <v>2019</v>
      </c>
      <c r="Y6" t="s">
        <v>376</v>
      </c>
      <c r="Z6" s="20">
        <v>28218</v>
      </c>
      <c r="AB6" t="s">
        <v>0</v>
      </c>
      <c r="AC6">
        <v>6</v>
      </c>
      <c r="AD6">
        <v>2019</v>
      </c>
      <c r="AE6" t="s">
        <v>442</v>
      </c>
      <c r="AF6" s="20">
        <v>49</v>
      </c>
      <c r="AH6" t="s">
        <v>1</v>
      </c>
      <c r="AI6">
        <v>8</v>
      </c>
      <c r="AJ6">
        <v>2019</v>
      </c>
      <c r="AK6" t="s">
        <v>381</v>
      </c>
      <c r="AL6" s="20">
        <v>54</v>
      </c>
    </row>
    <row r="7" spans="1:38" x14ac:dyDescent="0.25">
      <c r="A7" t="s">
        <v>1</v>
      </c>
      <c r="B7" t="s">
        <v>3</v>
      </c>
      <c r="C7" s="2">
        <v>43555</v>
      </c>
      <c r="D7" s="18">
        <v>3611</v>
      </c>
      <c r="F7">
        <v>2019</v>
      </c>
      <c r="G7">
        <v>7</v>
      </c>
      <c r="H7" t="s">
        <v>0</v>
      </c>
      <c r="I7">
        <v>3275</v>
      </c>
      <c r="J7" s="12">
        <f t="shared" si="0"/>
        <v>8</v>
      </c>
      <c r="K7" t="s">
        <v>371</v>
      </c>
      <c r="L7">
        <v>43775.27652777778</v>
      </c>
      <c r="M7" t="s">
        <v>11</v>
      </c>
      <c r="N7" s="24">
        <v>26200</v>
      </c>
      <c r="V7" t="s">
        <v>0</v>
      </c>
      <c r="W7">
        <v>6</v>
      </c>
      <c r="X7">
        <v>2019</v>
      </c>
      <c r="Y7" t="s">
        <v>445</v>
      </c>
      <c r="Z7" s="20">
        <v>14083</v>
      </c>
      <c r="AB7" t="s">
        <v>1</v>
      </c>
      <c r="AC7">
        <v>6</v>
      </c>
      <c r="AD7">
        <v>2019</v>
      </c>
      <c r="AE7" t="s">
        <v>390</v>
      </c>
      <c r="AF7" s="20">
        <v>1619</v>
      </c>
      <c r="AH7" t="s">
        <v>1</v>
      </c>
      <c r="AI7">
        <v>3</v>
      </c>
      <c r="AJ7">
        <v>2019</v>
      </c>
      <c r="AK7" t="s">
        <v>379</v>
      </c>
      <c r="AL7" s="20">
        <v>3598</v>
      </c>
    </row>
    <row r="8" spans="1:38" x14ac:dyDescent="0.25">
      <c r="A8" t="s">
        <v>1</v>
      </c>
      <c r="B8" t="s">
        <v>3</v>
      </c>
      <c r="C8" s="2">
        <v>43646</v>
      </c>
      <c r="D8" s="18">
        <v>2007</v>
      </c>
      <c r="F8">
        <v>2019</v>
      </c>
      <c r="G8">
        <v>8</v>
      </c>
      <c r="H8" t="s">
        <v>0</v>
      </c>
      <c r="I8">
        <v>8371</v>
      </c>
      <c r="J8" s="12">
        <f t="shared" si="0"/>
        <v>8</v>
      </c>
      <c r="K8" t="s">
        <v>372</v>
      </c>
      <c r="L8">
        <v>43804.336574074077</v>
      </c>
      <c r="M8" t="s">
        <v>11</v>
      </c>
      <c r="N8" s="24">
        <v>66968</v>
      </c>
      <c r="V8" t="s">
        <v>1</v>
      </c>
      <c r="W8">
        <v>6</v>
      </c>
      <c r="X8">
        <v>2019</v>
      </c>
      <c r="Y8" t="s">
        <v>538</v>
      </c>
      <c r="Z8" s="20">
        <v>272</v>
      </c>
      <c r="AB8" t="s">
        <v>0</v>
      </c>
      <c r="AC8">
        <v>7</v>
      </c>
      <c r="AD8">
        <v>2019</v>
      </c>
      <c r="AE8" t="s">
        <v>387</v>
      </c>
      <c r="AF8" s="20">
        <v>2783</v>
      </c>
      <c r="AH8" t="s">
        <v>1</v>
      </c>
      <c r="AI8">
        <v>1</v>
      </c>
      <c r="AJ8">
        <v>2019</v>
      </c>
      <c r="AK8" t="s">
        <v>326</v>
      </c>
      <c r="AL8" s="20">
        <v>4347</v>
      </c>
    </row>
    <row r="9" spans="1:38" x14ac:dyDescent="0.25">
      <c r="A9" t="s">
        <v>1</v>
      </c>
      <c r="B9" t="s">
        <v>3</v>
      </c>
      <c r="C9" s="2">
        <v>43677</v>
      </c>
      <c r="D9" s="18">
        <v>4380</v>
      </c>
      <c r="F9">
        <v>2019</v>
      </c>
      <c r="G9">
        <v>9</v>
      </c>
      <c r="H9" t="s">
        <v>0</v>
      </c>
      <c r="I9">
        <v>3980</v>
      </c>
      <c r="J9" s="12">
        <f t="shared" si="0"/>
        <v>8</v>
      </c>
      <c r="K9" t="s">
        <v>373</v>
      </c>
      <c r="L9">
        <v>43837.407743055555</v>
      </c>
      <c r="M9" t="s">
        <v>11</v>
      </c>
      <c r="N9" s="24">
        <v>31840</v>
      </c>
      <c r="V9" t="s">
        <v>0</v>
      </c>
      <c r="W9">
        <v>7</v>
      </c>
      <c r="X9">
        <v>2019</v>
      </c>
      <c r="Y9" t="s">
        <v>446</v>
      </c>
      <c r="Z9" s="20">
        <v>24722</v>
      </c>
      <c r="AB9" t="s">
        <v>0</v>
      </c>
      <c r="AC9">
        <v>8</v>
      </c>
      <c r="AD9">
        <v>2019</v>
      </c>
      <c r="AE9" t="s">
        <v>443</v>
      </c>
      <c r="AF9" s="20">
        <v>54</v>
      </c>
      <c r="AH9" t="s">
        <v>1</v>
      </c>
      <c r="AI9">
        <v>2</v>
      </c>
      <c r="AJ9">
        <v>2019</v>
      </c>
      <c r="AK9" t="s">
        <v>377</v>
      </c>
      <c r="AL9" s="20">
        <v>3449</v>
      </c>
    </row>
    <row r="10" spans="1:38" x14ac:dyDescent="0.25">
      <c r="A10" t="s">
        <v>1</v>
      </c>
      <c r="B10" t="s">
        <v>3</v>
      </c>
      <c r="C10" s="2">
        <v>43708</v>
      </c>
      <c r="D10" s="18">
        <v>4437</v>
      </c>
      <c r="F10">
        <v>2019</v>
      </c>
      <c r="G10">
        <v>12</v>
      </c>
      <c r="H10" t="s">
        <v>0</v>
      </c>
      <c r="I10">
        <v>8953</v>
      </c>
      <c r="J10" s="12">
        <f t="shared" si="0"/>
        <v>1.8499999999999999</v>
      </c>
      <c r="K10" t="s">
        <v>374</v>
      </c>
      <c r="L10">
        <v>43923.482708333337</v>
      </c>
      <c r="M10" t="s">
        <v>375</v>
      </c>
      <c r="N10" s="24">
        <v>16563.05</v>
      </c>
      <c r="V10" t="s">
        <v>0</v>
      </c>
      <c r="W10">
        <v>8</v>
      </c>
      <c r="X10">
        <v>2019</v>
      </c>
      <c r="Y10" t="s">
        <v>447</v>
      </c>
      <c r="Z10" s="20">
        <v>18604</v>
      </c>
      <c r="AB10" t="s">
        <v>1</v>
      </c>
      <c r="AC10">
        <v>2</v>
      </c>
      <c r="AD10">
        <v>2019</v>
      </c>
      <c r="AE10" t="s">
        <v>397</v>
      </c>
      <c r="AF10" s="20">
        <v>558</v>
      </c>
      <c r="AH10" t="s">
        <v>1</v>
      </c>
      <c r="AI10">
        <v>6</v>
      </c>
      <c r="AJ10">
        <v>2019</v>
      </c>
      <c r="AK10" t="s">
        <v>539</v>
      </c>
      <c r="AL10" s="20">
        <v>116</v>
      </c>
    </row>
    <row r="11" spans="1:38" x14ac:dyDescent="0.25">
      <c r="A11" t="s">
        <v>1</v>
      </c>
      <c r="B11" t="s">
        <v>3</v>
      </c>
      <c r="C11" s="2">
        <v>43738</v>
      </c>
      <c r="D11" s="18">
        <v>4151</v>
      </c>
      <c r="J11" s="12"/>
      <c r="L11" s="11"/>
      <c r="N11" s="24"/>
      <c r="V11" t="s">
        <v>0</v>
      </c>
      <c r="W11">
        <v>10</v>
      </c>
      <c r="X11">
        <v>2019</v>
      </c>
      <c r="Y11" t="s">
        <v>382</v>
      </c>
      <c r="Z11" s="20">
        <v>27239</v>
      </c>
      <c r="AB11" t="s">
        <v>1</v>
      </c>
      <c r="AC11">
        <v>3</v>
      </c>
      <c r="AD11">
        <v>2019</v>
      </c>
      <c r="AE11" t="s">
        <v>396</v>
      </c>
      <c r="AF11" s="20">
        <v>13</v>
      </c>
      <c r="AH11" t="s">
        <v>1</v>
      </c>
      <c r="AI11">
        <v>7</v>
      </c>
      <c r="AJ11">
        <v>2019</v>
      </c>
      <c r="AK11" t="s">
        <v>380</v>
      </c>
      <c r="AL11" s="20">
        <v>53</v>
      </c>
    </row>
    <row r="12" spans="1:38" x14ac:dyDescent="0.25">
      <c r="A12" t="s">
        <v>1</v>
      </c>
      <c r="B12" t="s">
        <v>3</v>
      </c>
      <c r="C12" s="2">
        <v>43769</v>
      </c>
      <c r="D12" s="18">
        <v>3869</v>
      </c>
      <c r="J12" s="12"/>
      <c r="L12" s="11"/>
      <c r="N12" s="24"/>
      <c r="V12" t="s">
        <v>1</v>
      </c>
      <c r="W12">
        <v>10</v>
      </c>
      <c r="X12">
        <v>2019</v>
      </c>
      <c r="Y12" t="s">
        <v>399</v>
      </c>
      <c r="Z12" s="20">
        <v>3468</v>
      </c>
      <c r="AB12" t="s">
        <v>1</v>
      </c>
      <c r="AC12">
        <v>7</v>
      </c>
      <c r="AD12">
        <v>2019</v>
      </c>
      <c r="AE12" t="s">
        <v>388</v>
      </c>
      <c r="AF12" s="20">
        <v>4327</v>
      </c>
      <c r="AL12" s="20"/>
    </row>
    <row r="13" spans="1:38" x14ac:dyDescent="0.25">
      <c r="A13" t="s">
        <v>1</v>
      </c>
      <c r="B13" t="s">
        <v>3</v>
      </c>
      <c r="C13" s="2">
        <v>43799</v>
      </c>
      <c r="D13" s="18">
        <v>4137</v>
      </c>
      <c r="J13" s="12"/>
      <c r="L13" s="11"/>
      <c r="N13" s="24"/>
      <c r="V13" t="s">
        <v>0</v>
      </c>
      <c r="W13">
        <v>3</v>
      </c>
      <c r="X13">
        <v>2019</v>
      </c>
      <c r="Y13" t="s">
        <v>378</v>
      </c>
      <c r="Z13" s="20">
        <v>24468</v>
      </c>
      <c r="AB13" t="s">
        <v>0</v>
      </c>
      <c r="AC13">
        <v>8</v>
      </c>
      <c r="AD13">
        <v>2019</v>
      </c>
      <c r="AE13" t="s">
        <v>392</v>
      </c>
      <c r="AF13" s="20">
        <v>4212</v>
      </c>
      <c r="AL13" s="20"/>
    </row>
    <row r="14" spans="1:38" x14ac:dyDescent="0.25">
      <c r="A14" t="s">
        <v>1</v>
      </c>
      <c r="B14" t="s">
        <v>3</v>
      </c>
      <c r="C14" s="2">
        <v>43830</v>
      </c>
      <c r="D14" s="18">
        <v>4348</v>
      </c>
      <c r="J14" s="12"/>
      <c r="L14" s="11"/>
      <c r="N14" s="24"/>
      <c r="V14" t="s">
        <v>0</v>
      </c>
      <c r="W14">
        <v>9</v>
      </c>
      <c r="X14">
        <v>2019</v>
      </c>
      <c r="Y14" t="s">
        <v>448</v>
      </c>
      <c r="Z14" s="20">
        <v>22977</v>
      </c>
      <c r="AB14" t="s">
        <v>1</v>
      </c>
      <c r="AC14">
        <v>8</v>
      </c>
      <c r="AD14">
        <v>2019</v>
      </c>
      <c r="AE14" t="s">
        <v>389</v>
      </c>
      <c r="AF14" s="20">
        <v>4383</v>
      </c>
      <c r="AL14" s="20"/>
    </row>
    <row r="15" spans="1:38" x14ac:dyDescent="0.25">
      <c r="A15" t="s">
        <v>0</v>
      </c>
      <c r="B15" t="s">
        <v>2</v>
      </c>
      <c r="C15" s="2">
        <v>43496</v>
      </c>
      <c r="D15" s="18">
        <v>30607</v>
      </c>
      <c r="J15" s="12"/>
      <c r="L15" s="11"/>
      <c r="N15" s="24"/>
      <c r="V15" t="s">
        <v>0</v>
      </c>
      <c r="W15">
        <v>11</v>
      </c>
      <c r="X15">
        <v>2019</v>
      </c>
      <c r="Y15" t="s">
        <v>383</v>
      </c>
      <c r="Z15" s="20">
        <v>29131</v>
      </c>
      <c r="AB15" t="s">
        <v>0</v>
      </c>
      <c r="AC15">
        <v>9</v>
      </c>
      <c r="AD15">
        <v>2019</v>
      </c>
      <c r="AE15" t="s">
        <v>444</v>
      </c>
      <c r="AF15" s="20">
        <v>52</v>
      </c>
      <c r="AL15" s="20"/>
    </row>
    <row r="16" spans="1:38" x14ac:dyDescent="0.25">
      <c r="A16" t="s">
        <v>0</v>
      </c>
      <c r="B16" t="s">
        <v>2</v>
      </c>
      <c r="C16" s="2">
        <v>43524</v>
      </c>
      <c r="D16" s="18">
        <v>28218</v>
      </c>
      <c r="J16" s="12"/>
      <c r="L16" s="11"/>
      <c r="N16" s="24"/>
      <c r="V16" t="s">
        <v>1</v>
      </c>
      <c r="W16">
        <v>11</v>
      </c>
      <c r="X16">
        <v>2019</v>
      </c>
      <c r="Y16" t="s">
        <v>384</v>
      </c>
      <c r="Z16" s="20">
        <v>2057</v>
      </c>
      <c r="AB16" t="s">
        <v>0</v>
      </c>
      <c r="AC16">
        <v>9</v>
      </c>
      <c r="AD16">
        <v>2019</v>
      </c>
      <c r="AE16" t="s">
        <v>394</v>
      </c>
      <c r="AF16" s="20">
        <v>2227</v>
      </c>
      <c r="AL16" s="20"/>
    </row>
    <row r="17" spans="1:38" x14ac:dyDescent="0.25">
      <c r="A17" t="s">
        <v>0</v>
      </c>
      <c r="B17" t="s">
        <v>2</v>
      </c>
      <c r="C17" s="2">
        <v>43555</v>
      </c>
      <c r="D17" s="18">
        <v>25428</v>
      </c>
      <c r="J17" s="12"/>
      <c r="L17" s="11"/>
      <c r="N17" s="24"/>
      <c r="V17" t="s">
        <v>0</v>
      </c>
      <c r="W17">
        <v>12</v>
      </c>
      <c r="X17">
        <v>2019</v>
      </c>
      <c r="Y17" t="s">
        <v>385</v>
      </c>
      <c r="Z17" s="20">
        <v>21670</v>
      </c>
      <c r="AB17" t="s">
        <v>1</v>
      </c>
      <c r="AC17">
        <v>9</v>
      </c>
      <c r="AD17">
        <v>2019</v>
      </c>
      <c r="AE17" t="s">
        <v>391</v>
      </c>
      <c r="AF17" s="20">
        <v>4151</v>
      </c>
      <c r="AL17" s="20"/>
    </row>
    <row r="18" spans="1:38" x14ac:dyDescent="0.25">
      <c r="A18" t="s">
        <v>0</v>
      </c>
      <c r="B18" t="s">
        <v>2</v>
      </c>
      <c r="C18" s="2">
        <v>43646</v>
      </c>
      <c r="D18" s="18">
        <v>14132</v>
      </c>
      <c r="J18" s="12"/>
      <c r="L18" s="11"/>
      <c r="N18" s="24"/>
      <c r="V18" t="s">
        <v>1</v>
      </c>
      <c r="W18">
        <v>12</v>
      </c>
      <c r="X18">
        <v>2019</v>
      </c>
      <c r="Y18" t="s">
        <v>386</v>
      </c>
      <c r="Z18" s="20">
        <v>1854</v>
      </c>
      <c r="AB18" t="s">
        <v>1</v>
      </c>
      <c r="AC18">
        <v>11</v>
      </c>
      <c r="AD18">
        <v>2019</v>
      </c>
      <c r="AE18" t="s">
        <v>393</v>
      </c>
      <c r="AF18" s="20">
        <v>2080</v>
      </c>
      <c r="AL18" s="20"/>
    </row>
    <row r="19" spans="1:38" x14ac:dyDescent="0.25">
      <c r="A19" t="s">
        <v>0</v>
      </c>
      <c r="B19" t="s">
        <v>2</v>
      </c>
      <c r="C19" s="2">
        <v>43677</v>
      </c>
      <c r="D19" s="18">
        <v>30842</v>
      </c>
      <c r="J19" s="12"/>
      <c r="L19" s="11"/>
      <c r="N19" s="24"/>
      <c r="Z19" s="20"/>
      <c r="AB19" t="s">
        <v>1</v>
      </c>
      <c r="AC19">
        <v>12</v>
      </c>
      <c r="AD19">
        <v>2019</v>
      </c>
      <c r="AE19" t="s">
        <v>395</v>
      </c>
      <c r="AF19" s="20">
        <v>2494</v>
      </c>
      <c r="AL19" s="18"/>
    </row>
    <row r="20" spans="1:38" x14ac:dyDescent="0.25">
      <c r="A20" t="s">
        <v>0</v>
      </c>
      <c r="B20" t="s">
        <v>2</v>
      </c>
      <c r="C20" s="2">
        <v>43708</v>
      </c>
      <c r="D20" s="18">
        <v>31241</v>
      </c>
      <c r="J20" s="12"/>
      <c r="L20" s="11"/>
      <c r="N20" s="24"/>
      <c r="Z20" s="20"/>
    </row>
    <row r="21" spans="1:38" x14ac:dyDescent="0.25">
      <c r="A21" t="s">
        <v>0</v>
      </c>
      <c r="B21" t="s">
        <v>2</v>
      </c>
      <c r="C21" s="2">
        <v>43738</v>
      </c>
      <c r="D21" s="18">
        <v>29236</v>
      </c>
      <c r="J21" s="12"/>
      <c r="L21" s="11"/>
      <c r="N21" s="24"/>
      <c r="Z21" s="20"/>
    </row>
    <row r="22" spans="1:38" x14ac:dyDescent="0.25">
      <c r="A22" t="s">
        <v>0</v>
      </c>
      <c r="B22" t="s">
        <v>2</v>
      </c>
      <c r="C22" s="2">
        <v>43769</v>
      </c>
      <c r="D22" s="18">
        <v>27239</v>
      </c>
      <c r="J22" s="12"/>
      <c r="L22" s="11"/>
      <c r="N22" s="24"/>
      <c r="Z22" s="20"/>
    </row>
    <row r="23" spans="1:38" x14ac:dyDescent="0.25">
      <c r="A23" t="s">
        <v>0</v>
      </c>
      <c r="B23" t="s">
        <v>2</v>
      </c>
      <c r="C23" s="2">
        <v>43799</v>
      </c>
      <c r="D23" s="18">
        <v>29131</v>
      </c>
      <c r="J23" s="12"/>
      <c r="L23" s="11"/>
      <c r="N23" s="24"/>
      <c r="Z23" s="20"/>
    </row>
    <row r="24" spans="1:38" x14ac:dyDescent="0.25">
      <c r="A24" t="s">
        <v>0</v>
      </c>
      <c r="B24" t="s">
        <v>2</v>
      </c>
      <c r="C24" s="2">
        <v>43830</v>
      </c>
      <c r="D24" s="18">
        <v>30623</v>
      </c>
      <c r="J24" s="12"/>
      <c r="L24" s="11"/>
      <c r="N24" s="24"/>
      <c r="Z24" s="20"/>
    </row>
    <row r="25" spans="1:38" x14ac:dyDescent="0.25">
      <c r="C25" s="2"/>
      <c r="D25" s="1"/>
      <c r="J25" s="12"/>
      <c r="L25" s="4"/>
    </row>
    <row r="26" spans="1:38" x14ac:dyDescent="0.25">
      <c r="C26" s="2"/>
      <c r="D26" s="1"/>
      <c r="J26" s="12"/>
    </row>
    <row r="27" spans="1:38" x14ac:dyDescent="0.25">
      <c r="D27" s="3">
        <f>SUM(D5:D26)</f>
        <v>315991</v>
      </c>
      <c r="I27" s="3">
        <f>SUM(I5:I26)</f>
        <v>25671</v>
      </c>
      <c r="J27" s="12">
        <f t="shared" ref="J27" si="1">N27/I27</f>
        <v>5.8551303026761712</v>
      </c>
      <c r="N27" s="3">
        <f>SUM(N5:N26)</f>
        <v>150307.04999999999</v>
      </c>
      <c r="S27" s="3">
        <f>SUM(S5:S26)</f>
        <v>0</v>
      </c>
      <c r="T27" s="3"/>
      <c r="Z27" s="3">
        <f>SUM(Z5:Z26)</f>
        <v>249238</v>
      </c>
      <c r="AF27" s="3">
        <f>SUM(AF5:AF26)</f>
        <v>29064</v>
      </c>
      <c r="AL27" s="3">
        <f>SUM(AL5:AL26)</f>
        <v>12018</v>
      </c>
    </row>
    <row r="31" spans="1:38" x14ac:dyDescent="0.25">
      <c r="C31" s="6" t="s">
        <v>40</v>
      </c>
      <c r="D31" s="1">
        <f>D27</f>
        <v>315991</v>
      </c>
      <c r="G31" s="19"/>
      <c r="K31" s="1">
        <f>ROUNDUP((D31-D32-D34) * (1 - 0.953), 0)</f>
        <v>12280</v>
      </c>
      <c r="L31" s="31" t="s">
        <v>364</v>
      </c>
      <c r="M31" t="s">
        <v>365</v>
      </c>
    </row>
    <row r="32" spans="1:38" x14ac:dyDescent="0.25">
      <c r="C32" s="6" t="s">
        <v>41</v>
      </c>
      <c r="D32" s="13">
        <f>I27</f>
        <v>25671</v>
      </c>
      <c r="E32" s="12">
        <f>J27</f>
        <v>5.8551303026761712</v>
      </c>
      <c r="F32" s="12">
        <f>D32 * E32</f>
        <v>150307.04999999999</v>
      </c>
      <c r="G32" s="19" t="s">
        <v>449</v>
      </c>
      <c r="M32" t="str">
        <f>"so " &amp; FIXED(K31, 0, FALSE) &amp; " need to be put in the Old Growth Subaccount"</f>
        <v>so 12,280 need to be put in the Old Growth Subaccount</v>
      </c>
    </row>
    <row r="33" spans="3:13" x14ac:dyDescent="0.25">
      <c r="C33" s="6" t="s">
        <v>242</v>
      </c>
      <c r="D33" s="13">
        <f>S27</f>
        <v>0</v>
      </c>
      <c r="G33" s="19" t="s">
        <v>543</v>
      </c>
      <c r="M33" s="31" t="s">
        <v>398</v>
      </c>
    </row>
    <row r="34" spans="3:13" x14ac:dyDescent="0.25">
      <c r="C34" s="6" t="s">
        <v>260</v>
      </c>
      <c r="D34" s="13">
        <f>AF27</f>
        <v>29064</v>
      </c>
      <c r="G34" s="19" t="s">
        <v>543</v>
      </c>
    </row>
    <row r="35" spans="3:13" x14ac:dyDescent="0.25">
      <c r="C35" s="6" t="s">
        <v>350</v>
      </c>
      <c r="D35" s="13">
        <f>AL27</f>
        <v>12018</v>
      </c>
      <c r="G35" s="19" t="s">
        <v>543</v>
      </c>
      <c r="K35" s="30">
        <f>1 - D35 / (D31 - D32 - D34)</f>
        <v>0.95399914260342344</v>
      </c>
      <c r="L35" t="s">
        <v>361</v>
      </c>
    </row>
    <row r="36" spans="3:13" x14ac:dyDescent="0.25">
      <c r="C36" s="6"/>
      <c r="D36" s="13"/>
      <c r="G36" s="19"/>
    </row>
    <row r="37" spans="3:13" x14ac:dyDescent="0.25">
      <c r="C37" s="6" t="s">
        <v>291</v>
      </c>
      <c r="D37" s="13">
        <f>D31 - D32 - D33 - D34 - D35</f>
        <v>249238</v>
      </c>
      <c r="G37" s="19" t="s">
        <v>543</v>
      </c>
    </row>
    <row r="38" spans="3:13" x14ac:dyDescent="0.25">
      <c r="C38" s="6" t="s">
        <v>290</v>
      </c>
      <c r="D38" s="1">
        <f>D37 + D35</f>
        <v>261256</v>
      </c>
      <c r="G38" s="19"/>
    </row>
    <row r="39" spans="3:13" x14ac:dyDescent="0.25">
      <c r="C39" s="6" t="s">
        <v>351</v>
      </c>
      <c r="D39" s="1">
        <f>D37 - Z27</f>
        <v>0</v>
      </c>
    </row>
    <row r="41" spans="3:13" x14ac:dyDescent="0.25">
      <c r="C41" s="36" t="s">
        <v>537</v>
      </c>
      <c r="D41" s="28">
        <v>2018</v>
      </c>
      <c r="E41" s="28">
        <v>2019</v>
      </c>
    </row>
    <row r="42" spans="3:13" x14ac:dyDescent="0.25">
      <c r="C42" s="6" t="s">
        <v>246</v>
      </c>
      <c r="D42">
        <f>SUMIF($T$5:$T$26, D41, $S$5:$S$26)</f>
        <v>0</v>
      </c>
      <c r="E42">
        <f>SUMIF($T$5:$T$26, E41, $S$5:$S$26)</f>
        <v>0</v>
      </c>
    </row>
  </sheetData>
  <pageMargins left="0.2" right="0.2" top="0.75" bottom="0.75" header="0.3" footer="0.3"/>
  <pageSetup scale="57" orientation="landscape" r:id="rId1"/>
  <headerFoot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883B93118AD7F42B2E1903487E9511D" ma:contentTypeVersion="28" ma:contentTypeDescription="" ma:contentTypeScope="" ma:versionID="38178ede3e83906613875a3a9a9d746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Closed</CaseStatus>
    <OpenedDate xmlns="dc463f71-b30c-4ab2-9473-d307f9d35888">2022-06-01T07:00:00+00:00</OpenedDate>
    <SignificantOrder xmlns="dc463f71-b30c-4ab2-9473-d307f9d35888">false</SignificantOrder>
    <Date1 xmlns="dc463f71-b30c-4ab2-9473-d307f9d35888">2022-07-21T07:00:00+00:00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220400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DAED00F7-B6FA-4BEF-AA1A-A85A3807933C}"/>
</file>

<file path=customXml/itemProps2.xml><?xml version="1.0" encoding="utf-8"?>
<ds:datastoreItem xmlns:ds="http://schemas.openxmlformats.org/officeDocument/2006/customXml" ds:itemID="{2568DEB7-3693-4AB4-899D-03097C0C0580}"/>
</file>

<file path=customXml/itemProps3.xml><?xml version="1.0" encoding="utf-8"?>
<ds:datastoreItem xmlns:ds="http://schemas.openxmlformats.org/officeDocument/2006/customXml" ds:itemID="{8370228F-6F65-497E-A999-B3F4985F93D0}"/>
</file>

<file path=customXml/itemProps4.xml><?xml version="1.0" encoding="utf-8"?>
<ds:datastoreItem xmlns:ds="http://schemas.openxmlformats.org/officeDocument/2006/customXml" ds:itemID="{6032A730-1C28-490E-9F3E-3857ADFEE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KF2015</vt:lpstr>
      <vt:lpstr>PW2015</vt:lpstr>
      <vt:lpstr>KF2016</vt:lpstr>
      <vt:lpstr>PW2016</vt:lpstr>
      <vt:lpstr>KF2017</vt:lpstr>
      <vt:lpstr>PW2017</vt:lpstr>
      <vt:lpstr>KF2018</vt:lpstr>
      <vt:lpstr>PW2018</vt:lpstr>
      <vt:lpstr>KF2019</vt:lpstr>
      <vt:lpstr>PW2019</vt:lpstr>
      <vt:lpstr>KF2020</vt:lpstr>
      <vt:lpstr>PW2020</vt:lpstr>
      <vt:lpstr>RF2020</vt:lpstr>
      <vt:lpstr>KF2021</vt:lpstr>
      <vt:lpstr>PW2021</vt:lpstr>
      <vt:lpstr>RF2021</vt:lpstr>
      <vt:lpstr>KF2022</vt:lpstr>
      <vt:lpstr>PW2022</vt:lpstr>
      <vt:lpstr>RF2022</vt:lpstr>
      <vt:lpstr>Sheet1</vt:lpstr>
      <vt:lpstr>'KF2015'!Print_Area</vt:lpstr>
      <vt:lpstr>'KF2016'!Print_Area</vt:lpstr>
      <vt:lpstr>'KF2017'!Print_Area</vt:lpstr>
      <vt:lpstr>'KF2018'!Print_Area</vt:lpstr>
      <vt:lpstr>'KF2019'!Print_Area</vt:lpstr>
      <vt:lpstr>'KF2020'!Print_Area</vt:lpstr>
      <vt:lpstr>'KF2021'!Print_Area</vt:lpstr>
      <vt:lpstr>'KF2022'!Print_Area</vt:lpstr>
      <vt:lpstr>'PW2015'!Print_Area</vt:lpstr>
      <vt:lpstr>'PW2016'!Print_Area</vt:lpstr>
      <vt:lpstr>'PW2017'!Print_Area</vt:lpstr>
      <vt:lpstr>'PW2018'!Print_Area</vt:lpstr>
      <vt:lpstr>'PW2019'!Print_Area</vt:lpstr>
      <vt:lpstr>'PW2020'!Print_Area</vt:lpstr>
      <vt:lpstr>'PW2021'!Print_Area</vt:lpstr>
      <vt:lpstr>'PW2022'!Print_Area</vt:lpstr>
      <vt:lpstr>'RF2020'!Print_Area</vt:lpstr>
      <vt:lpstr>'RF2021'!Print_Area</vt:lpstr>
      <vt:lpstr>'RF2022'!Print_Area</vt:lpstr>
      <vt:lpstr>Sheet1!Print_Area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Reid</dc:creator>
  <cp:lastModifiedBy>Scott Reid</cp:lastModifiedBy>
  <cp:lastPrinted>2019-08-01T14:17:43Z</cp:lastPrinted>
  <dcterms:created xsi:type="dcterms:W3CDTF">2017-05-25T19:53:18Z</dcterms:created>
  <dcterms:modified xsi:type="dcterms:W3CDTF">2022-05-06T00:10:17Z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0x0101006E56B4D1795A2E4DB2F0B01679ED314A00C883B93118AD7F42B2E1903487E9511D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