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2-12 Natural Gas Schedule 140 - Property Tax Tracker (UG-220235) (Eff. 05-01-22)\Sent to UTC 04-20-22\"/>
    </mc:Choice>
  </mc:AlternateContent>
  <bookViews>
    <workbookView xWindow="0" yWindow="0" windowWidth="22815" windowHeight="10470" tabRatio="850" activeTab="3"/>
  </bookViews>
  <sheets>
    <sheet name="Sch. 140 Rates" sheetId="1" r:id="rId1"/>
    <sheet name="Allocation Factors" sheetId="34" r:id="rId2"/>
    <sheet name="Rate Impacts--&gt;" sheetId="19" r:id="rId3"/>
    <sheet name="Rate Impacts Sch 140" sheetId="51" r:id="rId4"/>
    <sheet name="Typical Res Bill Sch 140" sheetId="52" r:id="rId5"/>
    <sheet name="Sch. 140" sheetId="53" r:id="rId6"/>
    <sheet name="Workpapers--&gt;" sheetId="33" r:id="rId7"/>
    <sheet name="2022 FINAL Rev Req" sheetId="55" r:id="rId8"/>
    <sheet name="Therm Forecast" sheetId="18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_GAS">'[1]Named Ranges G'!$C$4</definedName>
    <definedName name="CBWorkbookPriority">-2060790043</definedName>
    <definedName name="Comp_GAS">'[1]Named Ranges G'!$C$8</definedName>
    <definedName name="FIT_GAS">'[1]Named Ranges G'!$C$3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'Allocation Factors'!$A$1:$H$24</definedName>
    <definedName name="_xlnm.Print_Area" localSheetId="3">'Rate Impacts Sch 140'!$B$1:$T$37</definedName>
    <definedName name="_xlnm.Print_Area" localSheetId="5">'Sch. 140'!$A$1:$I$22</definedName>
    <definedName name="_xlnm.Print_Area" localSheetId="0">'Sch. 140 Rates'!$A$1:$N$23</definedName>
    <definedName name="_xlnm.Print_Area" localSheetId="8">'Therm Forecast'!$A$1:$N$25</definedName>
    <definedName name="_xlnm.Print_Area" localSheetId="4">'Typical Res Bill Sch 140'!$B$1:$H$38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ESTYEAR_GAS">'[1]Named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G20" i="1" l="1"/>
  <c r="F20" i="1"/>
  <c r="A25" i="55"/>
  <c r="A26" i="55" s="1"/>
  <c r="A27" i="55" s="1"/>
  <c r="A30" i="55" s="1"/>
  <c r="A31" i="55" s="1"/>
  <c r="A32" i="55" s="1"/>
  <c r="A33" i="55" s="1"/>
  <c r="H19" i="55"/>
  <c r="J19" i="55" s="1"/>
  <c r="E10" i="55"/>
  <c r="I10" i="55" s="1"/>
  <c r="F9" i="55"/>
  <c r="I6" i="55"/>
  <c r="I19" i="55"/>
  <c r="H25" i="55" l="1"/>
  <c r="F25" i="55"/>
  <c r="I25" i="55"/>
  <c r="H11" i="55"/>
  <c r="F6" i="55"/>
  <c r="I9" i="55"/>
  <c r="D13" i="55"/>
  <c r="D15" i="55" s="1"/>
  <c r="H6" i="55"/>
  <c r="F11" i="55"/>
  <c r="D10" i="55"/>
  <c r="F19" i="55"/>
  <c r="H9" i="55"/>
  <c r="C23" i="53"/>
  <c r="C21" i="53"/>
  <c r="C15" i="53"/>
  <c r="C16" i="53"/>
  <c r="C17" i="53"/>
  <c r="C18" i="53"/>
  <c r="C19" i="53"/>
  <c r="C20" i="53"/>
  <c r="C14" i="53"/>
  <c r="C13" i="53"/>
  <c r="C12" i="53"/>
  <c r="C11" i="53"/>
  <c r="C10" i="53"/>
  <c r="C9" i="53"/>
  <c r="D18" i="55" l="1"/>
  <c r="F13" i="55"/>
  <c r="H26" i="55"/>
  <c r="H13" i="55"/>
  <c r="J9" i="55"/>
  <c r="H10" i="55"/>
  <c r="J10" i="55" s="1"/>
  <c r="F10" i="55"/>
  <c r="J25" i="55"/>
  <c r="I11" i="55"/>
  <c r="J6" i="55"/>
  <c r="H15" i="55"/>
  <c r="E13" i="55"/>
  <c r="E15" i="55" s="1"/>
  <c r="E18" i="55" s="1"/>
  <c r="E21" i="55" s="1"/>
  <c r="D27" i="55"/>
  <c r="C22" i="53"/>
  <c r="F21" i="53"/>
  <c r="M23" i="51" s="1"/>
  <c r="F20" i="53"/>
  <c r="F19" i="53"/>
  <c r="M21" i="51" s="1"/>
  <c r="F18" i="53"/>
  <c r="F17" i="53"/>
  <c r="M19" i="51" s="1"/>
  <c r="M29" i="51" s="1"/>
  <c r="F16" i="53"/>
  <c r="M18" i="51" s="1"/>
  <c r="F15" i="53"/>
  <c r="F14" i="53"/>
  <c r="M16" i="51" s="1"/>
  <c r="F13" i="53"/>
  <c r="F12" i="53"/>
  <c r="F11" i="53"/>
  <c r="F10" i="53"/>
  <c r="M12" i="51" s="1"/>
  <c r="F9" i="53"/>
  <c r="M11" i="51" s="1"/>
  <c r="G29" i="52"/>
  <c r="H29" i="52" s="1"/>
  <c r="D29" i="52"/>
  <c r="E29" i="52" s="1"/>
  <c r="G28" i="52"/>
  <c r="G27" i="52"/>
  <c r="H25" i="52"/>
  <c r="G25" i="52"/>
  <c r="E25" i="52"/>
  <c r="E23" i="52"/>
  <c r="E30" i="52" s="1"/>
  <c r="D23" i="52"/>
  <c r="D36" i="52" s="1"/>
  <c r="G22" i="52"/>
  <c r="G21" i="52"/>
  <c r="G20" i="52"/>
  <c r="G19" i="52"/>
  <c r="D18" i="52"/>
  <c r="G17" i="52"/>
  <c r="G16" i="52"/>
  <c r="D13" i="52"/>
  <c r="G12" i="52"/>
  <c r="H12" i="52" s="1"/>
  <c r="H13" i="52" s="1"/>
  <c r="E12" i="52"/>
  <c r="E13" i="52" s="1"/>
  <c r="E32" i="52" s="1"/>
  <c r="B4" i="52"/>
  <c r="B2" i="52"/>
  <c r="Q34" i="51"/>
  <c r="J34" i="51"/>
  <c r="I34" i="51"/>
  <c r="Q33" i="51"/>
  <c r="P33" i="51"/>
  <c r="O33" i="51"/>
  <c r="N33" i="51"/>
  <c r="L33" i="51"/>
  <c r="K33" i="51"/>
  <c r="J33" i="51"/>
  <c r="I33" i="51"/>
  <c r="H33" i="51"/>
  <c r="G33" i="51"/>
  <c r="F33" i="51"/>
  <c r="E33" i="51"/>
  <c r="D33" i="51"/>
  <c r="Q32" i="51"/>
  <c r="P32" i="51"/>
  <c r="O32" i="51"/>
  <c r="N32" i="51"/>
  <c r="L32" i="51"/>
  <c r="K32" i="51"/>
  <c r="K34" i="51" s="1"/>
  <c r="J32" i="51"/>
  <c r="I32" i="51"/>
  <c r="G32" i="51"/>
  <c r="E32" i="51"/>
  <c r="F32" i="51" s="1"/>
  <c r="D32" i="51"/>
  <c r="Q31" i="51"/>
  <c r="P31" i="51"/>
  <c r="O31" i="51"/>
  <c r="N31" i="51"/>
  <c r="L31" i="51"/>
  <c r="K31" i="51"/>
  <c r="J31" i="51"/>
  <c r="I31" i="51"/>
  <c r="G31" i="51"/>
  <c r="E31" i="51"/>
  <c r="F31" i="51" s="1"/>
  <c r="D31" i="51"/>
  <c r="Q30" i="51"/>
  <c r="P30" i="51"/>
  <c r="O30" i="51"/>
  <c r="N30" i="51"/>
  <c r="L30" i="51"/>
  <c r="K30" i="51"/>
  <c r="J30" i="51"/>
  <c r="I30" i="51"/>
  <c r="G30" i="51"/>
  <c r="E30" i="51"/>
  <c r="F30" i="51" s="1"/>
  <c r="D30" i="51"/>
  <c r="Q29" i="51"/>
  <c r="P29" i="51"/>
  <c r="O29" i="51"/>
  <c r="N29" i="51"/>
  <c r="N34" i="51" s="1"/>
  <c r="L29" i="51"/>
  <c r="K29" i="51"/>
  <c r="J29" i="51"/>
  <c r="I29" i="51"/>
  <c r="H29" i="51"/>
  <c r="G29" i="51"/>
  <c r="F29" i="51"/>
  <c r="E29" i="51"/>
  <c r="D29" i="51"/>
  <c r="Q28" i="51"/>
  <c r="P28" i="51"/>
  <c r="O28" i="51"/>
  <c r="N28" i="51"/>
  <c r="L28" i="51"/>
  <c r="L34" i="51" s="1"/>
  <c r="K28" i="51"/>
  <c r="J28" i="51"/>
  <c r="I28" i="51"/>
  <c r="G28" i="51"/>
  <c r="E28" i="51"/>
  <c r="F28" i="51" s="1"/>
  <c r="D28" i="51"/>
  <c r="Q27" i="51"/>
  <c r="P27" i="51"/>
  <c r="P34" i="51" s="1"/>
  <c r="O27" i="51"/>
  <c r="O34" i="51" s="1"/>
  <c r="N27" i="51"/>
  <c r="L27" i="51"/>
  <c r="K27" i="51"/>
  <c r="J27" i="51"/>
  <c r="I27" i="51"/>
  <c r="H27" i="51"/>
  <c r="G27" i="51"/>
  <c r="G34" i="51" s="1"/>
  <c r="E27" i="51"/>
  <c r="F27" i="51" s="1"/>
  <c r="D27" i="51"/>
  <c r="D34" i="51" s="1"/>
  <c r="Q24" i="51"/>
  <c r="P24" i="51"/>
  <c r="O24" i="51"/>
  <c r="N24" i="51"/>
  <c r="L24" i="51"/>
  <c r="K24" i="51"/>
  <c r="J24" i="51"/>
  <c r="I24" i="51"/>
  <c r="G24" i="51"/>
  <c r="F24" i="51"/>
  <c r="E24" i="51"/>
  <c r="D24" i="51"/>
  <c r="H23" i="51"/>
  <c r="F23" i="51"/>
  <c r="M22" i="51"/>
  <c r="M32" i="51" s="1"/>
  <c r="F22" i="51"/>
  <c r="H22" i="51" s="1"/>
  <c r="R22" i="51" s="1"/>
  <c r="H21" i="51"/>
  <c r="F21" i="51"/>
  <c r="M20" i="51"/>
  <c r="R20" i="51" s="1"/>
  <c r="H20" i="51"/>
  <c r="F20" i="51"/>
  <c r="H19" i="51"/>
  <c r="R19" i="51" s="1"/>
  <c r="F19" i="51"/>
  <c r="F18" i="51"/>
  <c r="H18" i="51" s="1"/>
  <c r="M17" i="51"/>
  <c r="F17" i="51"/>
  <c r="H17" i="51" s="1"/>
  <c r="F16" i="51"/>
  <c r="H16" i="51" s="1"/>
  <c r="F15" i="51"/>
  <c r="H15" i="51" s="1"/>
  <c r="M14" i="51"/>
  <c r="H14" i="51"/>
  <c r="R14" i="51" s="1"/>
  <c r="F14" i="51"/>
  <c r="M13" i="51"/>
  <c r="H13" i="51"/>
  <c r="F13" i="51"/>
  <c r="H12" i="51"/>
  <c r="F12" i="51"/>
  <c r="H11" i="51"/>
  <c r="F11" i="51"/>
  <c r="I13" i="55" l="1"/>
  <c r="I15" i="55" s="1"/>
  <c r="I18" i="55" s="1"/>
  <c r="I21" i="55" s="1"/>
  <c r="J13" i="55"/>
  <c r="I26" i="55"/>
  <c r="I27" i="55" s="1"/>
  <c r="E27" i="55"/>
  <c r="E28" i="55" s="1"/>
  <c r="J26" i="55"/>
  <c r="H18" i="55"/>
  <c r="J15" i="55"/>
  <c r="F26" i="55"/>
  <c r="D28" i="55"/>
  <c r="J11" i="55"/>
  <c r="H27" i="55"/>
  <c r="D21" i="55"/>
  <c r="F21" i="55" s="1"/>
  <c r="F18" i="55"/>
  <c r="F15" i="55"/>
  <c r="M28" i="51"/>
  <c r="M31" i="51"/>
  <c r="R21" i="51"/>
  <c r="R13" i="51"/>
  <c r="R12" i="51"/>
  <c r="F22" i="53"/>
  <c r="M27" i="51"/>
  <c r="H32" i="51"/>
  <c r="H34" i="51" s="1"/>
  <c r="R17" i="51"/>
  <c r="R32" i="51" s="1"/>
  <c r="R16" i="51"/>
  <c r="R31" i="51" s="1"/>
  <c r="H31" i="51"/>
  <c r="R23" i="51"/>
  <c r="R33" i="51" s="1"/>
  <c r="M33" i="51"/>
  <c r="R29" i="51"/>
  <c r="R18" i="51"/>
  <c r="R28" i="51" s="1"/>
  <c r="H28" i="51"/>
  <c r="H30" i="51"/>
  <c r="H24" i="51"/>
  <c r="M15" i="51"/>
  <c r="M30" i="51" s="1"/>
  <c r="M24" i="51"/>
  <c r="E34" i="51"/>
  <c r="F34" i="51" s="1"/>
  <c r="G13" i="52"/>
  <c r="D30" i="52"/>
  <c r="R11" i="51"/>
  <c r="H21" i="55" l="1"/>
  <c r="J21" i="55" s="1"/>
  <c r="J18" i="55"/>
  <c r="H28" i="55"/>
  <c r="H30" i="55"/>
  <c r="H31" i="55" s="1"/>
  <c r="J27" i="55"/>
  <c r="J28" i="55" s="1"/>
  <c r="I28" i="55"/>
  <c r="I30" i="55"/>
  <c r="I31" i="55" s="1"/>
  <c r="F27" i="55"/>
  <c r="F28" i="55" s="1"/>
  <c r="M34" i="51"/>
  <c r="R27" i="51"/>
  <c r="R15" i="51"/>
  <c r="R30" i="51" s="1"/>
  <c r="R34" i="51" l="1"/>
  <c r="R24" i="51"/>
  <c r="E8" i="1" l="1"/>
  <c r="D7" i="1"/>
  <c r="A4" i="34" l="1"/>
  <c r="A2" i="34"/>
  <c r="C7" i="18" l="1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E9" i="1" s="1"/>
  <c r="A4" i="18" l="1"/>
  <c r="A2" i="18"/>
  <c r="D19" i="34" l="1"/>
  <c r="D22" i="34" l="1"/>
  <c r="E13" i="34" s="1"/>
  <c r="G12" i="34"/>
  <c r="G14" i="34"/>
  <c r="G16" i="34"/>
  <c r="G17" i="34"/>
  <c r="G13" i="34"/>
  <c r="G18" i="34"/>
  <c r="G15" i="34"/>
  <c r="E17" i="34" l="1"/>
  <c r="E16" i="34"/>
  <c r="E14" i="34"/>
  <c r="E15" i="34"/>
  <c r="E18" i="34"/>
  <c r="E21" i="34"/>
  <c r="H13" i="34" s="1"/>
  <c r="D12" i="1" s="1"/>
  <c r="E12" i="34"/>
  <c r="H12" i="34" s="1"/>
  <c r="D11" i="1" s="1"/>
  <c r="G19" i="34"/>
  <c r="H15" i="34" l="1"/>
  <c r="D14" i="1" s="1"/>
  <c r="H18" i="34"/>
  <c r="D17" i="1" s="1"/>
  <c r="H14" i="34"/>
  <c r="D13" i="1" s="1"/>
  <c r="H16" i="34"/>
  <c r="D15" i="1" s="1"/>
  <c r="H17" i="34"/>
  <c r="D16" i="1" s="1"/>
  <c r="H19" i="34" l="1"/>
  <c r="A13" i="34" l="1"/>
  <c r="A14" i="34" s="1"/>
  <c r="A15" i="34" s="1"/>
  <c r="A16" i="34" s="1"/>
  <c r="A17" i="34" s="1"/>
  <c r="A18" i="34" s="1"/>
  <c r="A19" i="34" s="1"/>
  <c r="A20" i="34" s="1"/>
  <c r="A21" i="34" s="1"/>
  <c r="A22" i="34" s="1"/>
  <c r="D18" i="1"/>
  <c r="F11" i="1" l="1"/>
  <c r="E19" i="34"/>
  <c r="E22" i="34" s="1"/>
  <c r="G12" i="1" l="1"/>
  <c r="G13" i="1"/>
  <c r="G14" i="1"/>
  <c r="G15" i="1"/>
  <c r="G16" i="1"/>
  <c r="G17" i="1"/>
  <c r="G11" i="1"/>
  <c r="G18" i="1" l="1"/>
  <c r="M22" i="18" l="1"/>
  <c r="L22" i="18"/>
  <c r="K22" i="18"/>
  <c r="J22" i="18"/>
  <c r="I22" i="18"/>
  <c r="H22" i="18"/>
  <c r="G22" i="18"/>
  <c r="F22" i="18"/>
  <c r="E22" i="18"/>
  <c r="D22" i="18"/>
  <c r="C22" i="18"/>
  <c r="B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A12" i="1"/>
  <c r="A13" i="1" s="1"/>
  <c r="A14" i="1" s="1"/>
  <c r="A15" i="1" s="1"/>
  <c r="A16" i="1" s="1"/>
  <c r="A17" i="1" s="1"/>
  <c r="A18" i="1" s="1"/>
  <c r="A19" i="1" s="1"/>
  <c r="A20" i="1" s="1"/>
  <c r="E14" i="1" l="1"/>
  <c r="N22" i="18"/>
  <c r="E11" i="1"/>
  <c r="E15" i="1"/>
  <c r="E12" i="1"/>
  <c r="E16" i="1"/>
  <c r="E13" i="1"/>
  <c r="E17" i="1"/>
  <c r="E18" i="1" l="1"/>
  <c r="F17" i="1" l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H11" i="1"/>
  <c r="H20" i="1"/>
  <c r="F18" i="1" l="1"/>
  <c r="J12" i="1" l="1"/>
  <c r="J17" i="1"/>
  <c r="I15" i="1"/>
  <c r="J16" i="1"/>
  <c r="I16" i="1"/>
  <c r="I17" i="1" l="1"/>
  <c r="K17" i="1" s="1"/>
  <c r="E21" i="53" s="1"/>
  <c r="G21" i="53" s="1"/>
  <c r="H21" i="53" s="1"/>
  <c r="J15" i="1"/>
  <c r="K15" i="1" s="1"/>
  <c r="I12" i="1"/>
  <c r="K12" i="1" s="1"/>
  <c r="K16" i="1"/>
  <c r="J13" i="1"/>
  <c r="I13" i="1"/>
  <c r="J11" i="1"/>
  <c r="M11" i="1" s="1"/>
  <c r="I11" i="1"/>
  <c r="J14" i="1"/>
  <c r="I14" i="1"/>
  <c r="E15" i="53" l="1"/>
  <c r="G15" i="53" s="1"/>
  <c r="H15" i="53" s="1"/>
  <c r="E20" i="53"/>
  <c r="G20" i="53" s="1"/>
  <c r="H20" i="53" s="1"/>
  <c r="E11" i="53"/>
  <c r="G11" i="53" s="1"/>
  <c r="H11" i="53" s="1"/>
  <c r="E16" i="53"/>
  <c r="G16" i="53" s="1"/>
  <c r="H16" i="53" s="1"/>
  <c r="E19" i="53"/>
  <c r="G19" i="53" s="1"/>
  <c r="H19" i="53" s="1"/>
  <c r="E14" i="53"/>
  <c r="G14" i="53" s="1"/>
  <c r="H14" i="53" s="1"/>
  <c r="I21" i="53"/>
  <c r="S23" i="51"/>
  <c r="K14" i="1"/>
  <c r="K13" i="1"/>
  <c r="K11" i="1"/>
  <c r="L11" i="1"/>
  <c r="N11" i="1" s="1"/>
  <c r="S16" i="51" l="1"/>
  <c r="I14" i="53"/>
  <c r="S18" i="51"/>
  <c r="T18" i="51" s="1"/>
  <c r="I16" i="53"/>
  <c r="E9" i="53"/>
  <c r="E10" i="53"/>
  <c r="G10" i="53" s="1"/>
  <c r="H10" i="53" s="1"/>
  <c r="E12" i="53"/>
  <c r="G12" i="53" s="1"/>
  <c r="H12" i="53" s="1"/>
  <c r="E17" i="53"/>
  <c r="G17" i="53" s="1"/>
  <c r="H17" i="53" s="1"/>
  <c r="S33" i="51"/>
  <c r="T33" i="51" s="1"/>
  <c r="T23" i="51"/>
  <c r="I19" i="53"/>
  <c r="S21" i="51"/>
  <c r="T21" i="51" s="1"/>
  <c r="I11" i="53"/>
  <c r="S13" i="51"/>
  <c r="I20" i="53"/>
  <c r="S22" i="51"/>
  <c r="T22" i="51" s="1"/>
  <c r="E13" i="53"/>
  <c r="G13" i="53" s="1"/>
  <c r="H13" i="53" s="1"/>
  <c r="E18" i="53"/>
  <c r="G18" i="53" s="1"/>
  <c r="H18" i="53" s="1"/>
  <c r="I15" i="53"/>
  <c r="S17" i="51"/>
  <c r="H18" i="1"/>
  <c r="S12" i="51" l="1"/>
  <c r="T12" i="51" s="1"/>
  <c r="I10" i="53"/>
  <c r="S32" i="51"/>
  <c r="T32" i="51" s="1"/>
  <c r="T17" i="51"/>
  <c r="I12" i="53"/>
  <c r="S14" i="51"/>
  <c r="T13" i="51"/>
  <c r="S28" i="51"/>
  <c r="T28" i="51" s="1"/>
  <c r="I17" i="53"/>
  <c r="S19" i="51"/>
  <c r="T19" i="51" s="1"/>
  <c r="G18" i="52"/>
  <c r="G23" i="52" s="1"/>
  <c r="G9" i="53"/>
  <c r="S20" i="51"/>
  <c r="T20" i="51" s="1"/>
  <c r="I18" i="53"/>
  <c r="I13" i="53"/>
  <c r="S15" i="51"/>
  <c r="S31" i="51"/>
  <c r="T31" i="51" s="1"/>
  <c r="T16" i="51"/>
  <c r="T14" i="51" l="1"/>
  <c r="S29" i="51"/>
  <c r="T29" i="51" s="1"/>
  <c r="H9" i="53"/>
  <c r="G22" i="53"/>
  <c r="G36" i="52"/>
  <c r="H23" i="52"/>
  <c r="H30" i="52" s="1"/>
  <c r="H32" i="52" s="1"/>
  <c r="H33" i="52" s="1"/>
  <c r="H34" i="52" s="1"/>
  <c r="G30" i="52"/>
  <c r="T15" i="51"/>
  <c r="S30" i="51"/>
  <c r="T30" i="51" s="1"/>
  <c r="S11" i="51" l="1"/>
  <c r="I9" i="53"/>
  <c r="H22" i="53"/>
  <c r="I22" i="53" s="1"/>
  <c r="T11" i="51" l="1"/>
  <c r="S24" i="51"/>
  <c r="T24" i="51" s="1"/>
  <c r="S27" i="51"/>
  <c r="T27" i="51" l="1"/>
  <c r="S34" i="51"/>
  <c r="T34" i="51" s="1"/>
</calcChain>
</file>

<file path=xl/sharedStrings.xml><?xml version="1.0" encoding="utf-8"?>
<sst xmlns="http://schemas.openxmlformats.org/spreadsheetml/2006/main" count="351" uniqueCount="203">
  <si>
    <t>Puget Sound Energy</t>
  </si>
  <si>
    <t>Calculation of Schedule 140 Rates</t>
  </si>
  <si>
    <t>Proposed</t>
  </si>
  <si>
    <t>Property Tax</t>
  </si>
  <si>
    <t>Monthly</t>
  </si>
  <si>
    <t>Plant</t>
  </si>
  <si>
    <t>Revenue</t>
  </si>
  <si>
    <t>Rate per</t>
  </si>
  <si>
    <t>Rate Class</t>
  </si>
  <si>
    <t>Schedules</t>
  </si>
  <si>
    <t>Requirement</t>
  </si>
  <si>
    <t>Therm</t>
  </si>
  <si>
    <t>Mantle</t>
  </si>
  <si>
    <t>Residential</t>
  </si>
  <si>
    <t>16, 23, 53</t>
  </si>
  <si>
    <t>Commercial &amp; Industrial</t>
  </si>
  <si>
    <t>31, 31T</t>
  </si>
  <si>
    <t>Large Volume</t>
  </si>
  <si>
    <t>41, 41T</t>
  </si>
  <si>
    <t>Interruptible</t>
  </si>
  <si>
    <t>85, 85T</t>
  </si>
  <si>
    <t>Limited Interruptible</t>
  </si>
  <si>
    <t>86, 86T</t>
  </si>
  <si>
    <t>Non-exclusive Interruptible</t>
  </si>
  <si>
    <t>87, 87T</t>
  </si>
  <si>
    <t>Contracts</t>
  </si>
  <si>
    <t>Subtotal</t>
  </si>
  <si>
    <t>Rentals</t>
  </si>
  <si>
    <t>Total</t>
  </si>
  <si>
    <t>Proposed Revenue Requirement</t>
  </si>
  <si>
    <t>Current</t>
  </si>
  <si>
    <t>Schedule</t>
  </si>
  <si>
    <t>41T</t>
  </si>
  <si>
    <t>85T</t>
  </si>
  <si>
    <t>87T</t>
  </si>
  <si>
    <t>Deferral</t>
  </si>
  <si>
    <t xml:space="preserve">Therm </t>
  </si>
  <si>
    <t xml:space="preserve">Deferral  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</si>
  <si>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</si>
  <si>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</si>
  <si>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</si>
  <si>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</si>
  <si>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</si>
  <si>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</si>
  <si>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</si>
  <si>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</si>
  <si>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</si>
  <si>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</si>
  <si>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</si>
  <si>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</si>
  <si>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</si>
  <si>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</si>
  <si>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</si>
  <si>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</si>
  <si>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31T</t>
  </si>
  <si>
    <t>86T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</si>
  <si>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</si>
  <si>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</si>
  <si>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</si>
  <si>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</si>
  <si>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(a)</t>
  </si>
  <si>
    <t>(b)</t>
  </si>
  <si>
    <t>(c)</t>
  </si>
  <si>
    <t>(d)</t>
  </si>
  <si>
    <t>Line</t>
  </si>
  <si>
    <t>No.</t>
  </si>
  <si>
    <t>Forecasted Therm Volumes</t>
  </si>
  <si>
    <t>Revenue Requirement Increase / (Decrease)</t>
  </si>
  <si>
    <t>= 7 - 9</t>
  </si>
  <si>
    <t>(h) = (f) + (g)</t>
  </si>
  <si>
    <t>(i) = (f) / (d)</t>
  </si>
  <si>
    <t>(j) = (g) / (d)</t>
  </si>
  <si>
    <t>(k) = (i) + (j)</t>
  </si>
  <si>
    <t>(l) = (i) * 19</t>
  </si>
  <si>
    <t>(m) = (j) * 19</t>
  </si>
  <si>
    <t>(n) = (l) + (m)</t>
  </si>
  <si>
    <t>TOTAL</t>
  </si>
  <si>
    <t>Forecasted</t>
  </si>
  <si>
    <t>Development of Allocation Factors</t>
  </si>
  <si>
    <t>Allocation</t>
  </si>
  <si>
    <t>Factors</t>
  </si>
  <si>
    <r>
      <t xml:space="preserve">Allocation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</si>
  <si>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In Service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</si>
  <si>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71, 72</t>
  </si>
  <si>
    <t>(without Rentals)</t>
  </si>
  <si>
    <t>(with Rentals</t>
  </si>
  <si>
    <t>re-allocated)</t>
  </si>
  <si>
    <t>Rate Change Impacts by Rate Schedule</t>
  </si>
  <si>
    <t>UG-190530</t>
  </si>
  <si>
    <t>Therms</t>
  </si>
  <si>
    <t>Sch. 140</t>
  </si>
  <si>
    <t>Rate</t>
  </si>
  <si>
    <t>Volume</t>
  </si>
  <si>
    <t>Sched 140</t>
  </si>
  <si>
    <t>Total Forecasted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</si>
  <si>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</si>
  <si>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</si>
  <si>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</si>
  <si>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</si>
  <si>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</si>
  <si>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</si>
  <si>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</si>
  <si>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</si>
  <si>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</si>
  <si>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</si>
  <si>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</si>
  <si>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</si>
  <si>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</si>
  <si>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</si>
  <si>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</si>
  <si>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</si>
  <si>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</si>
  <si>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</si>
  <si>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</si>
  <si>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</si>
  <si>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</si>
  <si>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</si>
  <si>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23,53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</si>
  <si>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</si>
  <si>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</si>
  <si>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</si>
  <si>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</si>
  <si>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</si>
  <si>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</si>
  <si>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Typical Residential Bill Impacts</t>
  </si>
  <si>
    <t>Current Rates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</si>
  <si>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</si>
  <si>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</si>
  <si>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</si>
  <si>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</si>
  <si>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</si>
  <si>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</si>
  <si>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</si>
  <si>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</si>
  <si>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</si>
  <si>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</si>
  <si>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</si>
  <si>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Gas Schedule 140</t>
  </si>
  <si>
    <t>Volume (Therms)</t>
  </si>
  <si>
    <t>Proposed Rates</t>
  </si>
  <si>
    <t>(f) = (c) * [Ln. 10]</t>
  </si>
  <si>
    <t>(g) = (c) * [Ln. 10]</t>
  </si>
  <si>
    <t xml:space="preserve"> (e) </t>
  </si>
  <si>
    <t>(f)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</si>
  <si>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Allocation of plant in service from most recent approved cost of service study (UG-190530).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</si>
  <si>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Plant in service from most recent approved cost of service study (2019 GRC UG-190530).</t>
    </r>
  </si>
  <si>
    <t>Proposed Effective May 1, 2022</t>
  </si>
  <si>
    <r>
      <t xml:space="preserve">Therms </t>
    </r>
    <r>
      <rPr>
        <vertAlign val="superscript"/>
        <sz val="11"/>
        <color theme="1"/>
        <rFont val="Calibri"/>
        <family val="2"/>
        <scheme val="minor"/>
      </rPr>
      <t>(2)</t>
    </r>
  </si>
  <si>
    <t>2022 Gas Schedule 140 Property Tax Filing</t>
  </si>
  <si>
    <t>Proposed Rates Effective May 1, 2022</t>
  </si>
  <si>
    <t>Base Sch.</t>
  </si>
  <si>
    <t>12ME Apr. 2023</t>
  </si>
  <si>
    <t>Base Schedule</t>
  </si>
  <si>
    <t>May 2022 -</t>
  </si>
  <si>
    <t>Sch. 101</t>
  </si>
  <si>
    <t>Sch. 106</t>
  </si>
  <si>
    <t>Sch. 120</t>
  </si>
  <si>
    <t>Sch. 129</t>
  </si>
  <si>
    <t>Sch. 141X</t>
  </si>
  <si>
    <t>Sch. 141Z</t>
  </si>
  <si>
    <t>Sch. 142</t>
  </si>
  <si>
    <t>Sch. 149</t>
  </si>
  <si>
    <t>Apr. 2023</t>
  </si>
  <si>
    <t>Q = sum(G:P)</t>
  </si>
  <si>
    <t xml:space="preserve">R </t>
  </si>
  <si>
    <t>S= R/Q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</si>
  <si>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</si>
  <si>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</si>
  <si>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</si>
  <si>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</si>
  <si>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</si>
  <si>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</si>
  <si>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</si>
  <si>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</si>
  <si>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</si>
  <si>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</si>
  <si>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December 2018, at approved rates from UG-190530 GRC IRS PLR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</si>
  <si>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November 1, 2021.</t>
    </r>
  </si>
  <si>
    <t>Schedule 140 Property Tax</t>
  </si>
  <si>
    <t>Rate Change</t>
  </si>
  <si>
    <t>Basic charge (Sch. 23)</t>
  </si>
  <si>
    <t>Delivery charge (Sch. 23)</t>
  </si>
  <si>
    <t>Low income charge (Sch. 129)</t>
  </si>
  <si>
    <t>Property tax charge (Sch. 140)</t>
  </si>
  <si>
    <t>EDIT adjusting charge (Sch. 141X)</t>
  </si>
  <si>
    <t>UP EDIT adjusting charge (Sch. 141Z)</t>
  </si>
  <si>
    <t>Decoupling charge (Sch. 142)</t>
  </si>
  <si>
    <t>CRM Charge (Sch. 149)</t>
  </si>
  <si>
    <t>Conservation charge (Sch. 120)</t>
  </si>
  <si>
    <t>Gas cost charge (Sch. 101)</t>
  </si>
  <si>
    <t>Gas cost amort. charge (Sch. 106)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</si>
  <si>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November 1, 2021</t>
    </r>
  </si>
  <si>
    <t>Property Tax Tracker</t>
  </si>
  <si>
    <t>Revenue Requirement from 2021 Filing</t>
  </si>
  <si>
    <t>Cash Payment expected to be made 2022</t>
  </si>
  <si>
    <t>True-up for 2021 Load Variance</t>
  </si>
  <si>
    <t>&lt;==Check Load</t>
  </si>
  <si>
    <t xml:space="preserve">Source: F2022 Load Forecast Calendar Month Therms (2-25-2022)  </t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</si>
  <si>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Forecasted rate year normalized volume from F2022 Load Forecast.</t>
    </r>
  </si>
  <si>
    <t>2022 Gas Schedule 140 Property Tax Tracker Filing - FINAL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</si>
  <si>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2022</t>
    </r>
  </si>
  <si>
    <t>General Gas Lighting</t>
  </si>
  <si>
    <t>Rate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</si>
</sst>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_);_(&quot;$&quot;* \(#,##0.00\);_(&quot;$&quot;* &quot;-&quot;_);_(@_)"/>
    <numFmt numFmtId="169" formatCode="_(&quot;$&quot;* #,##0.00000_);_(&quot;$&quot;* \(#,##0.00000\);_(&quot;$&quot;* &quot;-&quot;?????_);_(@_)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u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808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94">
    <xf numFmtId="0" fontId="0" fillId="0" borderId="0" xfId="0"/>
    <xf numFmtId="0" fontId="0" fillId="0" borderId="1" xfId="0" applyBorder="1" applyAlignment="1">
      <alignment horizontal="center"/>
    </xf>
    <xf numFmtId="42" fontId="0" fillId="0" borderId="0" xfId="0" applyNumberFormat="1"/>
    <xf numFmtId="164" fontId="0" fillId="0" borderId="2" xfId="0" applyNumberFormat="1" applyFont="1" applyFill="1" applyBorder="1"/>
    <xf numFmtId="164" fontId="0" fillId="0" borderId="0" xfId="0" applyNumberFormat="1" applyFont="1"/>
    <xf numFmtId="42" fontId="4" fillId="0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/>
    <xf numFmtId="44" fontId="0" fillId="0" borderId="0" xfId="0" applyNumberFormat="1" applyFont="1" applyFill="1"/>
    <xf numFmtId="3" fontId="0" fillId="0" borderId="2" xfId="0" applyNumberFormat="1" applyFont="1" applyBorder="1"/>
    <xf numFmtId="42" fontId="0" fillId="0" borderId="2" xfId="0" applyNumberFormat="1" applyFont="1" applyBorder="1"/>
    <xf numFmtId="42" fontId="0" fillId="0" borderId="0" xfId="0" applyNumberFormat="1" applyFont="1" applyBorder="1"/>
    <xf numFmtId="3" fontId="0" fillId="0" borderId="0" xfId="0" applyNumberFormat="1" applyFont="1"/>
    <xf numFmtId="42" fontId="4" fillId="0" borderId="0" xfId="0" applyNumberFormat="1" applyFont="1"/>
    <xf numFmtId="42" fontId="0" fillId="0" borderId="0" xfId="0" applyNumberFormat="1" applyFill="1"/>
    <xf numFmtId="0" fontId="0" fillId="0" borderId="0" xfId="0" applyFill="1"/>
    <xf numFmtId="41" fontId="0" fillId="0" borderId="0" xfId="0" applyNumberFormat="1" applyFill="1"/>
    <xf numFmtId="0" fontId="0" fillId="0" borderId="2" xfId="0" applyFill="1" applyBorder="1"/>
    <xf numFmtId="42" fontId="0" fillId="0" borderId="4" xfId="0" applyNumberFormat="1" applyFill="1" applyBorder="1"/>
    <xf numFmtId="165" fontId="0" fillId="0" borderId="0" xfId="0" applyNumberFormat="1" applyFont="1" applyFill="1"/>
    <xf numFmtId="0" fontId="0" fillId="0" borderId="0" xfId="0" applyFont="1" applyAlignment="1">
      <alignment horizontal="left"/>
    </xf>
    <xf numFmtId="41" fontId="9" fillId="0" borderId="2" xfId="0" applyNumberFormat="1" applyFont="1" applyFill="1" applyBorder="1"/>
    <xf numFmtId="0" fontId="9" fillId="0" borderId="2" xfId="0" applyFont="1" applyFill="1" applyBorder="1"/>
    <xf numFmtId="0" fontId="12" fillId="0" borderId="0" xfId="0" applyFont="1" applyFill="1" applyAlignment="1">
      <alignment horizontal="left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13" fillId="0" borderId="2" xfId="0" applyNumberFormat="1" applyFont="1" applyFill="1" applyBorder="1"/>
    <xf numFmtId="164" fontId="13" fillId="0" borderId="0" xfId="0" applyNumberFormat="1" applyFont="1"/>
    <xf numFmtId="164" fontId="13" fillId="0" borderId="2" xfId="0" applyNumberFormat="1" applyFont="1" applyBorder="1"/>
    <xf numFmtId="0" fontId="13" fillId="0" borderId="0" xfId="0" applyFont="1" applyFill="1"/>
    <xf numFmtId="3" fontId="5" fillId="0" borderId="0" xfId="0" applyNumberFormat="1" applyFont="1" applyFill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7" fontId="13" fillId="0" borderId="0" xfId="0" applyNumberFormat="1" applyFont="1"/>
    <xf numFmtId="167" fontId="13" fillId="0" borderId="2" xfId="0" applyNumberFormat="1" applyFont="1" applyBorder="1"/>
    <xf numFmtId="164" fontId="13" fillId="0" borderId="0" xfId="0" applyNumberFormat="1" applyFont="1" applyFill="1"/>
    <xf numFmtId="164" fontId="5" fillId="0" borderId="0" xfId="0" applyNumberFormat="1" applyFont="1" applyFill="1"/>
    <xf numFmtId="0" fontId="13" fillId="0" borderId="1" xfId="0" applyFont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9" fontId="13" fillId="0" borderId="0" xfId="0" applyNumberFormat="1" applyFont="1"/>
    <xf numFmtId="164" fontId="13" fillId="0" borderId="0" xfId="0" applyNumberFormat="1" applyFont="1"/>
    <xf numFmtId="0" fontId="13" fillId="0" borderId="0" xfId="0" applyFont="1" applyAlignment="1"/>
    <xf numFmtId="164" fontId="13" fillId="0" borderId="0" xfId="0" applyNumberFormat="1" applyFont="1" applyBorder="1"/>
    <xf numFmtId="164" fontId="13" fillId="0" borderId="1" xfId="0" applyNumberFormat="1" applyFont="1" applyBorder="1"/>
    <xf numFmtId="0" fontId="6" fillId="0" borderId="0" xfId="0" applyFont="1" applyFill="1"/>
    <xf numFmtId="0" fontId="2" fillId="0" borderId="0" xfId="0" applyFont="1" applyFill="1"/>
    <xf numFmtId="0" fontId="11" fillId="0" borderId="0" xfId="0" applyFont="1" applyFill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5" fillId="0" borderId="0" xfId="0" applyNumberFormat="1" applyFont="1"/>
    <xf numFmtId="165" fontId="0" fillId="0" borderId="0" xfId="0" applyNumberFormat="1"/>
    <xf numFmtId="42" fontId="3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4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6" fillId="0" borderId="0" xfId="0" applyFont="1" applyBorder="1" applyAlignment="1">
      <alignment horizontal="left"/>
    </xf>
    <xf numFmtId="3" fontId="17" fillId="0" borderId="0" xfId="0" applyNumberFormat="1" applyFont="1" applyBorder="1"/>
    <xf numFmtId="42" fontId="17" fillId="0" borderId="0" xfId="0" applyNumberFormat="1" applyFont="1" applyBorder="1"/>
    <xf numFmtId="0" fontId="17" fillId="0" borderId="0" xfId="0" applyFont="1"/>
    <xf numFmtId="42" fontId="17" fillId="0" borderId="0" xfId="0" applyNumberFormat="1" applyFont="1"/>
    <xf numFmtId="10" fontId="17" fillId="0" borderId="0" xfId="0" applyNumberFormat="1" applyFont="1"/>
    <xf numFmtId="166" fontId="17" fillId="0" borderId="0" xfId="0" applyNumberFormat="1" applyFont="1" applyFill="1"/>
    <xf numFmtId="167" fontId="17" fillId="0" borderId="0" xfId="0" applyNumberFormat="1" applyFont="1" applyFill="1"/>
    <xf numFmtId="0" fontId="17" fillId="0" borderId="0" xfId="0" applyFont="1" applyFill="1"/>
    <xf numFmtId="0" fontId="17" fillId="0" borderId="0" xfId="0" applyFont="1" applyFill="1" applyBorder="1" applyAlignment="1">
      <alignment horizontal="left" vertical="center" textRotation="180"/>
    </xf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166" fontId="17" fillId="0" borderId="2" xfId="0" applyNumberFormat="1" applyFont="1" applyFill="1" applyBorder="1"/>
    <xf numFmtId="167" fontId="17" fillId="0" borderId="2" xfId="0" applyNumberFormat="1" applyFont="1" applyFill="1" applyBorder="1"/>
    <xf numFmtId="44" fontId="17" fillId="0" borderId="0" xfId="0" applyNumberFormat="1" applyFont="1"/>
    <xf numFmtId="167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9" fillId="0" borderId="0" xfId="0" applyFont="1"/>
    <xf numFmtId="168" fontId="4" fillId="0" borderId="0" xfId="0" applyNumberFormat="1" applyFont="1"/>
    <xf numFmtId="0" fontId="19" fillId="0" borderId="0" xfId="0" applyFont="1" applyBorder="1"/>
    <xf numFmtId="44" fontId="19" fillId="0" borderId="0" xfId="0" applyNumberFormat="1" applyFont="1" applyBorder="1"/>
    <xf numFmtId="44" fontId="4" fillId="0" borderId="0" xfId="0" applyNumberFormat="1" applyFont="1"/>
    <xf numFmtId="44" fontId="4" fillId="0" borderId="0" xfId="0" applyNumberFormat="1" applyFont="1" applyBorder="1"/>
    <xf numFmtId="44" fontId="4" fillId="0" borderId="2" xfId="0" applyNumberFormat="1" applyFont="1" applyBorder="1"/>
    <xf numFmtId="44" fontId="19" fillId="0" borderId="0" xfId="0" applyNumberFormat="1" applyFont="1"/>
    <xf numFmtId="0" fontId="4" fillId="0" borderId="0" xfId="0" applyFont="1" applyBorder="1"/>
    <xf numFmtId="169" fontId="5" fillId="0" borderId="0" xfId="0" applyNumberFormat="1" applyFont="1"/>
    <xf numFmtId="169" fontId="19" fillId="0" borderId="0" xfId="0" applyNumberFormat="1" applyFont="1" applyBorder="1"/>
    <xf numFmtId="169" fontId="4" fillId="0" borderId="0" xfId="0" applyNumberFormat="1" applyFont="1"/>
    <xf numFmtId="169" fontId="0" fillId="0" borderId="0" xfId="0" applyNumberFormat="1" applyFont="1"/>
    <xf numFmtId="169" fontId="4" fillId="0" borderId="2" xfId="0" applyNumberFormat="1" applyFont="1" applyBorder="1"/>
    <xf numFmtId="169" fontId="0" fillId="0" borderId="0" xfId="0" applyNumberFormat="1" applyFont="1" applyFill="1"/>
    <xf numFmtId="168" fontId="4" fillId="0" borderId="2" xfId="0" applyNumberFormat="1" applyFont="1" applyBorder="1"/>
    <xf numFmtId="169" fontId="4" fillId="0" borderId="0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/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165" fontId="3" fillId="0" borderId="0" xfId="0" applyNumberFormat="1" applyFont="1"/>
    <xf numFmtId="42" fontId="2" fillId="0" borderId="0" xfId="0" applyNumberFormat="1" applyFont="1" applyBorder="1" applyAlignment="1">
      <alignment horizontal="center"/>
    </xf>
    <xf numFmtId="165" fontId="3" fillId="0" borderId="1" xfId="0" applyNumberFormat="1" applyFont="1" applyBorder="1"/>
    <xf numFmtId="165" fontId="0" fillId="0" borderId="0" xfId="0" applyNumberFormat="1" applyFont="1"/>
    <xf numFmtId="0" fontId="0" fillId="0" borderId="0" xfId="0" quotePrefix="1" applyFont="1"/>
    <xf numFmtId="0" fontId="14" fillId="0" borderId="0" xfId="0" applyFont="1"/>
    <xf numFmtId="3" fontId="3" fillId="0" borderId="0" xfId="0" applyNumberFormat="1" applyFont="1"/>
    <xf numFmtId="44" fontId="3" fillId="0" borderId="0" xfId="0" applyNumberFormat="1" applyFont="1"/>
    <xf numFmtId="169" fontId="3" fillId="0" borderId="0" xfId="0" applyNumberFormat="1" applyFont="1"/>
    <xf numFmtId="169" fontId="3" fillId="0" borderId="0" xfId="0" applyNumberFormat="1" applyFont="1" applyFill="1"/>
    <xf numFmtId="167" fontId="3" fillId="0" borderId="0" xfId="0" applyNumberFormat="1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0" fontId="0" fillId="0" borderId="0" xfId="0" applyAlignment="1">
      <alignment horizontal="centerContinuous"/>
    </xf>
    <xf numFmtId="0" fontId="3" fillId="0" borderId="1" xfId="0" quotePrefix="1" applyFont="1" applyFill="1" applyBorder="1" applyAlignment="1">
      <alignment horizontal="center"/>
    </xf>
    <xf numFmtId="166" fontId="17" fillId="0" borderId="0" xfId="0" applyNumberFormat="1" applyFont="1" applyFill="1"/>
    <xf numFmtId="165" fontId="0" fillId="0" borderId="2" xfId="0" applyNumberFormat="1" applyBorder="1"/>
    <xf numFmtId="166" fontId="17" fillId="0" borderId="2" xfId="0" applyNumberFormat="1" applyFont="1" applyFill="1" applyBorder="1"/>
    <xf numFmtId="0" fontId="4" fillId="0" borderId="0" xfId="0" applyFont="1" applyFill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1" xfId="0" applyFill="1" applyBorder="1" applyAlignment="1">
      <alignment horizontal="center"/>
    </xf>
    <xf numFmtId="0" fontId="0" fillId="0" borderId="0" xfId="0" quotePrefix="1" applyFill="1" applyAlignment="1">
      <alignment horizontal="left"/>
    </xf>
    <xf numFmtId="0" fontId="0" fillId="0" borderId="0" xfId="0" applyFill="1" applyAlignment="1">
      <alignment horizontal="left" indent="1"/>
    </xf>
    <xf numFmtId="42" fontId="0" fillId="0" borderId="3" xfId="0" applyNumberFormat="1" applyFill="1" applyBorder="1"/>
    <xf numFmtId="41" fontId="9" fillId="0" borderId="0" xfId="0" applyNumberFormat="1" applyFont="1" applyFill="1"/>
    <xf numFmtId="0" fontId="9" fillId="0" borderId="0" xfId="0" applyFont="1" applyFill="1"/>
    <xf numFmtId="166" fontId="9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Alignment="1">
      <alignment horizontal="center"/>
    </xf>
    <xf numFmtId="42" fontId="5" fillId="0" borderId="0" xfId="0" applyNumberFormat="1" applyFont="1" applyFill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1" applyNumberFormat="1" applyFont="1" applyFill="1"/>
    <xf numFmtId="3" fontId="5" fillId="0" borderId="0" xfId="0" applyNumberFormat="1" applyFont="1"/>
    <xf numFmtId="43" fontId="21" fillId="0" borderId="0" xfId="1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44" fontId="2" fillId="0" borderId="0" xfId="0" applyNumberFormat="1" applyFont="1" applyFill="1"/>
    <xf numFmtId="165" fontId="22" fillId="0" borderId="0" xfId="0" applyNumberFormat="1" applyFont="1"/>
    <xf numFmtId="165" fontId="22" fillId="0" borderId="1" xfId="0" applyNumberFormat="1" applyFont="1" applyBorder="1"/>
    <xf numFmtId="0" fontId="2" fillId="0" borderId="0" xfId="0" applyFont="1"/>
    <xf numFmtId="168" fontId="20" fillId="0" borderId="0" xfId="0" applyNumberFormat="1" applyFont="1"/>
    <xf numFmtId="10" fontId="20" fillId="0" borderId="0" xfId="0" applyNumberFormat="1" applyFont="1"/>
    <xf numFmtId="10" fontId="2" fillId="0" borderId="0" xfId="0" applyNumberFormat="1" applyFont="1"/>
    <xf numFmtId="10" fontId="2" fillId="0" borderId="2" xfId="0" applyNumberFormat="1" applyFont="1" applyBorder="1"/>
    <xf numFmtId="0" fontId="23" fillId="0" borderId="0" xfId="0" applyFont="1" applyBorder="1" applyAlignment="1">
      <alignment horizontal="center"/>
    </xf>
    <xf numFmtId="42" fontId="22" fillId="0" borderId="0" xfId="0" applyNumberFormat="1" applyFont="1"/>
    <xf numFmtId="42" fontId="2" fillId="0" borderId="2" xfId="0" applyNumberFormat="1" applyFont="1" applyBorder="1"/>
    <xf numFmtId="164" fontId="0" fillId="0" borderId="2" xfId="0" applyNumberFormat="1" applyFont="1" applyBorder="1"/>
    <xf numFmtId="3" fontId="0" fillId="0" borderId="0" xfId="0" applyNumberFormat="1" applyFont="1" applyBorder="1" applyAlignment="1">
      <alignment horizontal="center"/>
    </xf>
    <xf numFmtId="10" fontId="0" fillId="0" borderId="0" xfId="0" applyNumberFormat="1" applyFont="1"/>
    <xf numFmtId="10" fontId="0" fillId="0" borderId="2" xfId="0" applyNumberFormat="1" applyFont="1" applyBorder="1"/>
    <xf numFmtId="0" fontId="2" fillId="0" borderId="1" xfId="0" applyFont="1" applyBorder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" fontId="0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8080"/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 A"/>
      <sheetName val="BR 11 &amp; Other Adjs"/>
      <sheetName val="COC-Restating"/>
      <sheetName val="Summary"/>
      <sheetName val="Detailed Summary"/>
      <sheetName val="Common Adj"/>
      <sheetName val="Gas Adj"/>
      <sheetName val="Named Ranges G"/>
      <sheetName val="Combined Impacts"/>
      <sheetName val="Sch. 141X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8">
          <cell r="C8" t="str">
            <v>PUGET SOUND ENERGY - NATURAL GAS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90" zoomScaleNormal="90" workbookViewId="0">
      <pane xSplit="3" ySplit="10" topLeftCell="D32" activePane="bottomRight" state="frozen"/>
      <selection pane="topRight" activeCell="D1" sqref="D1"/>
      <selection pane="bottomLeft" activeCell="A11" sqref="A11"/>
      <selection pane="bottomRight" activeCell="B32" sqref="B32"/>
    </sheetView>
  </sheetViews>
  <sheetFormatPr defaultColWidth="9.140625" defaultRowHeight="15" x14ac:dyDescent="0.25"/>
  <cols>
    <col min="1" max="1" width="4.42578125" style="6" customWidth="1"/>
    <col min="2" max="2" width="23.85546875" style="6" customWidth="1"/>
    <col min="3" max="3" width="9.140625" style="6" bestFit="1" customWidth="1"/>
    <col min="4" max="4" width="11.140625" style="6" bestFit="1" customWidth="1"/>
    <col min="5" max="5" width="13.5703125" style="6" bestFit="1" customWidth="1"/>
    <col min="6" max="6" width="14.85546875" style="6" bestFit="1" customWidth="1"/>
    <col min="7" max="7" width="15.140625" style="6" bestFit="1" customWidth="1"/>
    <col min="8" max="8" width="13.42578125" style="6" customWidth="1"/>
    <col min="9" max="11" width="12.42578125" style="6" customWidth="1"/>
    <col min="12" max="12" width="10.140625" style="6" bestFit="1" customWidth="1"/>
    <col min="13" max="13" width="11.28515625" style="6" bestFit="1" customWidth="1"/>
    <col min="14" max="14" width="11.5703125" style="6" bestFit="1" customWidth="1"/>
    <col min="15" max="16384" width="9.140625" style="6"/>
  </cols>
  <sheetData>
    <row r="1" spans="1:15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5" x14ac:dyDescent="0.25">
      <c r="A2" s="7" t="s">
        <v>199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x14ac:dyDescent="0.25">
      <c r="A3" s="191" t="s">
        <v>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5" x14ac:dyDescent="0.25">
      <c r="A4" s="191" t="s">
        <v>146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5" x14ac:dyDescent="0.25">
      <c r="L5" s="8"/>
      <c r="M5" s="8"/>
      <c r="N5" s="8"/>
    </row>
    <row r="6" spans="1:15" ht="13.5" customHeight="1" x14ac:dyDescent="0.25">
      <c r="E6" s="11" t="s">
        <v>77</v>
      </c>
      <c r="F6" s="9" t="s">
        <v>3</v>
      </c>
      <c r="G6" s="9" t="s">
        <v>3</v>
      </c>
      <c r="H6" s="9" t="s">
        <v>3</v>
      </c>
      <c r="I6" s="9" t="s">
        <v>2</v>
      </c>
      <c r="J6" s="9" t="s">
        <v>2</v>
      </c>
      <c r="K6" s="119" t="s">
        <v>2</v>
      </c>
      <c r="L6" s="10" t="s">
        <v>4</v>
      </c>
      <c r="M6" s="10" t="s">
        <v>4</v>
      </c>
      <c r="N6" s="169" t="s">
        <v>4</v>
      </c>
    </row>
    <row r="7" spans="1:15" ht="17.25" x14ac:dyDescent="0.25">
      <c r="B7" s="9"/>
      <c r="C7" s="9"/>
      <c r="D7" s="11" t="str">
        <f>MID('Allocation Factors'!$B$24,80,9)</f>
        <v>UG-190530</v>
      </c>
      <c r="E7" s="11" t="s">
        <v>147</v>
      </c>
      <c r="F7" s="9" t="s">
        <v>6</v>
      </c>
      <c r="G7" s="11" t="s">
        <v>6</v>
      </c>
      <c r="H7" s="9" t="s">
        <v>6</v>
      </c>
      <c r="I7" s="9" t="s">
        <v>7</v>
      </c>
      <c r="J7" s="9" t="s">
        <v>7</v>
      </c>
      <c r="K7" s="119" t="s">
        <v>7</v>
      </c>
      <c r="L7" s="11" t="s">
        <v>7</v>
      </c>
      <c r="M7" s="11" t="s">
        <v>7</v>
      </c>
      <c r="N7" s="167" t="s">
        <v>7</v>
      </c>
    </row>
    <row r="8" spans="1:15" ht="13.5" customHeight="1" x14ac:dyDescent="0.25">
      <c r="A8" s="44" t="s">
        <v>64</v>
      </c>
      <c r="B8" s="9"/>
      <c r="C8" s="9"/>
      <c r="D8" s="11" t="s">
        <v>5</v>
      </c>
      <c r="E8" s="131" t="str">
        <f>TEXT('Therm Forecast'!$B$7,"Mmm YYYY -")</f>
        <v>May 2022 -</v>
      </c>
      <c r="F8" s="9" t="s">
        <v>10</v>
      </c>
      <c r="G8" s="11" t="s">
        <v>10</v>
      </c>
      <c r="H8" s="9" t="s">
        <v>10</v>
      </c>
      <c r="I8" s="9" t="s">
        <v>36</v>
      </c>
      <c r="J8" s="9" t="s">
        <v>11</v>
      </c>
      <c r="K8" s="119" t="s">
        <v>11</v>
      </c>
      <c r="L8" s="11" t="s">
        <v>12</v>
      </c>
      <c r="M8" s="11" t="s">
        <v>12</v>
      </c>
      <c r="N8" s="167" t="s">
        <v>12</v>
      </c>
    </row>
    <row r="9" spans="1:15" ht="17.25" x14ac:dyDescent="0.25">
      <c r="A9" s="12" t="s">
        <v>65</v>
      </c>
      <c r="B9" s="166" t="s">
        <v>8</v>
      </c>
      <c r="C9" s="166" t="s">
        <v>9</v>
      </c>
      <c r="D9" s="13" t="s">
        <v>81</v>
      </c>
      <c r="E9" s="13" t="str">
        <f>TEXT('Therm Forecast'!$M$7,"Mmmm YYYY")</f>
        <v>April 2023</v>
      </c>
      <c r="F9" s="13" t="s">
        <v>30</v>
      </c>
      <c r="G9" s="12" t="s">
        <v>37</v>
      </c>
      <c r="H9" s="12" t="s">
        <v>76</v>
      </c>
      <c r="I9" s="12" t="s">
        <v>30</v>
      </c>
      <c r="J9" s="12" t="s">
        <v>35</v>
      </c>
      <c r="K9" s="166" t="s">
        <v>76</v>
      </c>
      <c r="L9" s="13" t="s">
        <v>30</v>
      </c>
      <c r="M9" s="13" t="s">
        <v>35</v>
      </c>
      <c r="N9" s="166" t="s">
        <v>76</v>
      </c>
    </row>
    <row r="10" spans="1:15" x14ac:dyDescent="0.25">
      <c r="B10" s="162" t="s">
        <v>60</v>
      </c>
      <c r="C10" s="162" t="s">
        <v>61</v>
      </c>
      <c r="D10" s="10" t="s">
        <v>62</v>
      </c>
      <c r="E10" s="11" t="s">
        <v>63</v>
      </c>
      <c r="F10" s="11" t="s">
        <v>140</v>
      </c>
      <c r="G10" s="11" t="s">
        <v>141</v>
      </c>
      <c r="H10" s="11" t="s">
        <v>69</v>
      </c>
      <c r="I10" s="11" t="s">
        <v>70</v>
      </c>
      <c r="J10" s="11" t="s">
        <v>71</v>
      </c>
      <c r="K10" s="11" t="s">
        <v>72</v>
      </c>
      <c r="L10" s="11" t="s">
        <v>73</v>
      </c>
      <c r="M10" s="11" t="s">
        <v>74</v>
      </c>
      <c r="N10" s="11" t="s">
        <v>75</v>
      </c>
      <c r="O10" s="11"/>
    </row>
    <row r="11" spans="1:15" x14ac:dyDescent="0.25">
      <c r="A11" s="44">
        <v>1</v>
      </c>
      <c r="B11" s="173" t="s">
        <v>13</v>
      </c>
      <c r="C11" s="173" t="s">
        <v>14</v>
      </c>
      <c r="D11" s="49">
        <f>'Allocation Factors'!H12</f>
        <v>0.64995997435792197</v>
      </c>
      <c r="E11" s="41">
        <f>SUM('Therm Forecast'!N8:N10)</f>
        <v>595137978</v>
      </c>
      <c r="F11" s="14">
        <f>F$20*D11</f>
        <v>9376507.6083442178</v>
      </c>
      <c r="G11" s="20">
        <f t="shared" ref="G11:G17" si="0">$G$20*D11</f>
        <v>4678463.492649545</v>
      </c>
      <c r="H11" s="14">
        <f t="shared" ref="H11:H17" si="1">SUM(F11:G11)</f>
        <v>14054971.100993764</v>
      </c>
      <c r="I11" s="26">
        <f t="shared" ref="I11:I17" si="2">ROUND(F11/$E11,5)</f>
        <v>1.576E-2</v>
      </c>
      <c r="J11" s="26">
        <f>ROUND((+G11)/$E11,5)</f>
        <v>7.8600000000000007E-3</v>
      </c>
      <c r="K11" s="168">
        <f>SUM(I11:J11)</f>
        <v>2.3620000000000002E-2</v>
      </c>
      <c r="L11" s="15">
        <f>ROUND(I11*19,2)</f>
        <v>0.3</v>
      </c>
      <c r="M11" s="15">
        <f>ROUND(J11*19,2)</f>
        <v>0.15</v>
      </c>
      <c r="N11" s="170">
        <f>SUM(L11:M11)</f>
        <v>0.44999999999999996</v>
      </c>
    </row>
    <row r="12" spans="1:15" x14ac:dyDescent="0.25">
      <c r="A12" s="44">
        <f>A11+1</f>
        <v>2</v>
      </c>
      <c r="B12" s="173" t="s">
        <v>15</v>
      </c>
      <c r="C12" s="173" t="s">
        <v>16</v>
      </c>
      <c r="D12" s="49">
        <f>'Allocation Factors'!H13</f>
        <v>0.27930807572648531</v>
      </c>
      <c r="E12" s="41">
        <f>SUM('Therm Forecast'!N11,'Therm Forecast'!N16)</f>
        <v>238228754</v>
      </c>
      <c r="F12" s="14">
        <f t="shared" ref="F12:F17" si="3">F$20*D12</f>
        <v>4029377.8085466684</v>
      </c>
      <c r="G12" s="20">
        <f t="shared" si="0"/>
        <v>2010481.7020147161</v>
      </c>
      <c r="H12" s="14">
        <f t="shared" si="1"/>
        <v>6039859.5105613843</v>
      </c>
      <c r="I12" s="26">
        <f t="shared" si="2"/>
        <v>1.6910000000000001E-2</v>
      </c>
      <c r="J12" s="26">
        <f t="shared" ref="J12:J17" si="4">ROUND((+G12)/$E12,5)</f>
        <v>8.4399999999999996E-3</v>
      </c>
      <c r="K12" s="168">
        <f t="shared" ref="K12:K17" si="5">SUM(I12:J12)</f>
        <v>2.5350000000000001E-2</v>
      </c>
      <c r="L12" s="26"/>
      <c r="M12" s="26"/>
      <c r="N12" s="8"/>
    </row>
    <row r="13" spans="1:15" x14ac:dyDescent="0.25">
      <c r="A13" s="44">
        <f t="shared" ref="A13:A20" si="6">A12+1</f>
        <v>3</v>
      </c>
      <c r="B13" s="173" t="s">
        <v>17</v>
      </c>
      <c r="C13" s="173" t="s">
        <v>18</v>
      </c>
      <c r="D13" s="49">
        <f>'Allocation Factors'!H14</f>
        <v>3.5559307118697744E-2</v>
      </c>
      <c r="E13" s="41">
        <f>SUM('Therm Forecast'!N12,'Therm Forecast'!N17)</f>
        <v>88262658</v>
      </c>
      <c r="F13" s="14">
        <f t="shared" si="3"/>
        <v>512988.68684228882</v>
      </c>
      <c r="G13" s="20">
        <f t="shared" si="0"/>
        <v>255958.7155241151</v>
      </c>
      <c r="H13" s="14">
        <f t="shared" si="1"/>
        <v>768947.40236640396</v>
      </c>
      <c r="I13" s="26">
        <f t="shared" si="2"/>
        <v>5.8100000000000001E-3</v>
      </c>
      <c r="J13" s="26">
        <f t="shared" si="4"/>
        <v>2.8999999999999998E-3</v>
      </c>
      <c r="K13" s="168">
        <f t="shared" si="5"/>
        <v>8.709999999999999E-3</v>
      </c>
      <c r="L13" s="26"/>
      <c r="M13" s="26"/>
      <c r="N13" s="8"/>
    </row>
    <row r="14" spans="1:15" x14ac:dyDescent="0.25">
      <c r="A14" s="44">
        <f t="shared" si="6"/>
        <v>4</v>
      </c>
      <c r="B14" s="173" t="s">
        <v>19</v>
      </c>
      <c r="C14" s="173" t="s">
        <v>20</v>
      </c>
      <c r="D14" s="49">
        <f>'Allocation Factors'!H15</f>
        <v>1.8084568510143721E-2</v>
      </c>
      <c r="E14" s="41">
        <f>SUM('Therm Forecast'!N13,'Therm Forecast'!N18)</f>
        <v>83672471</v>
      </c>
      <c r="F14" s="14">
        <f t="shared" si="3"/>
        <v>260893.133298706</v>
      </c>
      <c r="G14" s="20">
        <f t="shared" si="0"/>
        <v>130174.15978362197</v>
      </c>
      <c r="H14" s="14">
        <f t="shared" si="1"/>
        <v>391067.29308232799</v>
      </c>
      <c r="I14" s="26">
        <f t="shared" si="2"/>
        <v>3.1199999999999999E-3</v>
      </c>
      <c r="J14" s="26">
        <f t="shared" si="4"/>
        <v>1.56E-3</v>
      </c>
      <c r="K14" s="168">
        <f t="shared" si="5"/>
        <v>4.6800000000000001E-3</v>
      </c>
      <c r="L14" s="26"/>
      <c r="M14" s="26"/>
      <c r="N14" s="8"/>
    </row>
    <row r="15" spans="1:15" x14ac:dyDescent="0.25">
      <c r="A15" s="44">
        <f t="shared" si="6"/>
        <v>5</v>
      </c>
      <c r="B15" s="173" t="s">
        <v>21</v>
      </c>
      <c r="C15" s="173" t="s">
        <v>22</v>
      </c>
      <c r="D15" s="49">
        <f>'Allocation Factors'!H16</f>
        <v>2.3517326442172881E-3</v>
      </c>
      <c r="E15" s="41">
        <f>SUM('Therm Forecast'!N14,'Therm Forecast'!N19)</f>
        <v>6648514</v>
      </c>
      <c r="F15" s="14">
        <f t="shared" si="3"/>
        <v>33926.764572046915</v>
      </c>
      <c r="G15" s="20">
        <f t="shared" si="0"/>
        <v>16927.958265909889</v>
      </c>
      <c r="H15" s="14">
        <f t="shared" si="1"/>
        <v>50854.722837956804</v>
      </c>
      <c r="I15" s="26">
        <f t="shared" si="2"/>
        <v>5.1000000000000004E-3</v>
      </c>
      <c r="J15" s="26">
        <f t="shared" si="4"/>
        <v>2.5500000000000002E-3</v>
      </c>
      <c r="K15" s="168">
        <f t="shared" si="5"/>
        <v>7.6500000000000005E-3</v>
      </c>
      <c r="L15" s="26"/>
      <c r="M15" s="26"/>
      <c r="N15" s="8"/>
    </row>
    <row r="16" spans="1:15" x14ac:dyDescent="0.25">
      <c r="A16" s="44">
        <f t="shared" si="6"/>
        <v>6</v>
      </c>
      <c r="B16" s="173" t="s">
        <v>23</v>
      </c>
      <c r="C16" s="173" t="s">
        <v>24</v>
      </c>
      <c r="D16" s="49">
        <f>'Allocation Factors'!H17</f>
        <v>1.2797238789858037E-2</v>
      </c>
      <c r="E16" s="41">
        <f>SUM('Therm Forecast'!N15,'Therm Forecast'!N20)</f>
        <v>115103058</v>
      </c>
      <c r="F16" s="14">
        <f t="shared" si="3"/>
        <v>184616.60965729452</v>
      </c>
      <c r="G16" s="20">
        <f t="shared" si="0"/>
        <v>92115.540721126468</v>
      </c>
      <c r="H16" s="14">
        <f t="shared" si="1"/>
        <v>276732.15037842101</v>
      </c>
      <c r="I16" s="26">
        <f t="shared" si="2"/>
        <v>1.6000000000000001E-3</v>
      </c>
      <c r="J16" s="26">
        <f t="shared" si="4"/>
        <v>8.0000000000000004E-4</v>
      </c>
      <c r="K16" s="168">
        <f t="shared" si="5"/>
        <v>2.4000000000000002E-3</v>
      </c>
      <c r="L16" s="26"/>
      <c r="M16" s="26"/>
      <c r="N16" s="8"/>
    </row>
    <row r="17" spans="1:14" x14ac:dyDescent="0.25">
      <c r="A17" s="44">
        <f t="shared" si="6"/>
        <v>7</v>
      </c>
      <c r="B17" s="173" t="s">
        <v>25</v>
      </c>
      <c r="C17" s="173"/>
      <c r="D17" s="49">
        <f>'Allocation Factors'!H18</f>
        <v>1.9391028526759568E-3</v>
      </c>
      <c r="E17" s="41">
        <f>'Therm Forecast'!N21</f>
        <v>35501588</v>
      </c>
      <c r="F17" s="14">
        <f t="shared" si="3"/>
        <v>27974.049739662216</v>
      </c>
      <c r="G17" s="20">
        <f t="shared" si="0"/>
        <v>13957.816269685007</v>
      </c>
      <c r="H17" s="14">
        <f t="shared" si="1"/>
        <v>41931.866009347221</v>
      </c>
      <c r="I17" s="26">
        <f t="shared" si="2"/>
        <v>7.9000000000000001E-4</v>
      </c>
      <c r="J17" s="26">
        <f t="shared" si="4"/>
        <v>3.8999999999999999E-4</v>
      </c>
      <c r="K17" s="168">
        <f t="shared" si="5"/>
        <v>1.1800000000000001E-3</v>
      </c>
      <c r="L17" s="26"/>
      <c r="M17" s="26"/>
      <c r="N17" s="8"/>
    </row>
    <row r="18" spans="1:14" x14ac:dyDescent="0.25">
      <c r="A18" s="44">
        <f t="shared" si="6"/>
        <v>8</v>
      </c>
      <c r="B18" s="6" t="s">
        <v>28</v>
      </c>
      <c r="D18" s="3">
        <f>SUM(D11:D17)</f>
        <v>1</v>
      </c>
      <c r="E18" s="16">
        <f>SUM(E11:E17)</f>
        <v>1162555021</v>
      </c>
      <c r="F18" s="17">
        <f>SUM(F11:F17)</f>
        <v>14426284.661000885</v>
      </c>
      <c r="G18" s="17">
        <f>SUM(G11:G17)</f>
        <v>7198079.3852287196</v>
      </c>
      <c r="H18" s="17">
        <f>SUM(H11:H17)</f>
        <v>21624364.046229605</v>
      </c>
      <c r="I18" s="18"/>
      <c r="J18" s="18"/>
      <c r="K18" s="8"/>
      <c r="L18" s="8"/>
      <c r="M18" s="8"/>
      <c r="N18" s="8"/>
    </row>
    <row r="19" spans="1:14" x14ac:dyDescent="0.25">
      <c r="A19" s="44">
        <f t="shared" si="6"/>
        <v>9</v>
      </c>
      <c r="D19" s="4"/>
      <c r="E19" s="19"/>
      <c r="K19" s="8"/>
      <c r="L19" s="8"/>
      <c r="M19" s="8"/>
      <c r="N19" s="8"/>
    </row>
    <row r="20" spans="1:14" x14ac:dyDescent="0.25">
      <c r="A20" s="44">
        <f t="shared" si="6"/>
        <v>10</v>
      </c>
      <c r="B20" s="6" t="s">
        <v>29</v>
      </c>
      <c r="F20" s="159">
        <f>'2022 FINAL Rev Req'!I18</f>
        <v>14426284.661000885</v>
      </c>
      <c r="G20" s="159">
        <f>'2022 FINAL Rev Req'!I19</f>
        <v>7198079.3852287196</v>
      </c>
      <c r="H20" s="5">
        <f>SUM(F20:G20)</f>
        <v>21624364.046229605</v>
      </c>
      <c r="I20" s="14"/>
      <c r="J20" s="14"/>
      <c r="K20" s="8"/>
      <c r="L20" s="8"/>
      <c r="M20" s="8"/>
      <c r="N20" s="8"/>
    </row>
    <row r="22" spans="1:14" ht="17.25" x14ac:dyDescent="0.25">
      <c r="B22" s="6" t="s">
        <v>144</v>
      </c>
      <c r="D22" s="8"/>
    </row>
    <row r="23" spans="1:14" ht="17.25" x14ac:dyDescent="0.25">
      <c r="B23" s="6" t="s">
        <v>198</v>
      </c>
      <c r="D23" s="8"/>
    </row>
    <row r="24" spans="1:14" x14ac:dyDescent="0.25">
      <c r="D24" s="8"/>
      <c r="H24" s="14"/>
    </row>
    <row r="25" spans="1:14" x14ac:dyDescent="0.25">
      <c r="D25" s="8"/>
    </row>
    <row r="26" spans="1:14" x14ac:dyDescent="0.25">
      <c r="D26" s="8"/>
    </row>
    <row r="27" spans="1:14" x14ac:dyDescent="0.25">
      <c r="D27" s="8"/>
    </row>
  </sheetData>
  <mergeCells count="3">
    <mergeCell ref="A1:N1"/>
    <mergeCell ref="A3:N3"/>
    <mergeCell ref="A4:N4"/>
  </mergeCells>
  <printOptions horizontalCentered="1"/>
  <pageMargins left="0.45" right="0.45" top="0.75" bottom="0.75" header="0.3" footer="0.3"/>
  <pageSetup scale="73"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="90" zoomScaleNormal="90" workbookViewId="0">
      <selection activeCell="C14" sqref="C14"/>
    </sheetView>
  </sheetViews>
  <sheetFormatPr defaultColWidth="9.140625" defaultRowHeight="15" x14ac:dyDescent="0.25"/>
  <cols>
    <col min="1" max="1" width="4.42578125" style="31" customWidth="1"/>
    <col min="2" max="2" width="31.5703125" style="31" customWidth="1"/>
    <col min="3" max="3" width="10.42578125" style="31" customWidth="1"/>
    <col min="4" max="4" width="17.140625" style="31" bestFit="1" customWidth="1"/>
    <col min="5" max="5" width="12.85546875" style="31" bestFit="1" customWidth="1"/>
    <col min="6" max="6" width="3.5703125" style="31" customWidth="1"/>
    <col min="7" max="8" width="15.42578125" style="31" bestFit="1" customWidth="1"/>
    <col min="9" max="16384" width="9.140625" style="31"/>
  </cols>
  <sheetData>
    <row r="1" spans="1:8" x14ac:dyDescent="0.25">
      <c r="A1" s="192" t="s">
        <v>0</v>
      </c>
      <c r="B1" s="192"/>
      <c r="C1" s="192"/>
      <c r="D1" s="192"/>
      <c r="E1" s="192"/>
      <c r="F1" s="192"/>
      <c r="G1" s="192"/>
      <c r="H1" s="192"/>
    </row>
    <row r="2" spans="1:8" s="6" customFormat="1" x14ac:dyDescent="0.25">
      <c r="A2" s="191" t="str">
        <f>'Sch. 140 Rates'!A2:N2</f>
        <v>2022 Gas Schedule 140 Property Tax Tracker Filing - FINAL</v>
      </c>
      <c r="B2" s="191"/>
      <c r="C2" s="191"/>
      <c r="D2" s="191"/>
      <c r="E2" s="191"/>
      <c r="F2" s="191"/>
      <c r="G2" s="191"/>
      <c r="H2" s="191"/>
    </row>
    <row r="3" spans="1:8" s="6" customFormat="1" x14ac:dyDescent="0.25">
      <c r="A3" s="191" t="s">
        <v>78</v>
      </c>
      <c r="B3" s="191"/>
      <c r="C3" s="191"/>
      <c r="D3" s="191"/>
      <c r="E3" s="191"/>
      <c r="F3" s="191"/>
      <c r="G3" s="191"/>
      <c r="H3" s="191"/>
    </row>
    <row r="4" spans="1:8" s="6" customFormat="1" x14ac:dyDescent="0.25">
      <c r="A4" s="191" t="str">
        <f>'Sch. 140 Rates'!A4:N4</f>
        <v>Proposed Effective May 1, 2022</v>
      </c>
      <c r="B4" s="191"/>
      <c r="C4" s="191"/>
      <c r="D4" s="191"/>
      <c r="E4" s="191"/>
      <c r="F4" s="191"/>
      <c r="G4" s="191"/>
      <c r="H4" s="191"/>
    </row>
    <row r="5" spans="1:8" s="6" customFormat="1" x14ac:dyDescent="0.25">
      <c r="A5" s="160"/>
      <c r="B5" s="160"/>
      <c r="C5" s="160"/>
      <c r="D5" s="160"/>
      <c r="E5" s="160"/>
      <c r="H5" s="11"/>
    </row>
    <row r="6" spans="1:8" s="6" customFormat="1" x14ac:dyDescent="0.25">
      <c r="A6" s="160"/>
      <c r="B6" s="160"/>
      <c r="C6" s="160"/>
      <c r="D6" s="160"/>
      <c r="E6" s="160"/>
      <c r="H6" s="11" t="s">
        <v>5</v>
      </c>
    </row>
    <row r="7" spans="1:8" s="6" customFormat="1" x14ac:dyDescent="0.25">
      <c r="A7" s="131"/>
      <c r="B7" s="131"/>
      <c r="C7" s="131"/>
      <c r="D7" s="131"/>
      <c r="E7" s="131"/>
      <c r="G7" s="11" t="s">
        <v>5</v>
      </c>
      <c r="H7" s="11" t="s">
        <v>79</v>
      </c>
    </row>
    <row r="8" spans="1:8" x14ac:dyDescent="0.25">
      <c r="B8" s="32"/>
      <c r="C8" s="32"/>
      <c r="D8" s="32"/>
      <c r="E8" s="33" t="s">
        <v>5</v>
      </c>
      <c r="G8" s="33" t="s">
        <v>79</v>
      </c>
      <c r="H8" s="33" t="s">
        <v>80</v>
      </c>
    </row>
    <row r="9" spans="1:8" x14ac:dyDescent="0.25">
      <c r="A9" s="45" t="s">
        <v>64</v>
      </c>
      <c r="B9" s="32"/>
      <c r="C9" s="32"/>
      <c r="D9" s="32" t="s">
        <v>5</v>
      </c>
      <c r="E9" s="33" t="s">
        <v>79</v>
      </c>
      <c r="G9" s="33" t="s">
        <v>80</v>
      </c>
      <c r="H9" s="11" t="s">
        <v>85</v>
      </c>
    </row>
    <row r="10" spans="1:8" ht="17.25" x14ac:dyDescent="0.25">
      <c r="A10" s="34" t="s">
        <v>65</v>
      </c>
      <c r="B10" s="34" t="s">
        <v>8</v>
      </c>
      <c r="C10" s="34" t="s">
        <v>9</v>
      </c>
      <c r="D10" s="50" t="s">
        <v>82</v>
      </c>
      <c r="E10" s="35" t="s">
        <v>80</v>
      </c>
      <c r="G10" s="13" t="s">
        <v>84</v>
      </c>
      <c r="H10" s="12" t="s">
        <v>86</v>
      </c>
    </row>
    <row r="11" spans="1:8" x14ac:dyDescent="0.25">
      <c r="B11" s="45" t="s">
        <v>60</v>
      </c>
      <c r="C11" s="45" t="s">
        <v>61</v>
      </c>
      <c r="D11" s="36" t="s">
        <v>62</v>
      </c>
      <c r="E11" s="45" t="s">
        <v>63</v>
      </c>
      <c r="G11" s="11" t="s">
        <v>142</v>
      </c>
      <c r="H11" s="11" t="s">
        <v>143</v>
      </c>
    </row>
    <row r="12" spans="1:8" x14ac:dyDescent="0.25">
      <c r="A12" s="45">
        <v>1</v>
      </c>
      <c r="B12" s="31" t="s">
        <v>13</v>
      </c>
      <c r="C12" s="31" t="s">
        <v>14</v>
      </c>
      <c r="D12" s="130">
        <v>2758583882.3136344</v>
      </c>
      <c r="E12" s="48">
        <f t="shared" ref="E12:E18" si="0">D12/$D$22</f>
        <v>0.64640217540992984</v>
      </c>
      <c r="G12" s="55">
        <f>D12/$D$19</f>
        <v>0.64995997435792197</v>
      </c>
      <c r="H12" s="53">
        <f>E12+$E$21*G12</f>
        <v>0.64995997435792197</v>
      </c>
    </row>
    <row r="13" spans="1:8" x14ac:dyDescent="0.25">
      <c r="A13" s="45">
        <f>A12+1</f>
        <v>2</v>
      </c>
      <c r="B13" s="31" t="s">
        <v>15</v>
      </c>
      <c r="C13" s="31" t="s">
        <v>16</v>
      </c>
      <c r="D13" s="130">
        <v>1185449545.0435538</v>
      </c>
      <c r="E13" s="48">
        <f t="shared" si="0"/>
        <v>0.27777917853713596</v>
      </c>
      <c r="G13" s="55">
        <f t="shared" ref="G13:G18" si="1">D13/$D$19</f>
        <v>0.27930807572648531</v>
      </c>
      <c r="H13" s="53">
        <f t="shared" ref="H13:H18" si="2">E13+$E$21*G13</f>
        <v>0.27930807572648531</v>
      </c>
    </row>
    <row r="14" spans="1:8" x14ac:dyDescent="0.25">
      <c r="A14" s="45">
        <f t="shared" ref="A14:A22" si="3">A13+1</f>
        <v>3</v>
      </c>
      <c r="B14" s="31" t="s">
        <v>17</v>
      </c>
      <c r="C14" s="31" t="s">
        <v>18</v>
      </c>
      <c r="D14" s="130">
        <v>150922111.13581857</v>
      </c>
      <c r="E14" s="48">
        <f t="shared" si="0"/>
        <v>3.5364659955104003E-2</v>
      </c>
      <c r="G14" s="55">
        <f t="shared" si="1"/>
        <v>3.5559307118697744E-2</v>
      </c>
      <c r="H14" s="53">
        <f t="shared" si="2"/>
        <v>3.5559307118697744E-2</v>
      </c>
    </row>
    <row r="15" spans="1:8" x14ac:dyDescent="0.25">
      <c r="A15" s="45">
        <f t="shared" si="3"/>
        <v>4</v>
      </c>
      <c r="B15" s="31" t="s">
        <v>19</v>
      </c>
      <c r="C15" s="31" t="s">
        <v>20</v>
      </c>
      <c r="D15" s="130">
        <v>76755186.748171672</v>
      </c>
      <c r="E15" s="48">
        <f t="shared" si="0"/>
        <v>1.7985575862352075E-2</v>
      </c>
      <c r="G15" s="55">
        <f t="shared" si="1"/>
        <v>1.8084568510143725E-2</v>
      </c>
      <c r="H15" s="53">
        <f t="shared" si="2"/>
        <v>1.8084568510143721E-2</v>
      </c>
    </row>
    <row r="16" spans="1:8" x14ac:dyDescent="0.25">
      <c r="A16" s="45">
        <f t="shared" si="3"/>
        <v>5</v>
      </c>
      <c r="B16" s="31" t="s">
        <v>21</v>
      </c>
      <c r="C16" s="31" t="s">
        <v>22</v>
      </c>
      <c r="D16" s="130">
        <v>9981309.6556559745</v>
      </c>
      <c r="E16" s="48">
        <f t="shared" si="0"/>
        <v>2.3388595562462626E-3</v>
      </c>
      <c r="G16" s="55">
        <f t="shared" si="1"/>
        <v>2.3517326442172881E-3</v>
      </c>
      <c r="H16" s="53">
        <f t="shared" si="2"/>
        <v>2.3517326442172881E-3</v>
      </c>
    </row>
    <row r="17" spans="1:8" x14ac:dyDescent="0.25">
      <c r="A17" s="45">
        <f t="shared" si="3"/>
        <v>6</v>
      </c>
      <c r="B17" s="31" t="s">
        <v>23</v>
      </c>
      <c r="C17" s="31" t="s">
        <v>24</v>
      </c>
      <c r="D17" s="130">
        <v>54314508.672161512</v>
      </c>
      <c r="E17" s="48">
        <f t="shared" si="0"/>
        <v>1.2727188318290556E-2</v>
      </c>
      <c r="G17" s="55">
        <f t="shared" si="1"/>
        <v>1.2797238789858039E-2</v>
      </c>
      <c r="H17" s="53">
        <f t="shared" si="2"/>
        <v>1.2797238789858037E-2</v>
      </c>
    </row>
    <row r="18" spans="1:8" x14ac:dyDescent="0.25">
      <c r="A18" s="45">
        <f t="shared" si="3"/>
        <v>7</v>
      </c>
      <c r="B18" s="31" t="s">
        <v>25</v>
      </c>
      <c r="D18" s="130">
        <v>8230011.2108050874</v>
      </c>
      <c r="E18" s="48">
        <f t="shared" si="0"/>
        <v>1.9284884481564873E-3</v>
      </c>
      <c r="G18" s="56">
        <f t="shared" si="1"/>
        <v>1.939102852675957E-3</v>
      </c>
      <c r="H18" s="56">
        <f t="shared" si="2"/>
        <v>1.9391028526759568E-3</v>
      </c>
    </row>
    <row r="19" spans="1:8" x14ac:dyDescent="0.25">
      <c r="A19" s="45">
        <f t="shared" si="3"/>
        <v>8</v>
      </c>
      <c r="B19" s="31" t="s">
        <v>26</v>
      </c>
      <c r="D19" s="47">
        <f>SUM(D12:D18)</f>
        <v>4244236554.7798009</v>
      </c>
      <c r="E19" s="37">
        <f>SUM(E12:E18)</f>
        <v>0.99452612608721513</v>
      </c>
      <c r="G19" s="52">
        <f>SUM(G12:G18)</f>
        <v>1</v>
      </c>
      <c r="H19" s="38">
        <f>SUM(H12:H18)</f>
        <v>1</v>
      </c>
    </row>
    <row r="20" spans="1:8" x14ac:dyDescent="0.25">
      <c r="A20" s="45">
        <f t="shared" si="3"/>
        <v>9</v>
      </c>
      <c r="D20" s="46"/>
      <c r="E20" s="38"/>
    </row>
    <row r="21" spans="1:8" x14ac:dyDescent="0.25">
      <c r="A21" s="45">
        <f t="shared" si="3"/>
        <v>10</v>
      </c>
      <c r="B21" s="31" t="s">
        <v>27</v>
      </c>
      <c r="C21" s="6" t="s">
        <v>83</v>
      </c>
      <c r="D21" s="130">
        <v>23360287.022625227</v>
      </c>
      <c r="E21" s="48">
        <f>D21/$D$22</f>
        <v>5.4738739127848293E-3</v>
      </c>
    </row>
    <row r="22" spans="1:8" x14ac:dyDescent="0.25">
      <c r="A22" s="45">
        <f t="shared" si="3"/>
        <v>11</v>
      </c>
      <c r="B22" s="31" t="s">
        <v>28</v>
      </c>
      <c r="D22" s="47">
        <f>D19+D21</f>
        <v>4267596841.8024263</v>
      </c>
      <c r="E22" s="39">
        <f>E19+E21</f>
        <v>1</v>
      </c>
    </row>
    <row r="24" spans="1:8" ht="17.25" x14ac:dyDescent="0.25">
      <c r="B24" s="6" t="s">
        <v>145</v>
      </c>
      <c r="E24" s="40"/>
    </row>
    <row r="25" spans="1:8" x14ac:dyDescent="0.25">
      <c r="B25" s="6"/>
      <c r="E25" s="40"/>
    </row>
    <row r="26" spans="1:8" x14ac:dyDescent="0.25">
      <c r="B26" s="54"/>
      <c r="E26" s="40"/>
    </row>
    <row r="27" spans="1:8" x14ac:dyDescent="0.25">
      <c r="E27" s="40"/>
    </row>
    <row r="28" spans="1:8" x14ac:dyDescent="0.25">
      <c r="E28" s="40"/>
    </row>
  </sheetData>
  <mergeCells count="4">
    <mergeCell ref="A1:H1"/>
    <mergeCell ref="A2:H2"/>
    <mergeCell ref="A3:H3"/>
    <mergeCell ref="A4:H4"/>
  </mergeCells>
  <printOptions horizontalCentered="1"/>
  <pageMargins left="0.45" right="0.45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7"/>
  <sheetViews>
    <sheetView tabSelected="1" zoomScale="90" zoomScaleNormal="90" workbookViewId="0">
      <pane xSplit="3" ySplit="9" topLeftCell="L10" activePane="bottomRight" state="frozenSplit"/>
      <selection activeCell="E22" sqref="E22"/>
      <selection pane="topRight" activeCell="E22" sqref="E22"/>
      <selection pane="bottomLeft" activeCell="E22" sqref="E22"/>
      <selection pane="bottomRight" activeCell="C24" sqref="C24"/>
    </sheetView>
  </sheetViews>
  <sheetFormatPr defaultRowHeight="15" x14ac:dyDescent="0.25"/>
  <cols>
    <col min="1" max="1" width="2.85546875" customWidth="1"/>
    <col min="2" max="2" width="37.5703125" customWidth="1"/>
    <col min="3" max="3" width="9.28515625" customWidth="1"/>
    <col min="4" max="4" width="15" bestFit="1" customWidth="1"/>
    <col min="5" max="5" width="14.5703125" bestFit="1" customWidth="1"/>
    <col min="6" max="6" width="10.5703125" bestFit="1" customWidth="1"/>
    <col min="7" max="7" width="15" customWidth="1"/>
    <col min="8" max="9" width="14.5703125" bestFit="1" customWidth="1"/>
    <col min="10" max="11" width="13.28515625" bestFit="1" customWidth="1"/>
    <col min="12" max="12" width="12.140625" bestFit="1" customWidth="1"/>
    <col min="13" max="13" width="13.28515625" bestFit="1" customWidth="1"/>
    <col min="14" max="14" width="14" bestFit="1" customWidth="1"/>
    <col min="15" max="15" width="12.85546875" bestFit="1" customWidth="1"/>
    <col min="16" max="17" width="13.28515625" bestFit="1" customWidth="1"/>
    <col min="18" max="18" width="16.140625" bestFit="1" customWidth="1"/>
    <col min="19" max="19" width="13.28515625" bestFit="1" customWidth="1"/>
    <col min="20" max="20" width="7.85546875" bestFit="1" customWidth="1"/>
    <col min="21" max="21" width="13.7109375" bestFit="1" customWidth="1"/>
  </cols>
  <sheetData>
    <row r="1" spans="2:20" x14ac:dyDescent="0.25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2:20" x14ac:dyDescent="0.25">
      <c r="B2" s="115" t="s">
        <v>148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2:20" x14ac:dyDescent="0.25">
      <c r="B3" s="136" t="s">
        <v>87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2:20" x14ac:dyDescent="0.25">
      <c r="B4" s="136" t="s">
        <v>149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2:20" x14ac:dyDescent="0.25">
      <c r="F5" s="133"/>
      <c r="N5" s="133"/>
      <c r="Q5" s="133"/>
    </row>
    <row r="6" spans="2:20" x14ac:dyDescent="0.25">
      <c r="F6" s="133"/>
      <c r="G6" s="60" t="s">
        <v>77</v>
      </c>
      <c r="N6" s="133"/>
      <c r="Q6" s="133"/>
    </row>
    <row r="7" spans="2:20" x14ac:dyDescent="0.25">
      <c r="B7" s="60"/>
      <c r="C7" s="119"/>
      <c r="D7" s="60" t="s">
        <v>88</v>
      </c>
      <c r="E7" s="60" t="s">
        <v>88</v>
      </c>
      <c r="F7" s="60" t="s">
        <v>150</v>
      </c>
      <c r="G7" s="60" t="s">
        <v>89</v>
      </c>
      <c r="H7" s="133"/>
      <c r="I7" s="60"/>
      <c r="J7" s="60"/>
      <c r="K7" s="60"/>
      <c r="L7" s="60"/>
      <c r="M7" s="60"/>
      <c r="N7" s="60"/>
      <c r="O7" s="60"/>
      <c r="P7" s="60"/>
      <c r="Q7" s="60"/>
      <c r="R7" s="61" t="s">
        <v>151</v>
      </c>
      <c r="S7" s="178" t="s">
        <v>90</v>
      </c>
      <c r="T7" s="60"/>
    </row>
    <row r="8" spans="2:20" x14ac:dyDescent="0.25">
      <c r="B8" s="119"/>
      <c r="C8" s="119" t="s">
        <v>91</v>
      </c>
      <c r="D8" s="60" t="s">
        <v>92</v>
      </c>
      <c r="E8" s="60" t="s">
        <v>152</v>
      </c>
      <c r="F8" s="60" t="s">
        <v>91</v>
      </c>
      <c r="G8" s="61" t="s">
        <v>153</v>
      </c>
      <c r="H8" s="133" t="s">
        <v>152</v>
      </c>
      <c r="I8" s="60" t="s">
        <v>154</v>
      </c>
      <c r="J8" s="60" t="s">
        <v>155</v>
      </c>
      <c r="K8" s="60" t="s">
        <v>156</v>
      </c>
      <c r="L8" s="60" t="s">
        <v>157</v>
      </c>
      <c r="M8" s="60" t="s">
        <v>90</v>
      </c>
      <c r="N8" s="60" t="s">
        <v>158</v>
      </c>
      <c r="O8" s="60" t="s">
        <v>159</v>
      </c>
      <c r="P8" s="60" t="s">
        <v>160</v>
      </c>
      <c r="Q8" s="60" t="s">
        <v>161</v>
      </c>
      <c r="R8" s="60" t="s">
        <v>94</v>
      </c>
      <c r="S8" s="119" t="s">
        <v>6</v>
      </c>
      <c r="T8" s="119" t="s">
        <v>95</v>
      </c>
    </row>
    <row r="9" spans="2:20" ht="17.25" x14ac:dyDescent="0.25">
      <c r="B9" s="166" t="s">
        <v>202</v>
      </c>
      <c r="C9" s="119" t="s">
        <v>31</v>
      </c>
      <c r="D9" s="1" t="s">
        <v>96</v>
      </c>
      <c r="E9" s="1" t="s">
        <v>97</v>
      </c>
      <c r="F9" s="1" t="s">
        <v>98</v>
      </c>
      <c r="G9" s="137" t="s">
        <v>162</v>
      </c>
      <c r="H9" s="1" t="s">
        <v>6</v>
      </c>
      <c r="I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P9" s="1" t="s">
        <v>6</v>
      </c>
      <c r="Q9" s="1" t="s">
        <v>6</v>
      </c>
      <c r="R9" s="12" t="s">
        <v>99</v>
      </c>
      <c r="S9" s="166" t="s">
        <v>100</v>
      </c>
      <c r="T9" s="166" t="s">
        <v>100</v>
      </c>
    </row>
    <row r="10" spans="2:20" x14ac:dyDescent="0.25">
      <c r="B10" s="9" t="s">
        <v>101</v>
      </c>
      <c r="C10" s="9" t="s">
        <v>102</v>
      </c>
      <c r="D10" s="182" t="s">
        <v>103</v>
      </c>
      <c r="E10" s="63" t="s">
        <v>104</v>
      </c>
      <c r="F10" s="9" t="s">
        <v>105</v>
      </c>
      <c r="G10" s="9" t="s">
        <v>106</v>
      </c>
      <c r="H10" s="9" t="s">
        <v>107</v>
      </c>
      <c r="I10" s="9" t="s">
        <v>108</v>
      </c>
      <c r="J10" s="9" t="s">
        <v>109</v>
      </c>
      <c r="K10" s="9" t="s">
        <v>110</v>
      </c>
      <c r="L10" s="63" t="s">
        <v>111</v>
      </c>
      <c r="M10" s="9" t="s">
        <v>112</v>
      </c>
      <c r="N10" s="63" t="s">
        <v>113</v>
      </c>
      <c r="O10" s="63" t="s">
        <v>114</v>
      </c>
      <c r="P10" s="63" t="s">
        <v>115</v>
      </c>
      <c r="Q10" s="9" t="s">
        <v>116</v>
      </c>
      <c r="R10" s="63" t="s">
        <v>163</v>
      </c>
      <c r="S10" s="9" t="s">
        <v>164</v>
      </c>
      <c r="T10" s="9" t="s">
        <v>165</v>
      </c>
    </row>
    <row r="11" spans="2:20" x14ac:dyDescent="0.25">
      <c r="B11" s="173" t="s">
        <v>13</v>
      </c>
      <c r="C11" s="161" t="s">
        <v>117</v>
      </c>
      <c r="D11" s="126">
        <v>609248315.15931809</v>
      </c>
      <c r="E11" s="66">
        <v>363968434.35868043</v>
      </c>
      <c r="F11" s="65">
        <f t="shared" ref="F11:F16" si="0">(E11)/D11</f>
        <v>0.59740572981888818</v>
      </c>
      <c r="G11" s="126">
        <v>595130910</v>
      </c>
      <c r="H11" s="2">
        <f>F11*G11</f>
        <v>355534615.62632906</v>
      </c>
      <c r="I11" s="66">
        <v>275783663.69</v>
      </c>
      <c r="J11" s="66">
        <v>15580527.220000001</v>
      </c>
      <c r="K11" s="66">
        <v>12015693.072899999</v>
      </c>
      <c r="L11" s="66">
        <v>2172227.8215000001</v>
      </c>
      <c r="M11" s="64">
        <f>'Sch. 140'!F9</f>
        <v>13539228.202499999</v>
      </c>
      <c r="N11" s="66">
        <v>1868711.0574</v>
      </c>
      <c r="O11" s="66">
        <v>-815329.34669999999</v>
      </c>
      <c r="P11" s="66">
        <v>13402348.09</v>
      </c>
      <c r="Q11" s="66">
        <v>13438055.947799999</v>
      </c>
      <c r="R11" s="20">
        <f t="shared" ref="R11:R23" si="1">SUM(H11:Q11)</f>
        <v>702519741.38172913</v>
      </c>
      <c r="S11" s="179">
        <f>'Sch. 140'!H9</f>
        <v>517763.8917000033</v>
      </c>
      <c r="T11" s="176">
        <f>S11/R11</f>
        <v>7.3700973965750121E-4</v>
      </c>
    </row>
    <row r="12" spans="2:20" x14ac:dyDescent="0.25">
      <c r="B12" s="173" t="s">
        <v>201</v>
      </c>
      <c r="C12" s="161">
        <v>16</v>
      </c>
      <c r="D12" s="126">
        <v>9386</v>
      </c>
      <c r="E12" s="66">
        <v>5552.56</v>
      </c>
      <c r="F12" s="65">
        <f t="shared" si="0"/>
        <v>0.59157894736842109</v>
      </c>
      <c r="G12" s="126">
        <v>7068</v>
      </c>
      <c r="H12" s="2">
        <f t="shared" ref="H12:H23" si="2">F12*G12</f>
        <v>4181.2800000000007</v>
      </c>
      <c r="I12" s="66">
        <v>3275.31</v>
      </c>
      <c r="J12" s="66">
        <v>185.04</v>
      </c>
      <c r="K12" s="66">
        <v>142.70292000000001</v>
      </c>
      <c r="L12" s="66"/>
      <c r="M12" s="64">
        <f>'Sch. 140'!F10</f>
        <v>160.797</v>
      </c>
      <c r="N12" s="66">
        <v>22.193519999999999</v>
      </c>
      <c r="O12" s="66">
        <v>-9.6831599999999991</v>
      </c>
      <c r="P12" s="66"/>
      <c r="Q12" s="66">
        <v>159.59544</v>
      </c>
      <c r="R12" s="20">
        <f t="shared" si="1"/>
        <v>8117.2357199999997</v>
      </c>
      <c r="S12" s="179">
        <f>'Sch. 140'!H10</f>
        <v>6.1491600000000233</v>
      </c>
      <c r="T12" s="176">
        <f t="shared" ref="T12:T24" si="3">S12/R12</f>
        <v>7.5754360377254428E-4</v>
      </c>
    </row>
    <row r="13" spans="2:20" x14ac:dyDescent="0.25">
      <c r="B13" s="173" t="s">
        <v>15</v>
      </c>
      <c r="C13" s="161">
        <v>31</v>
      </c>
      <c r="D13" s="126">
        <v>234140158.08963937</v>
      </c>
      <c r="E13" s="66">
        <v>115517786.53999999</v>
      </c>
      <c r="F13" s="65">
        <f t="shared" si="0"/>
        <v>0.49337024234763949</v>
      </c>
      <c r="G13" s="126">
        <v>238193203</v>
      </c>
      <c r="H13" s="2">
        <f t="shared" si="2"/>
        <v>117517438.28967048</v>
      </c>
      <c r="I13" s="66">
        <v>108525587.15000001</v>
      </c>
      <c r="J13" s="66">
        <v>6226370.3300000001</v>
      </c>
      <c r="K13" s="66">
        <v>4809120.7685700003</v>
      </c>
      <c r="L13" s="66">
        <v>733635.06523999991</v>
      </c>
      <c r="M13" s="64">
        <f>'Sch. 140'!F11</f>
        <v>6269245.1029599998</v>
      </c>
      <c r="N13" s="66">
        <v>843203.93862000003</v>
      </c>
      <c r="O13" s="66">
        <v>-350144.00841000001</v>
      </c>
      <c r="P13" s="66">
        <v>7688876.5999999996</v>
      </c>
      <c r="Q13" s="66">
        <v>5888135.9781599995</v>
      </c>
      <c r="R13" s="20">
        <f t="shared" si="1"/>
        <v>258151469.21481049</v>
      </c>
      <c r="S13" s="179">
        <f>'Sch. 140'!H11</f>
        <v>-231047.40690999944</v>
      </c>
      <c r="T13" s="176">
        <f>S13/R13</f>
        <v>-8.9500713520147552E-4</v>
      </c>
    </row>
    <row r="14" spans="2:20" x14ac:dyDescent="0.25">
      <c r="B14" s="173" t="s">
        <v>17</v>
      </c>
      <c r="C14" s="161">
        <v>41</v>
      </c>
      <c r="D14" s="126">
        <v>65836657.463465497</v>
      </c>
      <c r="E14" s="66">
        <v>16636904.087507829</v>
      </c>
      <c r="F14" s="65">
        <f t="shared" si="0"/>
        <v>0.25269970755638815</v>
      </c>
      <c r="G14" s="126">
        <v>65422120</v>
      </c>
      <c r="H14" s="2">
        <f t="shared" si="2"/>
        <v>16532150.591718933</v>
      </c>
      <c r="I14" s="66">
        <v>27516824.669999998</v>
      </c>
      <c r="J14" s="66">
        <v>1702937.78</v>
      </c>
      <c r="K14" s="66">
        <v>1320872.6028</v>
      </c>
      <c r="L14" s="66">
        <v>97478.958799999993</v>
      </c>
      <c r="M14" s="64">
        <f>'Sch. 140'!F12</f>
        <v>575060.43479999993</v>
      </c>
      <c r="N14" s="66">
        <v>87011.419600000008</v>
      </c>
      <c r="O14" s="66">
        <v>-36636.387199999997</v>
      </c>
      <c r="P14" s="66">
        <v>-1316821.8800000001</v>
      </c>
      <c r="Q14" s="66">
        <v>735998.85</v>
      </c>
      <c r="R14" s="20">
        <f t="shared" si="1"/>
        <v>47214877.040518932</v>
      </c>
      <c r="S14" s="179">
        <f>'Sch. 140'!H12</f>
        <v>-5233.7695999999996</v>
      </c>
      <c r="T14" s="176">
        <f t="shared" si="3"/>
        <v>-1.108500101675257E-4</v>
      </c>
    </row>
    <row r="15" spans="2:20" x14ac:dyDescent="0.25">
      <c r="B15" s="173" t="s">
        <v>19</v>
      </c>
      <c r="C15" s="161">
        <v>85</v>
      </c>
      <c r="D15" s="126">
        <v>16184434.068649083</v>
      </c>
      <c r="E15" s="66">
        <v>1697295.0899999999</v>
      </c>
      <c r="F15" s="65">
        <f t="shared" si="0"/>
        <v>0.1048720692240846</v>
      </c>
      <c r="G15" s="126">
        <v>13050473</v>
      </c>
      <c r="H15" s="2">
        <f t="shared" si="2"/>
        <v>1368630.1078630469</v>
      </c>
      <c r="I15" s="66">
        <v>5142832.66</v>
      </c>
      <c r="J15" s="66">
        <v>338659.77</v>
      </c>
      <c r="K15" s="66">
        <v>218986.93693999999</v>
      </c>
      <c r="L15" s="66">
        <v>9689.1751502953775</v>
      </c>
      <c r="M15" s="64">
        <f>'Sch. 140'!F13</f>
        <v>63294.794050000004</v>
      </c>
      <c r="N15" s="66">
        <v>10570.88313</v>
      </c>
      <c r="O15" s="66">
        <v>-3523.6277100000002</v>
      </c>
      <c r="P15" s="66"/>
      <c r="Q15" s="66">
        <v>87568.67383</v>
      </c>
      <c r="R15" s="20">
        <f t="shared" si="1"/>
        <v>7236709.3732533436</v>
      </c>
      <c r="S15" s="179">
        <f>'Sch. 140'!H13</f>
        <v>-2218.5804100000023</v>
      </c>
      <c r="T15" s="176">
        <f t="shared" si="3"/>
        <v>-3.0657309773967262E-4</v>
      </c>
    </row>
    <row r="16" spans="2:20" x14ac:dyDescent="0.25">
      <c r="B16" s="173" t="s">
        <v>21</v>
      </c>
      <c r="C16" s="161">
        <v>86</v>
      </c>
      <c r="D16" s="126">
        <v>9397200.2729263548</v>
      </c>
      <c r="E16" s="66">
        <v>1991938.09</v>
      </c>
      <c r="F16" s="65">
        <f t="shared" si="0"/>
        <v>0.21197144172172638</v>
      </c>
      <c r="G16" s="126">
        <v>5525178</v>
      </c>
      <c r="H16" s="2">
        <f t="shared" si="2"/>
        <v>1171179.9464291648</v>
      </c>
      <c r="I16" s="66">
        <v>2301730.9900000002</v>
      </c>
      <c r="J16" s="66">
        <v>143544.12</v>
      </c>
      <c r="K16" s="66">
        <v>92712.486839999998</v>
      </c>
      <c r="L16" s="66">
        <v>7237.9831800000002</v>
      </c>
      <c r="M16" s="64">
        <f>'Sch. 140'!F14</f>
        <v>59948.181300000004</v>
      </c>
      <c r="N16" s="66">
        <v>6740.7171600000001</v>
      </c>
      <c r="O16" s="66">
        <v>-1823.3087399999999</v>
      </c>
      <c r="P16" s="66">
        <v>-97210.040000000008</v>
      </c>
      <c r="Q16" s="66">
        <v>46743.005880000004</v>
      </c>
      <c r="R16" s="20">
        <f t="shared" si="1"/>
        <v>3730804.0820491654</v>
      </c>
      <c r="S16" s="179">
        <f>'Sch. 140'!H14</f>
        <v>-17680.569600000003</v>
      </c>
      <c r="T16" s="176">
        <f t="shared" si="3"/>
        <v>-4.7390774779813285E-3</v>
      </c>
    </row>
    <row r="17" spans="2:21" x14ac:dyDescent="0.25">
      <c r="B17" s="173" t="s">
        <v>23</v>
      </c>
      <c r="C17" s="161">
        <v>87</v>
      </c>
      <c r="D17" s="126">
        <v>23337042.118500695</v>
      </c>
      <c r="E17" s="66">
        <v>1376677.9799999997</v>
      </c>
      <c r="F17" s="65">
        <f>(E17)/D17</f>
        <v>5.8991108342244594E-2</v>
      </c>
      <c r="G17" s="126">
        <v>15908154</v>
      </c>
      <c r="H17" s="2">
        <f t="shared" si="2"/>
        <v>938439.63613911171</v>
      </c>
      <c r="I17" s="66">
        <v>6315696.2199999997</v>
      </c>
      <c r="J17" s="66">
        <v>412816.6</v>
      </c>
      <c r="K17" s="66">
        <v>266938.82412</v>
      </c>
      <c r="L17" s="66">
        <v>4691.849587821448</v>
      </c>
      <c r="M17" s="64">
        <f>'Sch. 140'!F15</f>
        <v>41997.526559999998</v>
      </c>
      <c r="N17" s="66">
        <v>6840.5062200000002</v>
      </c>
      <c r="O17" s="66">
        <v>-2227.14156</v>
      </c>
      <c r="P17" s="66"/>
      <c r="Q17" s="66">
        <v>59496.49596</v>
      </c>
      <c r="R17" s="20">
        <f t="shared" si="1"/>
        <v>8044690.517026932</v>
      </c>
      <c r="S17" s="179">
        <f>'Sch. 140'!H15</f>
        <v>-3817.9569599999959</v>
      </c>
      <c r="T17" s="176">
        <f t="shared" si="3"/>
        <v>-4.7459339199178966E-4</v>
      </c>
    </row>
    <row r="18" spans="2:21" x14ac:dyDescent="0.25">
      <c r="B18" s="173" t="s">
        <v>118</v>
      </c>
      <c r="C18" s="161" t="s">
        <v>54</v>
      </c>
      <c r="D18" s="126">
        <v>36359.963605097219</v>
      </c>
      <c r="E18" s="66">
        <v>25086.03</v>
      </c>
      <c r="F18" s="65">
        <f>(E18)/D18</f>
        <v>0.68993550907964185</v>
      </c>
      <c r="G18" s="126">
        <v>35551</v>
      </c>
      <c r="H18" s="2">
        <f t="shared" si="2"/>
        <v>24527.897283290349</v>
      </c>
      <c r="I18" s="66"/>
      <c r="J18" s="66"/>
      <c r="K18" s="66"/>
      <c r="L18" s="66">
        <v>109.49708</v>
      </c>
      <c r="M18" s="64">
        <f>'Sch. 140'!F16</f>
        <v>935.70231999999999</v>
      </c>
      <c r="N18" s="66">
        <v>125.85054000000001</v>
      </c>
      <c r="O18" s="66">
        <v>-52.259969999999996</v>
      </c>
      <c r="P18" s="66">
        <v>1108.1199999999999</v>
      </c>
      <c r="Q18" s="66">
        <v>878.82071999999994</v>
      </c>
      <c r="R18" s="20">
        <f t="shared" si="1"/>
        <v>27633.627973290349</v>
      </c>
      <c r="S18" s="179">
        <f>'Sch. 140'!H16</f>
        <v>-34.484469999999988</v>
      </c>
      <c r="T18" s="176">
        <f t="shared" si="3"/>
        <v>-1.2479168509227747E-3</v>
      </c>
    </row>
    <row r="19" spans="2:21" x14ac:dyDescent="0.25">
      <c r="B19" s="173" t="s">
        <v>119</v>
      </c>
      <c r="C19" s="161" t="s">
        <v>32</v>
      </c>
      <c r="D19" s="126">
        <v>20492334.449073859</v>
      </c>
      <c r="E19" s="66">
        <v>4384305.3758256389</v>
      </c>
      <c r="F19" s="65">
        <f t="shared" ref="F19:F24" si="4">(E19)/D19</f>
        <v>0.21394855655519449</v>
      </c>
      <c r="G19" s="126">
        <v>22840538</v>
      </c>
      <c r="H19" s="2">
        <f>F19*G19</f>
        <v>4886700.1360440692</v>
      </c>
      <c r="I19" s="66"/>
      <c r="J19" s="66"/>
      <c r="K19" s="66"/>
      <c r="L19" s="66">
        <v>34032.401619999997</v>
      </c>
      <c r="M19" s="64">
        <f>'Sch. 140'!F17</f>
        <v>200768.32901999998</v>
      </c>
      <c r="N19" s="66">
        <v>30377.915540000002</v>
      </c>
      <c r="O19" s="66">
        <v>-12790.701279999999</v>
      </c>
      <c r="P19" s="66">
        <v>-407849.12</v>
      </c>
      <c r="Q19" s="66">
        <v>256956.05249999999</v>
      </c>
      <c r="R19" s="20">
        <f t="shared" si="1"/>
        <v>4988195.0134440698</v>
      </c>
      <c r="S19" s="179">
        <f>'Sch. 140'!H17</f>
        <v>-1827.2430400000012</v>
      </c>
      <c r="T19" s="176">
        <f t="shared" si="3"/>
        <v>-3.6631347312509981E-4</v>
      </c>
    </row>
    <row r="20" spans="2:21" x14ac:dyDescent="0.25">
      <c r="B20" s="173" t="s">
        <v>120</v>
      </c>
      <c r="C20" s="161" t="s">
        <v>33</v>
      </c>
      <c r="D20" s="126">
        <v>74773537.134971082</v>
      </c>
      <c r="E20" s="66">
        <v>7487912.2400000002</v>
      </c>
      <c r="F20" s="65">
        <f t="shared" si="4"/>
        <v>0.10014120672777367</v>
      </c>
      <c r="G20" s="126">
        <v>70621998</v>
      </c>
      <c r="H20" s="2">
        <f t="shared" si="2"/>
        <v>7072172.1012464184</v>
      </c>
      <c r="I20" s="66"/>
      <c r="J20" s="66"/>
      <c r="K20" s="66"/>
      <c r="L20" s="66">
        <v>47997.112435106988</v>
      </c>
      <c r="M20" s="64">
        <f>'Sch. 140'!F18</f>
        <v>342516.69030000002</v>
      </c>
      <c r="N20" s="66">
        <v>57203.818379999997</v>
      </c>
      <c r="O20" s="66">
        <v>-19067.939460000001</v>
      </c>
      <c r="P20" s="66"/>
      <c r="Q20" s="66">
        <v>473873.60657999996</v>
      </c>
      <c r="R20" s="20">
        <f t="shared" si="1"/>
        <v>7974695.3894815259</v>
      </c>
      <c r="S20" s="179">
        <f>'Sch. 140'!H18</f>
        <v>-12005.739660000021</v>
      </c>
      <c r="T20" s="176">
        <f t="shared" si="3"/>
        <v>-1.5054794037444197E-3</v>
      </c>
    </row>
    <row r="21" spans="2:21" x14ac:dyDescent="0.25">
      <c r="B21" s="173" t="s">
        <v>121</v>
      </c>
      <c r="C21" s="161" t="s">
        <v>55</v>
      </c>
      <c r="D21" s="126">
        <v>351288.14999999997</v>
      </c>
      <c r="E21" s="66">
        <v>70256.2</v>
      </c>
      <c r="F21" s="65">
        <f t="shared" si="4"/>
        <v>0.19999592926775356</v>
      </c>
      <c r="G21" s="126">
        <v>1123336</v>
      </c>
      <c r="H21" s="2">
        <f t="shared" si="2"/>
        <v>224662.6271999212</v>
      </c>
      <c r="I21" s="66"/>
      <c r="J21" s="66"/>
      <c r="K21" s="66"/>
      <c r="L21" s="66">
        <v>1471.57016</v>
      </c>
      <c r="M21" s="64">
        <f>'Sch. 140'!F19</f>
        <v>12188.195600000001</v>
      </c>
      <c r="N21" s="66">
        <v>1370.46992</v>
      </c>
      <c r="O21" s="66">
        <v>-370.70087999999998</v>
      </c>
      <c r="P21" s="66">
        <v>-16465.36</v>
      </c>
      <c r="Q21" s="66">
        <v>9503.4225600000009</v>
      </c>
      <c r="R21" s="20">
        <f t="shared" si="1"/>
        <v>232360.22455992122</v>
      </c>
      <c r="S21" s="179">
        <f>'Sch. 140'!H19</f>
        <v>-3594.6751999999997</v>
      </c>
      <c r="T21" s="176">
        <f t="shared" si="3"/>
        <v>-1.5470269091055222E-2</v>
      </c>
    </row>
    <row r="22" spans="2:21" x14ac:dyDescent="0.25">
      <c r="B22" s="173" t="s">
        <v>122</v>
      </c>
      <c r="C22" s="161" t="s">
        <v>34</v>
      </c>
      <c r="D22" s="126">
        <v>100441128.37470125</v>
      </c>
      <c r="E22" s="66">
        <v>4338586.3099999996</v>
      </c>
      <c r="F22" s="65">
        <f>(E22)/D22</f>
        <v>4.3195316303244434E-2</v>
      </c>
      <c r="G22" s="126">
        <v>99194904</v>
      </c>
      <c r="H22" s="2">
        <f t="shared" si="2"/>
        <v>4284755.2539499663</v>
      </c>
      <c r="I22" s="66"/>
      <c r="J22" s="66"/>
      <c r="K22" s="66"/>
      <c r="L22" s="66">
        <v>23630.905792189424</v>
      </c>
      <c r="M22" s="64">
        <f>'Sch. 140'!F20</f>
        <v>261874.54655999999</v>
      </c>
      <c r="N22" s="66">
        <v>42653.808720000001</v>
      </c>
      <c r="O22" s="66">
        <v>-13887.286559999999</v>
      </c>
      <c r="P22" s="66"/>
      <c r="Q22" s="66">
        <v>370988.94095999998</v>
      </c>
      <c r="R22" s="20">
        <f t="shared" si="1"/>
        <v>4970016.1694221562</v>
      </c>
      <c r="S22" s="179">
        <f>'Sch. 140'!H20</f>
        <v>-23806.776959999959</v>
      </c>
      <c r="T22" s="176">
        <f t="shared" si="3"/>
        <v>-4.7900803837360303E-3</v>
      </c>
    </row>
    <row r="23" spans="2:21" x14ac:dyDescent="0.25">
      <c r="B23" s="185" t="s">
        <v>25</v>
      </c>
      <c r="C23" s="185"/>
      <c r="D23" s="126">
        <v>37056427.854413897</v>
      </c>
      <c r="E23" s="66">
        <v>1757519.5213237838</v>
      </c>
      <c r="F23" s="67">
        <f t="shared" si="4"/>
        <v>4.7428195945617584E-2</v>
      </c>
      <c r="G23" s="126">
        <v>35501588</v>
      </c>
      <c r="H23" s="2">
        <f t="shared" si="2"/>
        <v>1683776.2720445858</v>
      </c>
      <c r="I23" s="66"/>
      <c r="J23" s="66"/>
      <c r="K23" s="66"/>
      <c r="L23" s="66"/>
      <c r="M23" s="64">
        <f>'Sch. 140'!F21</f>
        <v>46507.080280000002</v>
      </c>
      <c r="N23" s="66">
        <v>7455.3334800000002</v>
      </c>
      <c r="O23" s="66">
        <v>-2485.1111599999999</v>
      </c>
      <c r="P23" s="66"/>
      <c r="Q23" s="66">
        <v>33016.476840000003</v>
      </c>
      <c r="R23" s="20">
        <f t="shared" si="1"/>
        <v>1768270.0514845857</v>
      </c>
      <c r="S23" s="179">
        <f>'Sch. 140'!H21</f>
        <v>-4615.2064400000017</v>
      </c>
      <c r="T23" s="176">
        <f t="shared" si="3"/>
        <v>-2.6100122185099581E-3</v>
      </c>
    </row>
    <row r="24" spans="2:21" x14ac:dyDescent="0.25">
      <c r="B24" s="173" t="s">
        <v>28</v>
      </c>
      <c r="D24" s="68">
        <f>SUM(D11:D23)</f>
        <v>1191304269.0992641</v>
      </c>
      <c r="E24" s="69">
        <f>SUM(E11:E23)</f>
        <v>519258254.38333762</v>
      </c>
      <c r="F24" s="65">
        <f t="shared" si="4"/>
        <v>0.43587374598761802</v>
      </c>
      <c r="G24" s="68">
        <f>SUM(G11:G23)</f>
        <v>1162555021</v>
      </c>
      <c r="H24" s="69">
        <f>SUM(H11:H23)</f>
        <v>511243229.76591808</v>
      </c>
      <c r="I24" s="69">
        <f t="shared" ref="I24:K24" si="5">SUM(I11:I23)</f>
        <v>425589610.69000006</v>
      </c>
      <c r="J24" s="69">
        <f t="shared" si="5"/>
        <v>24405040.860000003</v>
      </c>
      <c r="K24" s="69">
        <f t="shared" si="5"/>
        <v>18724467.395089999</v>
      </c>
      <c r="L24" s="69">
        <f>SUM(L11:L23)</f>
        <v>3132202.3405454135</v>
      </c>
      <c r="M24" s="69">
        <f>SUM(M11:M23)</f>
        <v>21413725.583249994</v>
      </c>
      <c r="N24" s="69">
        <f>SUM(N11:N23)</f>
        <v>2962287.9122300004</v>
      </c>
      <c r="O24" s="69">
        <f>SUM(O11:O23)</f>
        <v>-1258347.5027899996</v>
      </c>
      <c r="P24" s="69">
        <f t="shared" ref="P24:R24" si="6">SUM(P11:P23)</f>
        <v>19253986.41</v>
      </c>
      <c r="Q24" s="69">
        <f t="shared" si="6"/>
        <v>21401375.867229994</v>
      </c>
      <c r="R24" s="70">
        <f t="shared" si="6"/>
        <v>1046867579.3214735</v>
      </c>
      <c r="S24" s="180">
        <f>SUM(S11:S23)</f>
        <v>211887.63161000388</v>
      </c>
      <c r="T24" s="177">
        <f t="shared" si="3"/>
        <v>2.0240156042212971E-4</v>
      </c>
      <c r="U24" s="2"/>
    </row>
    <row r="25" spans="2:21" x14ac:dyDescent="0.25">
      <c r="D25" s="71"/>
      <c r="E25" s="2"/>
      <c r="G25" s="71"/>
      <c r="L25" s="2"/>
      <c r="O25" s="2"/>
      <c r="P25" s="2"/>
      <c r="R25" s="2"/>
      <c r="T25" s="72"/>
    </row>
    <row r="26" spans="2:21" s="76" customFormat="1" x14ac:dyDescent="0.25">
      <c r="B26" s="73" t="s">
        <v>123</v>
      </c>
      <c r="C26" s="186"/>
      <c r="D26" s="74"/>
      <c r="E26" s="75"/>
      <c r="S26" s="77"/>
      <c r="T26" s="78"/>
    </row>
    <row r="27" spans="2:21" s="76" customFormat="1" x14ac:dyDescent="0.25">
      <c r="B27" s="186" t="s">
        <v>13</v>
      </c>
      <c r="C27" s="187" t="s">
        <v>166</v>
      </c>
      <c r="D27" s="79">
        <f>D11+D12</f>
        <v>609257701.15931809</v>
      </c>
      <c r="E27" s="80">
        <f>E11+E12</f>
        <v>363973986.91868043</v>
      </c>
      <c r="F27" s="65">
        <f t="shared" ref="F27:F34" si="7">(E27)/D27</f>
        <v>0.5974056400536214</v>
      </c>
      <c r="G27" s="138">
        <f>G11+G12</f>
        <v>595137978</v>
      </c>
      <c r="H27" s="80">
        <f>H11+H12</f>
        <v>355538796.90632904</v>
      </c>
      <c r="I27" s="80">
        <f t="shared" ref="I27:Q27" si="8">I11+I12</f>
        <v>275786939</v>
      </c>
      <c r="J27" s="80">
        <f t="shared" si="8"/>
        <v>15580712.26</v>
      </c>
      <c r="K27" s="80">
        <f t="shared" si="8"/>
        <v>12015835.775819998</v>
      </c>
      <c r="L27" s="80">
        <f t="shared" si="8"/>
        <v>2172227.8215000001</v>
      </c>
      <c r="M27" s="80">
        <f t="shared" si="8"/>
        <v>13539388.999499999</v>
      </c>
      <c r="N27" s="80">
        <f t="shared" si="8"/>
        <v>1868733.25092</v>
      </c>
      <c r="O27" s="80">
        <f t="shared" si="8"/>
        <v>-815339.02986000001</v>
      </c>
      <c r="P27" s="80">
        <f t="shared" si="8"/>
        <v>13402348.09</v>
      </c>
      <c r="Q27" s="80">
        <f t="shared" si="8"/>
        <v>13438215.54324</v>
      </c>
      <c r="R27" s="80">
        <f>R11+R12</f>
        <v>702527858.61744916</v>
      </c>
      <c r="S27" s="14">
        <f>SUM(S11:S12)</f>
        <v>517770.04086000327</v>
      </c>
      <c r="T27" s="183">
        <f t="shared" ref="T27:T34" si="9">S27/R27</f>
        <v>7.3700997691245583E-4</v>
      </c>
      <c r="U27" s="82"/>
    </row>
    <row r="28" spans="2:21" s="76" customFormat="1" x14ac:dyDescent="0.25">
      <c r="B28" s="188" t="s">
        <v>167</v>
      </c>
      <c r="C28" s="187" t="s">
        <v>168</v>
      </c>
      <c r="D28" s="79">
        <f>D13+D18</f>
        <v>234176518.05324447</v>
      </c>
      <c r="E28" s="80">
        <f>E13+E18</f>
        <v>115542872.56999999</v>
      </c>
      <c r="F28" s="65">
        <f t="shared" si="7"/>
        <v>0.49340076251252968</v>
      </c>
      <c r="G28" s="138">
        <f t="shared" ref="G28:Q32" si="10">G13+G18</f>
        <v>238228754</v>
      </c>
      <c r="H28" s="80">
        <f t="shared" si="10"/>
        <v>117541966.18695377</v>
      </c>
      <c r="I28" s="80">
        <f t="shared" si="10"/>
        <v>108525587.15000001</v>
      </c>
      <c r="J28" s="80">
        <f t="shared" si="10"/>
        <v>6226370.3300000001</v>
      </c>
      <c r="K28" s="80">
        <f t="shared" si="10"/>
        <v>4809120.7685700003</v>
      </c>
      <c r="L28" s="80">
        <f t="shared" si="10"/>
        <v>733744.56231999991</v>
      </c>
      <c r="M28" s="80">
        <f t="shared" si="10"/>
        <v>6270180.80528</v>
      </c>
      <c r="N28" s="80">
        <f t="shared" si="10"/>
        <v>843329.78916000004</v>
      </c>
      <c r="O28" s="80">
        <f t="shared" si="10"/>
        <v>-350196.26838000002</v>
      </c>
      <c r="P28" s="80">
        <f t="shared" si="10"/>
        <v>7689984.7199999997</v>
      </c>
      <c r="Q28" s="80">
        <f t="shared" si="10"/>
        <v>5889014.7988799997</v>
      </c>
      <c r="R28" s="80">
        <f>R13+R18</f>
        <v>258179102.84278378</v>
      </c>
      <c r="S28" s="14">
        <f>SUM(S13,S18)</f>
        <v>-231081.89137999943</v>
      </c>
      <c r="T28" s="183">
        <f t="shared" si="9"/>
        <v>-8.9504490811061113E-4</v>
      </c>
    </row>
    <row r="29" spans="2:21" s="76" customFormat="1" x14ac:dyDescent="0.25">
      <c r="B29" s="186" t="s">
        <v>169</v>
      </c>
      <c r="C29" s="187" t="s">
        <v>170</v>
      </c>
      <c r="D29" s="79">
        <f t="shared" ref="D29:E32" si="11">D14+D19</f>
        <v>86328991.912539363</v>
      </c>
      <c r="E29" s="80">
        <f t="shared" si="11"/>
        <v>21021209.463333469</v>
      </c>
      <c r="F29" s="65">
        <f t="shared" si="7"/>
        <v>0.24350115757902321</v>
      </c>
      <c r="G29" s="138">
        <f t="shared" si="10"/>
        <v>88262658</v>
      </c>
      <c r="H29" s="80">
        <f t="shared" si="10"/>
        <v>21418850.727763001</v>
      </c>
      <c r="I29" s="80">
        <f t="shared" si="10"/>
        <v>27516824.669999998</v>
      </c>
      <c r="J29" s="80">
        <f t="shared" si="10"/>
        <v>1702937.78</v>
      </c>
      <c r="K29" s="80">
        <f t="shared" si="10"/>
        <v>1320872.6028</v>
      </c>
      <c r="L29" s="80">
        <f t="shared" si="10"/>
        <v>131511.36041999998</v>
      </c>
      <c r="M29" s="80">
        <f t="shared" si="10"/>
        <v>775828.76381999988</v>
      </c>
      <c r="N29" s="80">
        <f t="shared" si="10"/>
        <v>117389.33514000001</v>
      </c>
      <c r="O29" s="80">
        <f t="shared" si="10"/>
        <v>-49427.088479999999</v>
      </c>
      <c r="P29" s="80">
        <f t="shared" si="10"/>
        <v>-1724671</v>
      </c>
      <c r="Q29" s="80">
        <f t="shared" si="10"/>
        <v>992954.90249999997</v>
      </c>
      <c r="R29" s="80">
        <f>R14+R19</f>
        <v>52203072.053963006</v>
      </c>
      <c r="S29" s="14">
        <f>SUM(S14,S19)</f>
        <v>-7061.0126400000008</v>
      </c>
      <c r="T29" s="183">
        <f t="shared" si="9"/>
        <v>-1.3526048108243398E-4</v>
      </c>
    </row>
    <row r="30" spans="2:21" s="76" customFormat="1" x14ac:dyDescent="0.25">
      <c r="B30" s="186" t="s">
        <v>19</v>
      </c>
      <c r="C30" s="187" t="s">
        <v>171</v>
      </c>
      <c r="D30" s="79">
        <f t="shared" si="11"/>
        <v>90957971.203620166</v>
      </c>
      <c r="E30" s="80">
        <f t="shared" si="11"/>
        <v>9185207.3300000001</v>
      </c>
      <c r="F30" s="65">
        <f t="shared" si="7"/>
        <v>0.10098298377211853</v>
      </c>
      <c r="G30" s="138">
        <f t="shared" si="10"/>
        <v>83672471</v>
      </c>
      <c r="H30" s="80">
        <f t="shared" si="10"/>
        <v>8440802.2091094647</v>
      </c>
      <c r="I30" s="80">
        <f t="shared" si="10"/>
        <v>5142832.66</v>
      </c>
      <c r="J30" s="80">
        <f t="shared" si="10"/>
        <v>338659.77</v>
      </c>
      <c r="K30" s="80">
        <f t="shared" si="10"/>
        <v>218986.93693999999</v>
      </c>
      <c r="L30" s="80">
        <f t="shared" si="10"/>
        <v>57686.287585402366</v>
      </c>
      <c r="M30" s="80">
        <f t="shared" si="10"/>
        <v>405811.48435000004</v>
      </c>
      <c r="N30" s="80">
        <f t="shared" si="10"/>
        <v>67774.701509999999</v>
      </c>
      <c r="O30" s="80">
        <f t="shared" si="10"/>
        <v>-22591.567170000002</v>
      </c>
      <c r="P30" s="80">
        <f t="shared" si="10"/>
        <v>0</v>
      </c>
      <c r="Q30" s="80">
        <f t="shared" si="10"/>
        <v>561442.28041000001</v>
      </c>
      <c r="R30" s="80">
        <f>R15+R20</f>
        <v>15211404.762734869</v>
      </c>
      <c r="S30" s="14">
        <f>SUM(S15,S20)</f>
        <v>-14224.320070000023</v>
      </c>
      <c r="T30" s="183">
        <f t="shared" si="9"/>
        <v>-9.3510890623639043E-4</v>
      </c>
    </row>
    <row r="31" spans="2:21" s="76" customFormat="1" x14ac:dyDescent="0.25">
      <c r="B31" s="186" t="s">
        <v>172</v>
      </c>
      <c r="C31" s="187" t="s">
        <v>173</v>
      </c>
      <c r="D31" s="79">
        <f t="shared" si="11"/>
        <v>9748488.4229263552</v>
      </c>
      <c r="E31" s="80">
        <f t="shared" si="11"/>
        <v>2062194.29</v>
      </c>
      <c r="F31" s="65">
        <f t="shared" si="7"/>
        <v>0.2115399024478668</v>
      </c>
      <c r="G31" s="138">
        <f t="shared" si="10"/>
        <v>6648514</v>
      </c>
      <c r="H31" s="80">
        <f t="shared" si="10"/>
        <v>1395842.5736290861</v>
      </c>
      <c r="I31" s="80">
        <f t="shared" si="10"/>
        <v>2301730.9900000002</v>
      </c>
      <c r="J31" s="80">
        <f t="shared" si="10"/>
        <v>143544.12</v>
      </c>
      <c r="K31" s="80">
        <f t="shared" si="10"/>
        <v>92712.486839999998</v>
      </c>
      <c r="L31" s="80">
        <f t="shared" si="10"/>
        <v>8709.5533400000004</v>
      </c>
      <c r="M31" s="80">
        <f t="shared" si="10"/>
        <v>72136.376900000003</v>
      </c>
      <c r="N31" s="80">
        <f t="shared" si="10"/>
        <v>8111.1870799999997</v>
      </c>
      <c r="O31" s="80">
        <f t="shared" si="10"/>
        <v>-2194.0096199999998</v>
      </c>
      <c r="P31" s="80">
        <f t="shared" si="10"/>
        <v>-113675.40000000001</v>
      </c>
      <c r="Q31" s="80">
        <f t="shared" si="10"/>
        <v>56246.428440000003</v>
      </c>
      <c r="R31" s="80">
        <f>R16+R21</f>
        <v>3963164.3066090867</v>
      </c>
      <c r="S31" s="14">
        <f>SUM(S16,S21)</f>
        <v>-21275.2448</v>
      </c>
      <c r="T31" s="183">
        <f t="shared" si="9"/>
        <v>-5.3682469749035617E-3</v>
      </c>
    </row>
    <row r="32" spans="2:21" s="76" customFormat="1" x14ac:dyDescent="0.25">
      <c r="B32" s="84" t="s">
        <v>174</v>
      </c>
      <c r="C32" s="189" t="s">
        <v>175</v>
      </c>
      <c r="D32" s="79">
        <f t="shared" si="11"/>
        <v>123778170.49320194</v>
      </c>
      <c r="E32" s="80">
        <f t="shared" si="11"/>
        <v>5715264.2899999991</v>
      </c>
      <c r="F32" s="65">
        <f t="shared" si="7"/>
        <v>4.6173442919920107E-2</v>
      </c>
      <c r="G32" s="138">
        <f t="shared" si="10"/>
        <v>115103058</v>
      </c>
      <c r="H32" s="80">
        <f t="shared" si="10"/>
        <v>5223194.8900890779</v>
      </c>
      <c r="I32" s="80">
        <f t="shared" si="10"/>
        <v>6315696.2199999997</v>
      </c>
      <c r="J32" s="80">
        <f t="shared" si="10"/>
        <v>412816.6</v>
      </c>
      <c r="K32" s="80">
        <f t="shared" si="10"/>
        <v>266938.82412</v>
      </c>
      <c r="L32" s="80">
        <f t="shared" si="10"/>
        <v>28322.755380010873</v>
      </c>
      <c r="M32" s="80">
        <f t="shared" si="10"/>
        <v>303872.07311999996</v>
      </c>
      <c r="N32" s="80">
        <f t="shared" si="10"/>
        <v>49494.314940000004</v>
      </c>
      <c r="O32" s="80">
        <f t="shared" si="10"/>
        <v>-16114.428119999999</v>
      </c>
      <c r="P32" s="80">
        <f t="shared" si="10"/>
        <v>0</v>
      </c>
      <c r="Q32" s="80">
        <f t="shared" si="10"/>
        <v>430485.43692000001</v>
      </c>
      <c r="R32" s="80">
        <f>R17+R22</f>
        <v>13014706.686449088</v>
      </c>
      <c r="S32" s="14">
        <f>SUM(S17,S22)</f>
        <v>-27624.733919999955</v>
      </c>
      <c r="T32" s="183">
        <f t="shared" si="9"/>
        <v>-2.1225782943508692E-3</v>
      </c>
    </row>
    <row r="33" spans="2:20" s="76" customFormat="1" x14ac:dyDescent="0.25">
      <c r="B33" s="190" t="s">
        <v>25</v>
      </c>
      <c r="C33" s="190"/>
      <c r="D33" s="79">
        <f>D23</f>
        <v>37056427.854413897</v>
      </c>
      <c r="E33" s="80">
        <f>E23</f>
        <v>1757519.5213237838</v>
      </c>
      <c r="F33" s="65">
        <f t="shared" si="7"/>
        <v>4.7428195945617584E-2</v>
      </c>
      <c r="G33" s="138">
        <f>G23</f>
        <v>35501588</v>
      </c>
      <c r="H33" s="80">
        <f>H23</f>
        <v>1683776.2720445858</v>
      </c>
      <c r="I33" s="80">
        <f t="shared" ref="I33:Q33" si="12">I23</f>
        <v>0</v>
      </c>
      <c r="J33" s="80">
        <f t="shared" si="12"/>
        <v>0</v>
      </c>
      <c r="K33" s="80">
        <f t="shared" si="12"/>
        <v>0</v>
      </c>
      <c r="L33" s="80">
        <f t="shared" si="12"/>
        <v>0</v>
      </c>
      <c r="M33" s="80">
        <f t="shared" si="12"/>
        <v>46507.080280000002</v>
      </c>
      <c r="N33" s="80">
        <f t="shared" si="12"/>
        <v>7455.3334800000002</v>
      </c>
      <c r="O33" s="80">
        <f t="shared" si="12"/>
        <v>-2485.1111599999999</v>
      </c>
      <c r="P33" s="80">
        <f t="shared" si="12"/>
        <v>0</v>
      </c>
      <c r="Q33" s="80">
        <f t="shared" si="12"/>
        <v>33016.476840000003</v>
      </c>
      <c r="R33" s="80">
        <f>R23</f>
        <v>1768270.0514845857</v>
      </c>
      <c r="S33" s="14">
        <f>S23</f>
        <v>-4615.2064400000017</v>
      </c>
      <c r="T33" s="183">
        <f t="shared" si="9"/>
        <v>-2.6100122185099581E-3</v>
      </c>
    </row>
    <row r="34" spans="2:20" s="76" customFormat="1" x14ac:dyDescent="0.25">
      <c r="B34" s="84" t="s">
        <v>28</v>
      </c>
      <c r="C34" s="84"/>
      <c r="D34" s="85">
        <f>SUM(D27:D33)</f>
        <v>1191304269.0992644</v>
      </c>
      <c r="E34" s="86">
        <f>SUM(E27:E33)</f>
        <v>519258254.38333774</v>
      </c>
      <c r="F34" s="139">
        <f t="shared" si="7"/>
        <v>0.43587374598761802</v>
      </c>
      <c r="G34" s="140">
        <f>SUM(G27:G33)</f>
        <v>1162555021</v>
      </c>
      <c r="H34" s="86">
        <f>SUM(H27:H33)</f>
        <v>511243229.76591808</v>
      </c>
      <c r="I34" s="86">
        <f t="shared" ref="I34:Q34" si="13">SUM(I27:I33)</f>
        <v>425589610.69000006</v>
      </c>
      <c r="J34" s="86">
        <f t="shared" si="13"/>
        <v>24405040.860000003</v>
      </c>
      <c r="K34" s="86">
        <f t="shared" si="13"/>
        <v>18724467.395089999</v>
      </c>
      <c r="L34" s="86">
        <f t="shared" si="13"/>
        <v>3132202.3405454131</v>
      </c>
      <c r="M34" s="86">
        <f t="shared" si="13"/>
        <v>21413725.583249997</v>
      </c>
      <c r="N34" s="86">
        <f t="shared" si="13"/>
        <v>2962287.9122300004</v>
      </c>
      <c r="O34" s="86">
        <f t="shared" si="13"/>
        <v>-1258347.5027899998</v>
      </c>
      <c r="P34" s="86">
        <f t="shared" si="13"/>
        <v>19253986.41</v>
      </c>
      <c r="Q34" s="86">
        <f t="shared" si="13"/>
        <v>21401375.867229998</v>
      </c>
      <c r="R34" s="86">
        <f>SUM(R27:R33)</f>
        <v>1046867579.3214735</v>
      </c>
      <c r="S34" s="86">
        <f>SUM(S27:S33)</f>
        <v>211887.63161000391</v>
      </c>
      <c r="T34" s="184">
        <f t="shared" si="9"/>
        <v>2.0240156042212974E-4</v>
      </c>
    </row>
    <row r="35" spans="2:20" s="76" customFormat="1" x14ac:dyDescent="0.25">
      <c r="B35" s="81"/>
      <c r="C35" s="81"/>
      <c r="D35" s="81"/>
      <c r="E35" s="81"/>
      <c r="F35" s="81"/>
      <c r="I35" s="83"/>
      <c r="L35" s="81"/>
      <c r="N35" s="81"/>
      <c r="O35" s="81"/>
      <c r="P35" s="81"/>
      <c r="Q35" s="81"/>
      <c r="R35" s="81"/>
      <c r="S35" s="87"/>
    </row>
    <row r="36" spans="2:20" ht="17.25" x14ac:dyDescent="0.25">
      <c r="B36" t="s">
        <v>176</v>
      </c>
      <c r="D36" s="71"/>
      <c r="E36" s="71"/>
      <c r="H36" s="88"/>
      <c r="L36" s="71"/>
      <c r="O36" s="71"/>
      <c r="P36" s="71"/>
      <c r="R36" s="71"/>
    </row>
    <row r="37" spans="2:20" ht="17.25" x14ac:dyDescent="0.25">
      <c r="B37" t="s">
        <v>177</v>
      </c>
    </row>
  </sheetData>
  <printOptions horizontalCentered="1"/>
  <pageMargins left="0.45" right="0.45" top="0.75" bottom="0.75" header="0.3" footer="0.3"/>
  <pageSetup paperSize="5" scale="61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37" sqref="D37"/>
    </sheetView>
  </sheetViews>
  <sheetFormatPr defaultColWidth="9.140625" defaultRowHeight="15" x14ac:dyDescent="0.25"/>
  <cols>
    <col min="1" max="1" width="2.140625" style="89" customWidth="1"/>
    <col min="2" max="2" width="2.42578125" style="89" customWidth="1"/>
    <col min="3" max="3" width="33" style="89" customWidth="1"/>
    <col min="4" max="5" width="11.85546875" style="89" customWidth="1"/>
    <col min="6" max="6" width="2.7109375" style="102" customWidth="1"/>
    <col min="7" max="8" width="11.85546875" style="89" customWidth="1"/>
    <col min="9" max="16384" width="9.140625" style="89"/>
  </cols>
  <sheetData>
    <row r="1" spans="2:8" x14ac:dyDescent="0.25">
      <c r="B1" s="141" t="s">
        <v>0</v>
      </c>
      <c r="C1" s="141"/>
      <c r="D1" s="141"/>
      <c r="E1" s="141"/>
      <c r="F1" s="141"/>
      <c r="G1" s="141"/>
      <c r="H1" s="141"/>
    </row>
    <row r="2" spans="2:8" x14ac:dyDescent="0.25">
      <c r="B2" s="141" t="str">
        <f>'Rate Impacts Sch 140'!B2</f>
        <v>2022 Gas Schedule 140 Property Tax Filing</v>
      </c>
      <c r="C2" s="141"/>
      <c r="D2" s="141"/>
      <c r="E2" s="141"/>
      <c r="F2" s="141"/>
      <c r="G2" s="141"/>
      <c r="H2" s="141"/>
    </row>
    <row r="3" spans="2:8" x14ac:dyDescent="0.25">
      <c r="B3" s="115" t="s">
        <v>124</v>
      </c>
      <c r="C3" s="115"/>
      <c r="D3" s="115"/>
      <c r="E3" s="115"/>
      <c r="F3" s="115"/>
      <c r="G3" s="115"/>
      <c r="H3" s="115"/>
    </row>
    <row r="4" spans="2:8" x14ac:dyDescent="0.25">
      <c r="B4" s="115" t="str">
        <f>'Rate Impacts Sch 140'!B4</f>
        <v>Proposed Rates Effective May 1, 2022</v>
      </c>
      <c r="C4" s="115"/>
      <c r="D4" s="115"/>
      <c r="E4" s="115"/>
      <c r="F4" s="115"/>
      <c r="G4" s="115"/>
      <c r="H4" s="115"/>
    </row>
    <row r="6" spans="2:8" x14ac:dyDescent="0.25">
      <c r="G6" s="142" t="s">
        <v>178</v>
      </c>
      <c r="H6" s="142"/>
    </row>
    <row r="7" spans="2:8" x14ac:dyDescent="0.25">
      <c r="D7" s="90" t="s">
        <v>125</v>
      </c>
      <c r="E7" s="90"/>
      <c r="F7" s="91"/>
      <c r="G7" s="90" t="s">
        <v>179</v>
      </c>
      <c r="H7" s="90"/>
    </row>
    <row r="8" spans="2:8" ht="17.25" x14ac:dyDescent="0.25">
      <c r="D8" s="92" t="s">
        <v>126</v>
      </c>
      <c r="E8" s="92" t="s">
        <v>127</v>
      </c>
      <c r="F8" s="93"/>
      <c r="G8" s="92" t="s">
        <v>128</v>
      </c>
      <c r="H8" s="92" t="s">
        <v>127</v>
      </c>
    </row>
    <row r="9" spans="2:8" x14ac:dyDescent="0.25">
      <c r="B9" s="89" t="s">
        <v>129</v>
      </c>
      <c r="D9" s="94">
        <v>64</v>
      </c>
      <c r="E9" s="95"/>
      <c r="F9" s="96"/>
      <c r="G9" s="94">
        <v>64</v>
      </c>
      <c r="H9" s="95"/>
    </row>
    <row r="10" spans="2:8" x14ac:dyDescent="0.25">
      <c r="D10" s="94"/>
      <c r="E10" s="95"/>
      <c r="F10" s="96"/>
      <c r="G10" s="94"/>
      <c r="H10" s="95"/>
    </row>
    <row r="11" spans="2:8" x14ac:dyDescent="0.25">
      <c r="B11" s="89" t="s">
        <v>130</v>
      </c>
      <c r="D11" s="94"/>
      <c r="E11" s="95"/>
      <c r="F11" s="96"/>
      <c r="G11" s="94"/>
      <c r="H11" s="95"/>
    </row>
    <row r="12" spans="2:8" x14ac:dyDescent="0.25">
      <c r="C12" s="89" t="s">
        <v>180</v>
      </c>
      <c r="D12" s="127">
        <v>11.52</v>
      </c>
      <c r="E12" s="95">
        <f>D12</f>
        <v>11.52</v>
      </c>
      <c r="F12" s="97"/>
      <c r="G12" s="98">
        <f>$D$12</f>
        <v>11.52</v>
      </c>
      <c r="H12" s="95">
        <f>G12</f>
        <v>11.52</v>
      </c>
    </row>
    <row r="13" spans="2:8" x14ac:dyDescent="0.25">
      <c r="C13" s="89" t="s">
        <v>26</v>
      </c>
      <c r="D13" s="100">
        <f>SUM(D12:D12)</f>
        <v>11.52</v>
      </c>
      <c r="E13" s="100">
        <f>SUM(E12:E12)</f>
        <v>11.52</v>
      </c>
      <c r="F13" s="97"/>
      <c r="G13" s="100">
        <f>SUM(G12:G12)</f>
        <v>11.52</v>
      </c>
      <c r="H13" s="100">
        <f>SUM(H12:H12)</f>
        <v>11.52</v>
      </c>
    </row>
    <row r="14" spans="2:8" x14ac:dyDescent="0.25">
      <c r="D14" s="101"/>
      <c r="E14" s="95"/>
      <c r="F14" s="97"/>
      <c r="G14" s="98"/>
      <c r="H14" s="95"/>
    </row>
    <row r="15" spans="2:8" x14ac:dyDescent="0.25">
      <c r="B15" s="89" t="s">
        <v>131</v>
      </c>
      <c r="E15" s="95"/>
      <c r="H15" s="95"/>
    </row>
    <row r="16" spans="2:8" x14ac:dyDescent="0.25">
      <c r="C16" s="89" t="s">
        <v>181</v>
      </c>
      <c r="D16" s="128">
        <v>0.41964000000000001</v>
      </c>
      <c r="E16" s="95"/>
      <c r="F16" s="104"/>
      <c r="G16" s="105">
        <f>$D$16</f>
        <v>0.41964000000000001</v>
      </c>
      <c r="H16" s="95"/>
    </row>
    <row r="17" spans="2:8" x14ac:dyDescent="0.25">
      <c r="C17" s="89" t="s">
        <v>182</v>
      </c>
      <c r="D17" s="129">
        <v>3.65E-3</v>
      </c>
      <c r="E17" s="95"/>
      <c r="F17" s="104"/>
      <c r="G17" s="106">
        <f>$D$17</f>
        <v>3.65E-3</v>
      </c>
      <c r="H17" s="95"/>
    </row>
    <row r="18" spans="2:8" x14ac:dyDescent="0.25">
      <c r="C18" s="89" t="s">
        <v>183</v>
      </c>
      <c r="D18" s="103">
        <f>'Sch. 140'!$D$9</f>
        <v>2.2749999999999999E-2</v>
      </c>
      <c r="E18" s="95"/>
      <c r="F18" s="104"/>
      <c r="G18" s="103">
        <f>'Sch. 140'!$E$9</f>
        <v>2.3620000000000002E-2</v>
      </c>
      <c r="H18" s="95"/>
    </row>
    <row r="19" spans="2:8" x14ac:dyDescent="0.25">
      <c r="C19" s="89" t="s">
        <v>184</v>
      </c>
      <c r="D19" s="128">
        <v>3.14E-3</v>
      </c>
      <c r="E19" s="95"/>
      <c r="F19" s="104"/>
      <c r="G19" s="105">
        <f>$D$19</f>
        <v>3.14E-3</v>
      </c>
      <c r="H19" s="95"/>
    </row>
    <row r="20" spans="2:8" x14ac:dyDescent="0.25">
      <c r="C20" s="89" t="s">
        <v>185</v>
      </c>
      <c r="D20" s="128">
        <v>-1.3699999999999999E-3</v>
      </c>
      <c r="E20" s="95"/>
      <c r="F20" s="104"/>
      <c r="G20" s="106">
        <f>$D$20</f>
        <v>-1.3699999999999999E-3</v>
      </c>
      <c r="H20" s="95"/>
    </row>
    <row r="21" spans="2:8" x14ac:dyDescent="0.25">
      <c r="C21" s="89" t="s">
        <v>186</v>
      </c>
      <c r="D21" s="128">
        <v>2.2519999999999998E-2</v>
      </c>
      <c r="E21" s="95"/>
      <c r="F21" s="104"/>
      <c r="G21" s="106">
        <f>$D$21</f>
        <v>2.2519999999999998E-2</v>
      </c>
      <c r="H21" s="95"/>
    </row>
    <row r="22" spans="2:8" x14ac:dyDescent="0.25">
      <c r="C22" s="89" t="s">
        <v>187</v>
      </c>
      <c r="D22" s="129">
        <v>2.2579999999999999E-2</v>
      </c>
      <c r="E22" s="95"/>
      <c r="F22" s="104"/>
      <c r="G22" s="106">
        <f>$D$22</f>
        <v>2.2579999999999999E-2</v>
      </c>
      <c r="H22" s="95"/>
    </row>
    <row r="23" spans="2:8" x14ac:dyDescent="0.25">
      <c r="C23" s="89" t="s">
        <v>26</v>
      </c>
      <c r="D23" s="107">
        <f>SUM(D16:D22)</f>
        <v>0.49290999999999996</v>
      </c>
      <c r="E23" s="95">
        <f>ROUND(D23*D$9,2)</f>
        <v>31.55</v>
      </c>
      <c r="F23" s="104"/>
      <c r="G23" s="107">
        <f>SUM(G16:G22)</f>
        <v>0.49378</v>
      </c>
      <c r="H23" s="95">
        <f>ROUND(G23*G$9,2)</f>
        <v>31.6</v>
      </c>
    </row>
    <row r="25" spans="2:8" x14ac:dyDescent="0.25">
      <c r="C25" s="89" t="s">
        <v>188</v>
      </c>
      <c r="D25" s="128">
        <v>2.019E-2</v>
      </c>
      <c r="E25" s="95">
        <f>ROUND(D25*D$9,2)</f>
        <v>1.29</v>
      </c>
      <c r="F25" s="104"/>
      <c r="G25" s="108">
        <f>$D$25</f>
        <v>2.019E-2</v>
      </c>
      <c r="H25" s="95">
        <f>ROUND(G25*G$9,2)</f>
        <v>1.29</v>
      </c>
    </row>
    <row r="26" spans="2:8" x14ac:dyDescent="0.25">
      <c r="D26" s="105"/>
      <c r="E26" s="95"/>
      <c r="F26" s="104"/>
      <c r="G26" s="105"/>
      <c r="H26" s="95"/>
    </row>
    <row r="27" spans="2:8" x14ac:dyDescent="0.25">
      <c r="C27" s="89" t="s">
        <v>189</v>
      </c>
      <c r="D27" s="128">
        <v>0.46339999999999998</v>
      </c>
      <c r="E27" s="95"/>
      <c r="F27" s="104"/>
      <c r="G27" s="106">
        <f>$D$27</f>
        <v>0.46339999999999998</v>
      </c>
      <c r="H27" s="95"/>
    </row>
    <row r="28" spans="2:8" x14ac:dyDescent="0.25">
      <c r="C28" s="89" t="s">
        <v>190</v>
      </c>
      <c r="D28" s="128">
        <v>2.6179999999999998E-2</v>
      </c>
      <c r="E28" s="95"/>
      <c r="F28" s="104"/>
      <c r="G28" s="106">
        <f>$D$28</f>
        <v>2.6179999999999998E-2</v>
      </c>
      <c r="H28" s="95"/>
    </row>
    <row r="29" spans="2:8" x14ac:dyDescent="0.25">
      <c r="C29" s="89" t="s">
        <v>26</v>
      </c>
      <c r="D29" s="107">
        <f>SUM(D27:D28)</f>
        <v>0.48957999999999996</v>
      </c>
      <c r="E29" s="95">
        <f>ROUND(D29*D$9,2)</f>
        <v>31.33</v>
      </c>
      <c r="F29" s="104"/>
      <c r="G29" s="107">
        <f>SUM(G27:G28)</f>
        <v>0.48957999999999996</v>
      </c>
      <c r="H29" s="95">
        <f>ROUND(G29*G$9,2)</f>
        <v>31.33</v>
      </c>
    </row>
    <row r="30" spans="2:8" x14ac:dyDescent="0.25">
      <c r="C30" s="89" t="s">
        <v>132</v>
      </c>
      <c r="D30" s="107">
        <f>D23+D25+D29</f>
        <v>1.00268</v>
      </c>
      <c r="E30" s="109">
        <f>SUM(E23,E25,E29)</f>
        <v>64.17</v>
      </c>
      <c r="F30" s="110"/>
      <c r="G30" s="107">
        <f>G23+G25+G29</f>
        <v>1.0035499999999999</v>
      </c>
      <c r="H30" s="109">
        <f>SUM(H23,H25,H29)</f>
        <v>64.22</v>
      </c>
    </row>
    <row r="31" spans="2:8" x14ac:dyDescent="0.25">
      <c r="E31" s="95"/>
      <c r="H31" s="174"/>
    </row>
    <row r="32" spans="2:8" x14ac:dyDescent="0.25">
      <c r="B32" s="117" t="s">
        <v>133</v>
      </c>
      <c r="D32" s="98"/>
      <c r="E32" s="95">
        <f>E13+E30</f>
        <v>75.69</v>
      </c>
      <c r="F32" s="99"/>
      <c r="G32" s="98"/>
      <c r="H32" s="174">
        <f>H13+H30</f>
        <v>75.739999999999995</v>
      </c>
    </row>
    <row r="33" spans="2:8" x14ac:dyDescent="0.25">
      <c r="B33" s="117" t="s">
        <v>134</v>
      </c>
      <c r="D33" s="98"/>
      <c r="E33" s="95"/>
      <c r="F33" s="99"/>
      <c r="G33" s="98"/>
      <c r="H33" s="174">
        <f>H32-$E32</f>
        <v>4.9999999999997158E-2</v>
      </c>
    </row>
    <row r="34" spans="2:8" x14ac:dyDescent="0.25">
      <c r="B34" s="117" t="s">
        <v>135</v>
      </c>
      <c r="D34" s="111"/>
      <c r="E34" s="111"/>
      <c r="F34" s="112"/>
      <c r="G34" s="111"/>
      <c r="H34" s="175">
        <f>H33/$E32</f>
        <v>6.6058924560704398E-4</v>
      </c>
    </row>
    <row r="35" spans="2:8" x14ac:dyDescent="0.25">
      <c r="E35" s="95"/>
    </row>
    <row r="36" spans="2:8" x14ac:dyDescent="0.25">
      <c r="B36" s="89" t="s">
        <v>136</v>
      </c>
      <c r="D36" s="105">
        <f>D23+D25</f>
        <v>0.5131</v>
      </c>
      <c r="E36" s="95"/>
      <c r="F36" s="110"/>
      <c r="G36" s="105">
        <f>G23+G25</f>
        <v>0.51397000000000004</v>
      </c>
    </row>
    <row r="38" spans="2:8" ht="17.25" x14ac:dyDescent="0.25">
      <c r="B38" s="113" t="s">
        <v>191</v>
      </c>
    </row>
    <row r="39" spans="2:8" x14ac:dyDescent="0.25">
      <c r="C39" s="113"/>
      <c r="D39" s="113"/>
      <c r="E39" s="113"/>
      <c r="F39" s="114"/>
      <c r="G39" s="114"/>
      <c r="H39" s="114"/>
    </row>
    <row r="44" spans="2:8" ht="14.25" customHeight="1" x14ac:dyDescent="0.25"/>
  </sheetData>
  <printOptions horizontalCentered="1"/>
  <pageMargins left="0.5" right="0.5" top="1" bottom="1" header="0.5" footer="0.5"/>
  <pageSetup scale="83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90" zoomScaleNormal="90" workbookViewId="0">
      <selection activeCell="E7" sqref="E7"/>
    </sheetView>
  </sheetViews>
  <sheetFormatPr defaultColWidth="8.7109375" defaultRowHeight="15" x14ac:dyDescent="0.25"/>
  <cols>
    <col min="1" max="1" width="37.7109375" style="6" customWidth="1"/>
    <col min="2" max="2" width="9.140625" style="6" bestFit="1" customWidth="1"/>
    <col min="3" max="3" width="18.5703125" style="6" bestFit="1" customWidth="1"/>
    <col min="4" max="5" width="13.7109375" style="6" customWidth="1"/>
    <col min="6" max="8" width="14.42578125" style="6" customWidth="1"/>
    <col min="9" max="9" width="7.85546875" style="6" bestFit="1" customWidth="1"/>
    <col min="10" max="16384" width="8.7109375" style="6"/>
  </cols>
  <sheetData>
    <row r="1" spans="1:21" s="89" customForma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15"/>
    </row>
    <row r="2" spans="1:21" s="89" customFormat="1" x14ac:dyDescent="0.25">
      <c r="A2" s="191" t="s">
        <v>137</v>
      </c>
      <c r="B2" s="191"/>
      <c r="C2" s="191"/>
      <c r="D2" s="191"/>
      <c r="E2" s="191"/>
      <c r="F2" s="191"/>
      <c r="G2" s="191"/>
      <c r="H2" s="191"/>
      <c r="I2" s="191"/>
      <c r="J2" s="116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1:21" s="89" customFormat="1" x14ac:dyDescent="0.25">
      <c r="A3" s="191" t="s">
        <v>192</v>
      </c>
      <c r="B3" s="191"/>
      <c r="C3" s="191"/>
      <c r="D3" s="191"/>
      <c r="E3" s="191"/>
      <c r="F3" s="191"/>
      <c r="G3" s="191"/>
      <c r="H3" s="191"/>
      <c r="I3" s="191"/>
      <c r="J3" s="115"/>
    </row>
    <row r="4" spans="1:21" s="89" customFormat="1" x14ac:dyDescent="0.25">
      <c r="A4" s="191" t="s">
        <v>149</v>
      </c>
      <c r="B4" s="191"/>
      <c r="C4" s="191"/>
      <c r="D4" s="191"/>
      <c r="E4" s="191"/>
      <c r="F4" s="191"/>
      <c r="G4" s="191"/>
      <c r="H4" s="191"/>
      <c r="I4" s="191"/>
      <c r="J4" s="115"/>
    </row>
    <row r="5" spans="1:21" x14ac:dyDescent="0.25">
      <c r="D5" s="158"/>
      <c r="E5" s="158"/>
    </row>
    <row r="6" spans="1:21" x14ac:dyDescent="0.25">
      <c r="A6" s="9"/>
      <c r="B6" s="9"/>
      <c r="C6" s="9" t="s">
        <v>77</v>
      </c>
      <c r="D6" s="9" t="s">
        <v>30</v>
      </c>
      <c r="E6" s="119" t="s">
        <v>2</v>
      </c>
      <c r="F6" s="132" t="s">
        <v>77</v>
      </c>
      <c r="G6" s="132" t="s">
        <v>77</v>
      </c>
      <c r="H6" s="9" t="s">
        <v>93</v>
      </c>
      <c r="I6" s="9"/>
      <c r="R6" s="118"/>
      <c r="S6" s="118"/>
      <c r="T6" s="118"/>
    </row>
    <row r="7" spans="1:21" x14ac:dyDescent="0.25">
      <c r="A7" s="119"/>
      <c r="B7" s="119" t="s">
        <v>91</v>
      </c>
      <c r="C7" s="9" t="s">
        <v>138</v>
      </c>
      <c r="D7" s="9" t="s">
        <v>93</v>
      </c>
      <c r="E7" s="119" t="s">
        <v>93</v>
      </c>
      <c r="F7" s="132" t="s">
        <v>6</v>
      </c>
      <c r="G7" s="132" t="s">
        <v>6</v>
      </c>
      <c r="H7" s="9" t="s">
        <v>6</v>
      </c>
      <c r="I7" s="9" t="s">
        <v>95</v>
      </c>
      <c r="R7" s="118"/>
      <c r="S7" s="118"/>
      <c r="T7" s="118"/>
    </row>
    <row r="8" spans="1:21" x14ac:dyDescent="0.25">
      <c r="A8" s="166" t="s">
        <v>202</v>
      </c>
      <c r="B8" s="166" t="s">
        <v>31</v>
      </c>
      <c r="C8" s="62" t="s">
        <v>151</v>
      </c>
      <c r="D8" s="12" t="s">
        <v>128</v>
      </c>
      <c r="E8" s="166" t="s">
        <v>128</v>
      </c>
      <c r="F8" s="92" t="s">
        <v>125</v>
      </c>
      <c r="G8" s="92" t="s">
        <v>139</v>
      </c>
      <c r="H8" s="12" t="s">
        <v>100</v>
      </c>
      <c r="I8" s="12" t="s">
        <v>100</v>
      </c>
      <c r="R8" s="118"/>
      <c r="S8" s="119"/>
      <c r="T8" s="118"/>
    </row>
    <row r="9" spans="1:21" x14ac:dyDescent="0.25">
      <c r="A9" s="173" t="s">
        <v>13</v>
      </c>
      <c r="B9" s="161" t="s">
        <v>117</v>
      </c>
      <c r="C9" s="164">
        <f>'Therm Forecast'!N9+'Therm Forecast'!N10</f>
        <v>595130910</v>
      </c>
      <c r="D9" s="120">
        <v>2.2749999999999999E-2</v>
      </c>
      <c r="E9" s="171">
        <f>'Sch. 140 Rates'!K11</f>
        <v>2.3620000000000002E-2</v>
      </c>
      <c r="F9" s="20">
        <f>C9*D9</f>
        <v>13539228.202499999</v>
      </c>
      <c r="G9" s="20">
        <f>C9*E9</f>
        <v>14056992.094200002</v>
      </c>
      <c r="H9" s="14">
        <f>G9-F9</f>
        <v>517763.8917000033</v>
      </c>
      <c r="I9" s="4">
        <f>H9/F9</f>
        <v>3.8241758241758489E-2</v>
      </c>
      <c r="R9" s="118"/>
      <c r="S9" s="121"/>
      <c r="T9" s="118"/>
    </row>
    <row r="10" spans="1:21" x14ac:dyDescent="0.25">
      <c r="A10" s="173" t="s">
        <v>201</v>
      </c>
      <c r="B10" s="161">
        <v>16</v>
      </c>
      <c r="C10" s="41">
        <f>'Therm Forecast'!N8</f>
        <v>7068</v>
      </c>
      <c r="D10" s="120">
        <v>2.2749999999999999E-2</v>
      </c>
      <c r="E10" s="171">
        <f>'Sch. 140 Rates'!K11</f>
        <v>2.3620000000000002E-2</v>
      </c>
      <c r="F10" s="20">
        <f t="shared" ref="F10:F20" si="0">C10*D10</f>
        <v>160.797</v>
      </c>
      <c r="G10" s="20">
        <f t="shared" ref="G10:G21" si="1">C10*E10</f>
        <v>166.94616000000002</v>
      </c>
      <c r="H10" s="14">
        <f t="shared" ref="H10:H21" si="2">G10-F10</f>
        <v>6.1491600000000233</v>
      </c>
      <c r="I10" s="4">
        <f t="shared" ref="I10:I22" si="3">H10/F10</f>
        <v>3.8241758241758385E-2</v>
      </c>
      <c r="R10" s="118"/>
      <c r="S10" s="118"/>
      <c r="T10" s="118"/>
    </row>
    <row r="11" spans="1:21" x14ac:dyDescent="0.25">
      <c r="A11" s="173" t="s">
        <v>15</v>
      </c>
      <c r="B11" s="161">
        <v>31</v>
      </c>
      <c r="C11" s="164">
        <f>'Therm Forecast'!N11</f>
        <v>238193203</v>
      </c>
      <c r="D11" s="120">
        <v>2.632E-2</v>
      </c>
      <c r="E11" s="171">
        <f>'Sch. 140 Rates'!K12</f>
        <v>2.5350000000000001E-2</v>
      </c>
      <c r="F11" s="20">
        <f t="shared" si="0"/>
        <v>6269245.1029599998</v>
      </c>
      <c r="G11" s="20">
        <f t="shared" si="1"/>
        <v>6038197.6960500004</v>
      </c>
      <c r="H11" s="14">
        <f t="shared" si="2"/>
        <v>-231047.40690999944</v>
      </c>
      <c r="I11" s="4">
        <f t="shared" si="3"/>
        <v>-3.6854103343464957E-2</v>
      </c>
      <c r="R11" s="118"/>
      <c r="S11" s="118"/>
      <c r="T11" s="118"/>
    </row>
    <row r="12" spans="1:21" x14ac:dyDescent="0.25">
      <c r="A12" s="173" t="s">
        <v>17</v>
      </c>
      <c r="B12" s="161">
        <v>41</v>
      </c>
      <c r="C12" s="164">
        <f>'Therm Forecast'!N12</f>
        <v>65422120</v>
      </c>
      <c r="D12" s="120">
        <v>8.7899999999999992E-3</v>
      </c>
      <c r="E12" s="171">
        <f>'Sch. 140 Rates'!K13</f>
        <v>8.709999999999999E-3</v>
      </c>
      <c r="F12" s="20">
        <f t="shared" si="0"/>
        <v>575060.43479999993</v>
      </c>
      <c r="G12" s="20">
        <f t="shared" si="1"/>
        <v>569826.66519999993</v>
      </c>
      <c r="H12" s="14">
        <f t="shared" si="2"/>
        <v>-5233.7695999999996</v>
      </c>
      <c r="I12" s="4">
        <f t="shared" si="3"/>
        <v>-9.1012514220705359E-3</v>
      </c>
    </row>
    <row r="13" spans="1:21" x14ac:dyDescent="0.25">
      <c r="A13" s="173" t="s">
        <v>19</v>
      </c>
      <c r="B13" s="161">
        <v>85</v>
      </c>
      <c r="C13" s="164">
        <f>'Therm Forecast'!N13</f>
        <v>13050473</v>
      </c>
      <c r="D13" s="120">
        <v>4.8500000000000001E-3</v>
      </c>
      <c r="E13" s="171">
        <f>'Sch. 140 Rates'!K14</f>
        <v>4.6800000000000001E-3</v>
      </c>
      <c r="F13" s="20">
        <f t="shared" si="0"/>
        <v>63294.794050000004</v>
      </c>
      <c r="G13" s="20">
        <f t="shared" si="1"/>
        <v>61076.213640000002</v>
      </c>
      <c r="H13" s="14">
        <f t="shared" si="2"/>
        <v>-2218.5804100000023</v>
      </c>
      <c r="I13" s="4">
        <f t="shared" si="3"/>
        <v>-3.5051546391752612E-2</v>
      </c>
    </row>
    <row r="14" spans="1:21" x14ac:dyDescent="0.25">
      <c r="A14" s="173" t="s">
        <v>21</v>
      </c>
      <c r="B14" s="161">
        <v>86</v>
      </c>
      <c r="C14" s="164">
        <f>'Therm Forecast'!N14</f>
        <v>5525178</v>
      </c>
      <c r="D14" s="120">
        <v>1.085E-2</v>
      </c>
      <c r="E14" s="171">
        <f>'Sch. 140 Rates'!K15</f>
        <v>7.6500000000000005E-3</v>
      </c>
      <c r="F14" s="20">
        <f t="shared" si="0"/>
        <v>59948.181300000004</v>
      </c>
      <c r="G14" s="20">
        <f t="shared" si="1"/>
        <v>42267.611700000001</v>
      </c>
      <c r="H14" s="14">
        <f t="shared" si="2"/>
        <v>-17680.569600000003</v>
      </c>
      <c r="I14" s="4">
        <f t="shared" si="3"/>
        <v>-0.29493087557603687</v>
      </c>
    </row>
    <row r="15" spans="1:21" x14ac:dyDescent="0.25">
      <c r="A15" s="173" t="s">
        <v>23</v>
      </c>
      <c r="B15" s="161">
        <v>87</v>
      </c>
      <c r="C15" s="164">
        <f>'Therm Forecast'!N15</f>
        <v>15908154</v>
      </c>
      <c r="D15" s="120">
        <v>2.64E-3</v>
      </c>
      <c r="E15" s="171">
        <f>'Sch. 140 Rates'!K16</f>
        <v>2.4000000000000002E-3</v>
      </c>
      <c r="F15" s="20">
        <f t="shared" si="0"/>
        <v>41997.526559999998</v>
      </c>
      <c r="G15" s="20">
        <f t="shared" si="1"/>
        <v>38179.569600000003</v>
      </c>
      <c r="H15" s="14">
        <f t="shared" si="2"/>
        <v>-3817.9569599999959</v>
      </c>
      <c r="I15" s="4">
        <f t="shared" si="3"/>
        <v>-9.0909090909090814E-2</v>
      </c>
    </row>
    <row r="16" spans="1:21" x14ac:dyDescent="0.25">
      <c r="A16" s="173" t="s">
        <v>118</v>
      </c>
      <c r="B16" s="161" t="s">
        <v>54</v>
      </c>
      <c r="C16" s="164">
        <f>'Therm Forecast'!N16</f>
        <v>35551</v>
      </c>
      <c r="D16" s="120">
        <v>2.632E-2</v>
      </c>
      <c r="E16" s="171">
        <f>'Sch. 140 Rates'!K12</f>
        <v>2.5350000000000001E-2</v>
      </c>
      <c r="F16" s="20">
        <f t="shared" si="0"/>
        <v>935.70231999999999</v>
      </c>
      <c r="G16" s="20">
        <f t="shared" si="1"/>
        <v>901.21785</v>
      </c>
      <c r="H16" s="14">
        <f t="shared" si="2"/>
        <v>-34.484469999999988</v>
      </c>
      <c r="I16" s="4">
        <f t="shared" si="3"/>
        <v>-3.6854103343465033E-2</v>
      </c>
    </row>
    <row r="17" spans="1:9" x14ac:dyDescent="0.25">
      <c r="A17" s="173" t="s">
        <v>119</v>
      </c>
      <c r="B17" s="161" t="s">
        <v>32</v>
      </c>
      <c r="C17" s="164">
        <f>'Therm Forecast'!N17</f>
        <v>22840538</v>
      </c>
      <c r="D17" s="120">
        <v>8.7899999999999992E-3</v>
      </c>
      <c r="E17" s="171">
        <f>'Sch. 140 Rates'!K13</f>
        <v>8.709999999999999E-3</v>
      </c>
      <c r="F17" s="20">
        <f t="shared" si="0"/>
        <v>200768.32901999998</v>
      </c>
      <c r="G17" s="20">
        <f t="shared" si="1"/>
        <v>198941.08597999997</v>
      </c>
      <c r="H17" s="14">
        <f t="shared" si="2"/>
        <v>-1827.2430400000012</v>
      </c>
      <c r="I17" s="4">
        <f t="shared" si="3"/>
        <v>-9.1012514220705411E-3</v>
      </c>
    </row>
    <row r="18" spans="1:9" x14ac:dyDescent="0.25">
      <c r="A18" s="173" t="s">
        <v>120</v>
      </c>
      <c r="B18" s="161" t="s">
        <v>33</v>
      </c>
      <c r="C18" s="164">
        <f>'Therm Forecast'!N18</f>
        <v>70621998</v>
      </c>
      <c r="D18" s="120">
        <v>4.8500000000000001E-3</v>
      </c>
      <c r="E18" s="171">
        <f>'Sch. 140 Rates'!K14</f>
        <v>4.6800000000000001E-3</v>
      </c>
      <c r="F18" s="20">
        <f t="shared" si="0"/>
        <v>342516.69030000002</v>
      </c>
      <c r="G18" s="20">
        <f t="shared" si="1"/>
        <v>330510.95064</v>
      </c>
      <c r="H18" s="14">
        <f t="shared" si="2"/>
        <v>-12005.739660000021</v>
      </c>
      <c r="I18" s="4">
        <f t="shared" si="3"/>
        <v>-3.505154639175264E-2</v>
      </c>
    </row>
    <row r="19" spans="1:9" x14ac:dyDescent="0.25">
      <c r="A19" s="173" t="s">
        <v>121</v>
      </c>
      <c r="B19" s="161" t="s">
        <v>55</v>
      </c>
      <c r="C19" s="164">
        <f>'Therm Forecast'!N19</f>
        <v>1123336</v>
      </c>
      <c r="D19" s="120">
        <v>1.085E-2</v>
      </c>
      <c r="E19" s="171">
        <f>'Sch. 140 Rates'!K15</f>
        <v>7.6500000000000005E-3</v>
      </c>
      <c r="F19" s="20">
        <f t="shared" si="0"/>
        <v>12188.195600000001</v>
      </c>
      <c r="G19" s="20">
        <f t="shared" si="1"/>
        <v>8593.5204000000012</v>
      </c>
      <c r="H19" s="14">
        <f t="shared" si="2"/>
        <v>-3594.6751999999997</v>
      </c>
      <c r="I19" s="4">
        <f t="shared" si="3"/>
        <v>-0.29493087557603681</v>
      </c>
    </row>
    <row r="20" spans="1:9" x14ac:dyDescent="0.25">
      <c r="A20" s="173" t="s">
        <v>122</v>
      </c>
      <c r="B20" s="161" t="s">
        <v>34</v>
      </c>
      <c r="C20" s="164">
        <f>'Therm Forecast'!N20</f>
        <v>99194904</v>
      </c>
      <c r="D20" s="120">
        <v>2.64E-3</v>
      </c>
      <c r="E20" s="171">
        <f>'Sch. 140 Rates'!K16</f>
        <v>2.4000000000000002E-3</v>
      </c>
      <c r="F20" s="20">
        <f t="shared" si="0"/>
        <v>261874.54655999999</v>
      </c>
      <c r="G20" s="20">
        <f t="shared" si="1"/>
        <v>238067.76960000003</v>
      </c>
      <c r="H20" s="14">
        <f t="shared" si="2"/>
        <v>-23806.776959999959</v>
      </c>
      <c r="I20" s="4">
        <f t="shared" si="3"/>
        <v>-9.0909090909090759E-2</v>
      </c>
    </row>
    <row r="21" spans="1:9" x14ac:dyDescent="0.25">
      <c r="A21" s="185" t="s">
        <v>25</v>
      </c>
      <c r="B21" s="166"/>
      <c r="C21" s="164">
        <f>'Therm Forecast'!N21</f>
        <v>35501588</v>
      </c>
      <c r="D21" s="122">
        <v>1.31E-3</v>
      </c>
      <c r="E21" s="172">
        <f>'Sch. 140 Rates'!K17</f>
        <v>1.1800000000000001E-3</v>
      </c>
      <c r="F21" s="20">
        <f>C21*D21</f>
        <v>46507.080280000002</v>
      </c>
      <c r="G21" s="20">
        <f t="shared" si="1"/>
        <v>41891.87384</v>
      </c>
      <c r="H21" s="14">
        <f t="shared" si="2"/>
        <v>-4615.2064400000017</v>
      </c>
      <c r="I21" s="4">
        <f t="shared" si="3"/>
        <v>-9.9236641221374086E-2</v>
      </c>
    </row>
    <row r="22" spans="1:9" x14ac:dyDescent="0.25">
      <c r="A22" s="173" t="s">
        <v>28</v>
      </c>
      <c r="C22" s="16">
        <f>SUM(C9:C21)</f>
        <v>1162555021</v>
      </c>
      <c r="D22" s="123"/>
      <c r="E22" s="123"/>
      <c r="F22" s="70">
        <f t="shared" ref="F22:H22" si="4">SUM(F9:F21)</f>
        <v>21413725.583249994</v>
      </c>
      <c r="G22" s="70">
        <f t="shared" si="4"/>
        <v>21625613.214860003</v>
      </c>
      <c r="H22" s="17">
        <f t="shared" si="4"/>
        <v>211887.63161000388</v>
      </c>
      <c r="I22" s="181">
        <f t="shared" si="3"/>
        <v>9.8949447533662367E-3</v>
      </c>
    </row>
    <row r="23" spans="1:9" x14ac:dyDescent="0.25">
      <c r="C23" s="165">
        <f>C22-'Therm Forecast'!N22</f>
        <v>0</v>
      </c>
      <c r="F23" s="14"/>
      <c r="G23" s="14"/>
    </row>
    <row r="24" spans="1:9" x14ac:dyDescent="0.25">
      <c r="C24" s="19"/>
      <c r="F24" s="14"/>
      <c r="G24" s="14"/>
    </row>
    <row r="25" spans="1:9" x14ac:dyDescent="0.25">
      <c r="A25" s="124"/>
      <c r="B25" s="118"/>
      <c r="C25" s="118"/>
      <c r="D25" s="118"/>
      <c r="E25" s="118"/>
      <c r="F25" s="118"/>
      <c r="G25" s="118"/>
      <c r="H25" s="118"/>
    </row>
    <row r="26" spans="1:9" x14ac:dyDescent="0.25">
      <c r="B26" s="118"/>
      <c r="C26" s="118"/>
      <c r="D26" s="118"/>
      <c r="E26" s="118"/>
      <c r="F26" s="118"/>
      <c r="G26" s="118"/>
      <c r="H26" s="118"/>
    </row>
    <row r="41" spans="2:2" ht="17.25" x14ac:dyDescent="0.25">
      <c r="B41" s="125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35" sqref="B35:C35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="90" zoomScaleNormal="9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I19" sqref="I19"/>
    </sheetView>
  </sheetViews>
  <sheetFormatPr defaultColWidth="9.140625" defaultRowHeight="15" x14ac:dyDescent="0.25"/>
  <cols>
    <col min="1" max="1" width="5.140625" style="144" customWidth="1"/>
    <col min="2" max="2" width="46.28515625" style="22" bestFit="1" customWidth="1"/>
    <col min="3" max="3" width="8.85546875" style="145" bestFit="1" customWidth="1"/>
    <col min="4" max="4" width="14" style="22" bestFit="1" customWidth="1"/>
    <col min="5" max="6" width="13.28515625" style="22" bestFit="1" customWidth="1"/>
    <col min="7" max="7" width="3.7109375" style="22" customWidth="1"/>
    <col min="8" max="8" width="13.7109375" style="22" bestFit="1" customWidth="1"/>
    <col min="9" max="9" width="13.42578125" style="22" bestFit="1" customWidth="1"/>
    <col min="10" max="10" width="14.5703125" style="22" bestFit="1" customWidth="1"/>
    <col min="11" max="16384" width="9.140625" style="22"/>
  </cols>
  <sheetData>
    <row r="1" spans="1:10" ht="18.75" x14ac:dyDescent="0.3">
      <c r="A1" s="57" t="s">
        <v>200</v>
      </c>
      <c r="C1" s="143"/>
    </row>
    <row r="2" spans="1:10" ht="18.75" x14ac:dyDescent="0.3">
      <c r="B2" s="57"/>
      <c r="C2" s="143"/>
    </row>
    <row r="3" spans="1:10" x14ac:dyDescent="0.25">
      <c r="D3" s="146" t="s">
        <v>38</v>
      </c>
      <c r="E3" s="147"/>
      <c r="F3" s="148"/>
      <c r="H3" s="146" t="s">
        <v>39</v>
      </c>
      <c r="I3" s="148"/>
      <c r="J3" s="148"/>
    </row>
    <row r="4" spans="1:10" x14ac:dyDescent="0.25">
      <c r="D4" s="149" t="s">
        <v>40</v>
      </c>
      <c r="E4" s="149" t="s">
        <v>41</v>
      </c>
      <c r="F4" s="149" t="s">
        <v>28</v>
      </c>
      <c r="H4" s="149" t="s">
        <v>40</v>
      </c>
      <c r="I4" s="149" t="s">
        <v>41</v>
      </c>
      <c r="J4" s="149" t="s">
        <v>28</v>
      </c>
    </row>
    <row r="5" spans="1:10" x14ac:dyDescent="0.25">
      <c r="H5" s="22">
        <v>0.95111500000000004</v>
      </c>
      <c r="I5" s="22">
        <v>0.95455299999999998</v>
      </c>
    </row>
    <row r="6" spans="1:10" x14ac:dyDescent="0.25">
      <c r="A6" s="144">
        <v>1</v>
      </c>
      <c r="B6" s="22" t="s">
        <v>193</v>
      </c>
      <c r="C6" s="150"/>
      <c r="D6" s="21">
        <v>53428159.695488028</v>
      </c>
      <c r="E6" s="21">
        <v>20925693.974542998</v>
      </c>
      <c r="F6" s="21">
        <f>SUM(D6:E6)</f>
        <v>74353853.670031026</v>
      </c>
      <c r="H6" s="21">
        <f>D6/$H$5</f>
        <v>56174237.285173744</v>
      </c>
      <c r="I6" s="21">
        <f>E6/$I$5</f>
        <v>21921982.304327782</v>
      </c>
      <c r="J6" s="21">
        <f>SUM(H6:I6)</f>
        <v>78096219.58950153</v>
      </c>
    </row>
    <row r="8" spans="1:10" x14ac:dyDescent="0.25">
      <c r="A8" s="144">
        <v>2</v>
      </c>
      <c r="B8" s="22" t="s">
        <v>42</v>
      </c>
      <c r="E8" s="30"/>
    </row>
    <row r="9" spans="1:10" x14ac:dyDescent="0.25">
      <c r="A9" s="144">
        <v>3</v>
      </c>
      <c r="B9" s="151" t="s">
        <v>194</v>
      </c>
      <c r="C9" s="30"/>
      <c r="D9" s="23">
        <v>50194093</v>
      </c>
      <c r="E9" s="23">
        <v>20504150</v>
      </c>
      <c r="F9" s="23">
        <f>SUM(D9:E9)</f>
        <v>70698243</v>
      </c>
      <c r="H9" s="21">
        <f>D9/$H$5</f>
        <v>52773947.419607513</v>
      </c>
      <c r="I9" s="21">
        <f>E9/$I$5</f>
        <v>21480368.298041072</v>
      </c>
      <c r="J9" s="23">
        <f>SUM(H9:I9)</f>
        <v>74254315.717648581</v>
      </c>
    </row>
    <row r="10" spans="1:10" x14ac:dyDescent="0.25">
      <c r="A10" s="144">
        <v>4</v>
      </c>
      <c r="B10" s="151" t="s">
        <v>193</v>
      </c>
      <c r="C10" s="150" t="s">
        <v>43</v>
      </c>
      <c r="D10" s="23">
        <f>D6</f>
        <v>53428159.695488028</v>
      </c>
      <c r="E10" s="23">
        <f>E6</f>
        <v>20925693.974542998</v>
      </c>
      <c r="F10" s="23">
        <f>SUM(D10:E10)</f>
        <v>74353853.670031026</v>
      </c>
      <c r="H10" s="21">
        <f>D10/$H$5</f>
        <v>56174237.285173744</v>
      </c>
      <c r="I10" s="21">
        <f>E10/$I$5</f>
        <v>21921982.304327782</v>
      </c>
      <c r="J10" s="23">
        <f>SUM(H10:I10)</f>
        <v>78096219.58950153</v>
      </c>
    </row>
    <row r="11" spans="1:10" x14ac:dyDescent="0.25">
      <c r="A11" s="144">
        <v>5</v>
      </c>
      <c r="B11" s="22" t="s">
        <v>195</v>
      </c>
      <c r="D11" s="23">
        <v>-1800061.3179087457</v>
      </c>
      <c r="E11" s="23">
        <v>137451.57342060967</v>
      </c>
      <c r="F11" s="23">
        <f>SUM(D11:E11)</f>
        <v>-1662609.7444881361</v>
      </c>
      <c r="H11" s="21">
        <f>D11/$H$5</f>
        <v>-1892580.0958966536</v>
      </c>
      <c r="I11" s="21">
        <f>E11/$I$5</f>
        <v>143995.74818853397</v>
      </c>
      <c r="J11" s="23">
        <f>SUM(H11:I11)</f>
        <v>-1748584.3477081195</v>
      </c>
    </row>
    <row r="12" spans="1:10" x14ac:dyDescent="0.25">
      <c r="D12" s="24"/>
      <c r="E12" s="24"/>
      <c r="F12" s="24"/>
      <c r="H12" s="28">
        <v>0</v>
      </c>
      <c r="I12" s="28">
        <v>0</v>
      </c>
      <c r="J12" s="29" t="s">
        <v>196</v>
      </c>
    </row>
    <row r="13" spans="1:10" x14ac:dyDescent="0.25">
      <c r="A13" s="144">
        <v>6</v>
      </c>
      <c r="B13" s="22" t="s">
        <v>67</v>
      </c>
      <c r="C13" s="150" t="s">
        <v>44</v>
      </c>
      <c r="D13" s="23">
        <f>D9-D10+D11</f>
        <v>-5034128.0133967735</v>
      </c>
      <c r="E13" s="23">
        <f>E9-E10+E11</f>
        <v>-284092.40112238808</v>
      </c>
      <c r="F13" s="23">
        <f>SUM(D13:E13)</f>
        <v>-5318220.4145191619</v>
      </c>
      <c r="H13" s="23">
        <f>H9-H10+H11</f>
        <v>-5292869.9614628851</v>
      </c>
      <c r="I13" s="23">
        <f>I9-I10+I11</f>
        <v>-297618.25809817656</v>
      </c>
      <c r="J13" s="23">
        <f>SUM(H13:I13)</f>
        <v>-5590488.2195610618</v>
      </c>
    </row>
    <row r="14" spans="1:10" x14ac:dyDescent="0.25">
      <c r="D14" s="24"/>
      <c r="E14" s="24"/>
      <c r="F14" s="24"/>
      <c r="H14" s="24"/>
      <c r="I14" s="24"/>
      <c r="J14" s="24"/>
    </row>
    <row r="15" spans="1:10" ht="15.75" thickBot="1" x14ac:dyDescent="0.3">
      <c r="A15" s="144">
        <v>7</v>
      </c>
      <c r="B15" s="22" t="s">
        <v>45</v>
      </c>
      <c r="C15" s="150" t="s">
        <v>46</v>
      </c>
      <c r="D15" s="25">
        <f>D6+D13</f>
        <v>48394031.682091251</v>
      </c>
      <c r="E15" s="25">
        <f>E6+E13</f>
        <v>20641601.57342061</v>
      </c>
      <c r="F15" s="25">
        <f>SUM(D15:E15)</f>
        <v>69035633.255511865</v>
      </c>
      <c r="H15" s="25">
        <f>H6+H13</f>
        <v>50881367.323710859</v>
      </c>
      <c r="I15" s="25">
        <f>I6+I13</f>
        <v>21624364.046229605</v>
      </c>
      <c r="J15" s="25">
        <f>SUM(H15:I15)</f>
        <v>72505731.36994046</v>
      </c>
    </row>
    <row r="16" spans="1:10" ht="15.75" thickTop="1" x14ac:dyDescent="0.25"/>
    <row r="18" spans="1:10" x14ac:dyDescent="0.25">
      <c r="A18" s="144">
        <v>8</v>
      </c>
      <c r="B18" s="22" t="s">
        <v>47</v>
      </c>
      <c r="C18" s="150" t="s">
        <v>68</v>
      </c>
      <c r="D18" s="21">
        <f>D15-D19</f>
        <v>35611910.166166753</v>
      </c>
      <c r="E18" s="21">
        <f>E15-E19</f>
        <v>13770653.30201238</v>
      </c>
      <c r="F18" s="21">
        <f>SUM(D18:E18)</f>
        <v>49382563.468179137</v>
      </c>
      <c r="H18" s="21">
        <f>H15-H19</f>
        <v>37442275.819608308</v>
      </c>
      <c r="I18" s="21">
        <f>I15-I19</f>
        <v>14426284.661000885</v>
      </c>
      <c r="J18" s="21">
        <f>SUM(H18:I18)</f>
        <v>51868560.480609193</v>
      </c>
    </row>
    <row r="19" spans="1:10" x14ac:dyDescent="0.25">
      <c r="A19" s="144">
        <v>9</v>
      </c>
      <c r="B19" s="22" t="s">
        <v>48</v>
      </c>
      <c r="C19" s="30"/>
      <c r="D19" s="23">
        <v>12782121.5159245</v>
      </c>
      <c r="E19" s="23">
        <v>6870948.2714082301</v>
      </c>
      <c r="F19" s="23">
        <f>SUM(D19:E19)</f>
        <v>19653069.787332729</v>
      </c>
      <c r="H19" s="163">
        <f>D19/$H$5</f>
        <v>13439091.504102552</v>
      </c>
      <c r="I19" s="163">
        <f>E19/$I$5</f>
        <v>7198079.3852287196</v>
      </c>
      <c r="J19" s="23">
        <f>SUM(H19:I19)</f>
        <v>20637170.889331274</v>
      </c>
    </row>
    <row r="20" spans="1:10" x14ac:dyDescent="0.25">
      <c r="D20" s="24"/>
      <c r="E20" s="24"/>
      <c r="F20" s="24"/>
      <c r="H20" s="24"/>
      <c r="I20" s="24"/>
      <c r="J20" s="24"/>
    </row>
    <row r="21" spans="1:10" ht="15.75" thickBot="1" x14ac:dyDescent="0.3">
      <c r="A21" s="144">
        <v>10</v>
      </c>
      <c r="B21" s="22" t="s">
        <v>45</v>
      </c>
      <c r="C21" s="150" t="s">
        <v>49</v>
      </c>
      <c r="D21" s="25">
        <f>SUM(D18:D20)</f>
        <v>48394031.682091251</v>
      </c>
      <c r="E21" s="25">
        <f>SUM(E18:E20)</f>
        <v>20641601.57342061</v>
      </c>
      <c r="F21" s="25">
        <f>SUM(D21:E21)</f>
        <v>69035633.255511865</v>
      </c>
      <c r="H21" s="25">
        <f>SUM(H18:H19)</f>
        <v>50881367.323710859</v>
      </c>
      <c r="I21" s="25">
        <f>SUM(I18:I19)</f>
        <v>21624364.046229605</v>
      </c>
      <c r="J21" s="25">
        <f>SUM(H21:I21)</f>
        <v>72505731.36994046</v>
      </c>
    </row>
    <row r="22" spans="1:10" ht="15.75" thickTop="1" x14ac:dyDescent="0.25"/>
    <row r="23" spans="1:10" x14ac:dyDescent="0.25">
      <c r="D23" s="21"/>
      <c r="E23" s="21"/>
      <c r="F23" s="21"/>
    </row>
    <row r="24" spans="1:10" x14ac:dyDescent="0.25">
      <c r="A24" s="144">
        <v>11</v>
      </c>
      <c r="B24" s="22" t="s">
        <v>50</v>
      </c>
    </row>
    <row r="25" spans="1:10" x14ac:dyDescent="0.25">
      <c r="A25" s="144">
        <f>+A24+1</f>
        <v>12</v>
      </c>
      <c r="B25" s="151" t="s">
        <v>51</v>
      </c>
      <c r="D25" s="23">
        <v>-1195016.5</v>
      </c>
      <c r="E25" s="23">
        <v>1000008</v>
      </c>
      <c r="F25" s="23">
        <f>SUM(D25:E25)</f>
        <v>-195008.5</v>
      </c>
      <c r="H25" s="163">
        <f>D25/$H$5</f>
        <v>-1256437.4444730657</v>
      </c>
      <c r="I25" s="163">
        <f>E25/$I$5</f>
        <v>1047619.1473915016</v>
      </c>
      <c r="J25" s="23">
        <f>SUM(H25:I25)</f>
        <v>-208818.29708156409</v>
      </c>
    </row>
    <row r="26" spans="1:10" x14ac:dyDescent="0.25">
      <c r="A26" s="144">
        <f t="shared" ref="A26:A27" si="0">+A25+1</f>
        <v>13</v>
      </c>
      <c r="B26" s="151" t="s">
        <v>52</v>
      </c>
      <c r="D26" s="23">
        <v>-3839111.5133967767</v>
      </c>
      <c r="E26" s="23">
        <v>-1284100.4011223894</v>
      </c>
      <c r="F26" s="23">
        <f>SUM(D26:E26)</f>
        <v>-5123211.9145191666</v>
      </c>
      <c r="H26" s="163">
        <f>D26/$H$5</f>
        <v>-4036432.5169898239</v>
      </c>
      <c r="I26" s="163">
        <f>E26/$I$5</f>
        <v>-1345237.4054896787</v>
      </c>
      <c r="J26" s="23">
        <f>SUM(H26:I26)</f>
        <v>-5381669.9224795029</v>
      </c>
    </row>
    <row r="27" spans="1:10" ht="15.75" thickBot="1" x14ac:dyDescent="0.3">
      <c r="A27" s="144">
        <f t="shared" si="0"/>
        <v>14</v>
      </c>
      <c r="B27" s="22" t="s">
        <v>53</v>
      </c>
      <c r="D27" s="152">
        <f>SUM(D25:D26)</f>
        <v>-5034128.0133967772</v>
      </c>
      <c r="E27" s="152">
        <f>SUM(E25:E26)</f>
        <v>-284092.40112238936</v>
      </c>
      <c r="F27" s="152">
        <f>SUM(D27:E27)</f>
        <v>-5318220.4145191666</v>
      </c>
      <c r="H27" s="152">
        <f>SUM(H25:H26)</f>
        <v>-5292869.9614628898</v>
      </c>
      <c r="I27" s="152">
        <f>SUM(I25:I26)</f>
        <v>-297618.25809817715</v>
      </c>
      <c r="J27" s="152">
        <f>SUM(H27:I27)</f>
        <v>-5590488.2195610665</v>
      </c>
    </row>
    <row r="28" spans="1:10" ht="15.75" thickTop="1" x14ac:dyDescent="0.25">
      <c r="D28" s="153">
        <f>D27-D13</f>
        <v>0</v>
      </c>
      <c r="E28" s="153">
        <f>E27-E13</f>
        <v>-1.280568540096283E-9</v>
      </c>
      <c r="F28" s="153">
        <f>F27-F13</f>
        <v>0</v>
      </c>
      <c r="G28" s="154"/>
      <c r="H28" s="155">
        <f>H27-H13</f>
        <v>0</v>
      </c>
      <c r="I28" s="153">
        <f>I27-I13</f>
        <v>-5.8207660913467407E-10</v>
      </c>
      <c r="J28" s="153">
        <f>J27-J13</f>
        <v>0</v>
      </c>
    </row>
    <row r="29" spans="1:10" x14ac:dyDescent="0.25">
      <c r="D29" s="163"/>
      <c r="E29" s="163"/>
      <c r="H29" s="21"/>
      <c r="I29" s="21"/>
      <c r="J29" s="21"/>
    </row>
    <row r="30" spans="1:10" x14ac:dyDescent="0.25">
      <c r="A30" s="144">
        <f>+A27+1</f>
        <v>15</v>
      </c>
      <c r="B30" s="58" t="s">
        <v>56</v>
      </c>
      <c r="C30" s="150"/>
      <c r="H30" s="156">
        <f>H27/H6</f>
        <v>-9.4222373409239946E-2</v>
      </c>
      <c r="I30" s="156">
        <f>I27/I6</f>
        <v>-1.3576247529377035E-2</v>
      </c>
    </row>
    <row r="31" spans="1:10" x14ac:dyDescent="0.25">
      <c r="A31" s="144">
        <f>+A30+1</f>
        <v>16</v>
      </c>
      <c r="B31" s="58" t="s">
        <v>57</v>
      </c>
      <c r="H31" s="144" t="str">
        <f>IF(ABS(H30)&gt;1%,"yes","no")</f>
        <v>yes</v>
      </c>
      <c r="I31" s="144" t="str">
        <f>IF(ABS(I30)&gt;1%,"yes","no")</f>
        <v>yes</v>
      </c>
    </row>
    <row r="32" spans="1:10" x14ac:dyDescent="0.25">
      <c r="A32" s="144">
        <f t="shared" ref="A32:A33" si="1">+A31+1</f>
        <v>17</v>
      </c>
      <c r="B32" s="59" t="s">
        <v>58</v>
      </c>
    </row>
    <row r="33" spans="1:2" x14ac:dyDescent="0.25">
      <c r="A33" s="144">
        <f t="shared" si="1"/>
        <v>18</v>
      </c>
      <c r="B33" s="59" t="s">
        <v>59</v>
      </c>
    </row>
    <row r="35" spans="1:2" x14ac:dyDescent="0.25">
      <c r="B35" s="157"/>
    </row>
    <row r="36" spans="1:2" x14ac:dyDescent="0.25">
      <c r="B36" s="157"/>
    </row>
  </sheetData>
  <pageMargins left="0.7" right="0.7" top="0.75" bottom="0.75" header="0.3" footer="0.3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90" zoomScaleNormal="90" workbookViewId="0">
      <selection activeCell="A6" sqref="A6"/>
    </sheetView>
  </sheetViews>
  <sheetFormatPr defaultColWidth="9.140625" defaultRowHeight="15" x14ac:dyDescent="0.25"/>
  <cols>
    <col min="1" max="1" width="10.7109375" style="6" customWidth="1"/>
    <col min="2" max="7" width="11.28515625" style="6" bestFit="1" customWidth="1"/>
    <col min="8" max="12" width="12.42578125" style="6" bestFit="1" customWidth="1"/>
    <col min="13" max="13" width="11.5703125" style="6" bestFit="1" customWidth="1"/>
    <col min="14" max="14" width="13.85546875" style="6" customWidth="1"/>
    <col min="15" max="16384" width="9.140625" style="6"/>
  </cols>
  <sheetData>
    <row r="1" spans="1:14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25">
      <c r="A2" s="191" t="str">
        <f>'Sch. 140 Rates'!A2:N2</f>
        <v>2022 Gas Schedule 140 Property Tax Tracker Filing - FINAL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4" x14ac:dyDescent="0.25">
      <c r="A3" s="191" t="s">
        <v>66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x14ac:dyDescent="0.25">
      <c r="A4" s="193" t="str">
        <f>TEXT(B7,"Mmm YYYY - ")&amp;TEXT(M7,"Mmmm YYYY")</f>
        <v>May 2022 - April 2023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4" x14ac:dyDescent="0.25">
      <c r="A6" s="27" t="s">
        <v>91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x14ac:dyDescent="0.25">
      <c r="A7" s="43" t="s">
        <v>31</v>
      </c>
      <c r="B7" s="134">
        <v>44682</v>
      </c>
      <c r="C7" s="51">
        <f>EDATE(B7,1)</f>
        <v>44713</v>
      </c>
      <c r="D7" s="51">
        <f t="shared" ref="D7:M7" si="0">EDATE(C7,1)</f>
        <v>44743</v>
      </c>
      <c r="E7" s="51">
        <f t="shared" si="0"/>
        <v>44774</v>
      </c>
      <c r="F7" s="51">
        <f t="shared" si="0"/>
        <v>44805</v>
      </c>
      <c r="G7" s="51">
        <f t="shared" si="0"/>
        <v>44835</v>
      </c>
      <c r="H7" s="51">
        <f t="shared" si="0"/>
        <v>44866</v>
      </c>
      <c r="I7" s="51">
        <f t="shared" si="0"/>
        <v>44896</v>
      </c>
      <c r="J7" s="51">
        <f t="shared" si="0"/>
        <v>44927</v>
      </c>
      <c r="K7" s="51">
        <f t="shared" si="0"/>
        <v>44958</v>
      </c>
      <c r="L7" s="51">
        <f t="shared" si="0"/>
        <v>44986</v>
      </c>
      <c r="M7" s="51">
        <f t="shared" si="0"/>
        <v>45017</v>
      </c>
      <c r="N7" s="12" t="s">
        <v>28</v>
      </c>
    </row>
    <row r="8" spans="1:14" x14ac:dyDescent="0.25">
      <c r="A8" s="27">
        <v>16</v>
      </c>
      <c r="B8" s="135">
        <v>589</v>
      </c>
      <c r="C8" s="135">
        <v>589</v>
      </c>
      <c r="D8" s="135">
        <v>589</v>
      </c>
      <c r="E8" s="135">
        <v>589</v>
      </c>
      <c r="F8" s="135">
        <v>589</v>
      </c>
      <c r="G8" s="135">
        <v>589</v>
      </c>
      <c r="H8" s="135">
        <v>589</v>
      </c>
      <c r="I8" s="135">
        <v>589</v>
      </c>
      <c r="J8" s="135">
        <v>589</v>
      </c>
      <c r="K8" s="135">
        <v>589</v>
      </c>
      <c r="L8" s="135">
        <v>589</v>
      </c>
      <c r="M8" s="135">
        <v>589</v>
      </c>
      <c r="N8" s="19">
        <f t="shared" ref="N8:N21" si="1">SUM(B8:M8)</f>
        <v>7068</v>
      </c>
    </row>
    <row r="9" spans="1:14" x14ac:dyDescent="0.25">
      <c r="A9" s="27">
        <v>23</v>
      </c>
      <c r="B9" s="135">
        <v>28457064</v>
      </c>
      <c r="C9" s="135">
        <v>18650017</v>
      </c>
      <c r="D9" s="135">
        <v>13578051</v>
      </c>
      <c r="E9" s="135">
        <v>13170122</v>
      </c>
      <c r="F9" s="135">
        <v>18974008</v>
      </c>
      <c r="G9" s="135">
        <v>43349960</v>
      </c>
      <c r="H9" s="135">
        <v>71510105</v>
      </c>
      <c r="I9" s="135">
        <v>93363533</v>
      </c>
      <c r="J9" s="135">
        <v>91157352</v>
      </c>
      <c r="K9" s="135">
        <v>79642432</v>
      </c>
      <c r="L9" s="135">
        <v>73078363</v>
      </c>
      <c r="M9" s="135">
        <v>50199903</v>
      </c>
      <c r="N9" s="19">
        <f t="shared" si="1"/>
        <v>595130910</v>
      </c>
    </row>
    <row r="10" spans="1:14" x14ac:dyDescent="0.25">
      <c r="A10" s="27">
        <v>53</v>
      </c>
      <c r="B10" s="135">
        <v>0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9">
        <f t="shared" si="1"/>
        <v>0</v>
      </c>
    </row>
    <row r="11" spans="1:14" x14ac:dyDescent="0.25">
      <c r="A11" s="27">
        <v>31</v>
      </c>
      <c r="B11" s="135">
        <v>13059472</v>
      </c>
      <c r="C11" s="135">
        <v>10563030</v>
      </c>
      <c r="D11" s="135">
        <v>9076016</v>
      </c>
      <c r="E11" s="135">
        <v>9816184</v>
      </c>
      <c r="F11" s="135">
        <v>11561879</v>
      </c>
      <c r="G11" s="135">
        <v>19235367</v>
      </c>
      <c r="H11" s="135">
        <v>27796819</v>
      </c>
      <c r="I11" s="135">
        <v>34723815</v>
      </c>
      <c r="J11" s="135">
        <v>31107887</v>
      </c>
      <c r="K11" s="135">
        <v>27944916</v>
      </c>
      <c r="L11" s="135">
        <v>25031743</v>
      </c>
      <c r="M11" s="135">
        <v>18276075</v>
      </c>
      <c r="N11" s="19">
        <f t="shared" si="1"/>
        <v>238193203</v>
      </c>
    </row>
    <row r="12" spans="1:14" x14ac:dyDescent="0.25">
      <c r="A12" s="27">
        <v>41</v>
      </c>
      <c r="B12" s="135">
        <v>4085592</v>
      </c>
      <c r="C12" s="135">
        <v>3510686</v>
      </c>
      <c r="D12" s="135">
        <v>2915241</v>
      </c>
      <c r="E12" s="135">
        <v>3189705</v>
      </c>
      <c r="F12" s="135">
        <v>3808422</v>
      </c>
      <c r="G12" s="135">
        <v>5872238</v>
      </c>
      <c r="H12" s="135">
        <v>7592067</v>
      </c>
      <c r="I12" s="135">
        <v>8313250</v>
      </c>
      <c r="J12" s="135">
        <v>7405161</v>
      </c>
      <c r="K12" s="135">
        <v>7068900</v>
      </c>
      <c r="L12" s="135">
        <v>6549005</v>
      </c>
      <c r="M12" s="135">
        <v>5111853</v>
      </c>
      <c r="N12" s="19">
        <f t="shared" si="1"/>
        <v>65422120</v>
      </c>
    </row>
    <row r="13" spans="1:14" x14ac:dyDescent="0.25">
      <c r="A13" s="27">
        <v>85</v>
      </c>
      <c r="B13" s="135">
        <v>1026693</v>
      </c>
      <c r="C13" s="135">
        <v>830896</v>
      </c>
      <c r="D13" s="135">
        <v>790782</v>
      </c>
      <c r="E13" s="135">
        <v>854672</v>
      </c>
      <c r="F13" s="135">
        <v>804168</v>
      </c>
      <c r="G13" s="135">
        <v>1108609</v>
      </c>
      <c r="H13" s="135">
        <v>1252245</v>
      </c>
      <c r="I13" s="135">
        <v>1529720</v>
      </c>
      <c r="J13" s="135">
        <v>1306618</v>
      </c>
      <c r="K13" s="135">
        <v>1284218</v>
      </c>
      <c r="L13" s="135">
        <v>1228239</v>
      </c>
      <c r="M13" s="135">
        <v>1033613</v>
      </c>
      <c r="N13" s="19">
        <f t="shared" si="1"/>
        <v>13050473</v>
      </c>
    </row>
    <row r="14" spans="1:14" x14ac:dyDescent="0.25">
      <c r="A14" s="27">
        <v>86</v>
      </c>
      <c r="B14" s="135">
        <v>423863</v>
      </c>
      <c r="C14" s="135">
        <v>265458</v>
      </c>
      <c r="D14" s="135">
        <v>190592</v>
      </c>
      <c r="E14" s="135">
        <v>156842</v>
      </c>
      <c r="F14" s="135">
        <v>173283</v>
      </c>
      <c r="G14" s="135">
        <v>379830</v>
      </c>
      <c r="H14" s="135">
        <v>568845</v>
      </c>
      <c r="I14" s="135">
        <v>840776</v>
      </c>
      <c r="J14" s="135">
        <v>718407</v>
      </c>
      <c r="K14" s="135">
        <v>692620</v>
      </c>
      <c r="L14" s="135">
        <v>651358</v>
      </c>
      <c r="M14" s="135">
        <v>463304</v>
      </c>
      <c r="N14" s="19">
        <f t="shared" si="1"/>
        <v>5525178</v>
      </c>
    </row>
    <row r="15" spans="1:14" x14ac:dyDescent="0.25">
      <c r="A15" s="27">
        <v>87</v>
      </c>
      <c r="B15" s="135">
        <v>1160398</v>
      </c>
      <c r="C15" s="135">
        <v>940560</v>
      </c>
      <c r="D15" s="135">
        <v>958917</v>
      </c>
      <c r="E15" s="135">
        <v>1038850</v>
      </c>
      <c r="F15" s="135">
        <v>1042875</v>
      </c>
      <c r="G15" s="135">
        <v>1604401</v>
      </c>
      <c r="H15" s="135">
        <v>1656822</v>
      </c>
      <c r="I15" s="135">
        <v>2033762</v>
      </c>
      <c r="J15" s="135">
        <v>1521398</v>
      </c>
      <c r="K15" s="135">
        <v>1477173</v>
      </c>
      <c r="L15" s="135">
        <v>1401402</v>
      </c>
      <c r="M15" s="135">
        <v>1071596</v>
      </c>
      <c r="N15" s="19">
        <f t="shared" si="1"/>
        <v>15908154</v>
      </c>
    </row>
    <row r="16" spans="1:14" x14ac:dyDescent="0.25">
      <c r="A16" s="27" t="s">
        <v>54</v>
      </c>
      <c r="B16" s="135">
        <v>2324</v>
      </c>
      <c r="C16" s="135">
        <v>2004</v>
      </c>
      <c r="D16" s="135">
        <v>1700</v>
      </c>
      <c r="E16" s="135">
        <v>1858</v>
      </c>
      <c r="F16" s="135">
        <v>2378</v>
      </c>
      <c r="G16" s="135">
        <v>2787</v>
      </c>
      <c r="H16" s="135">
        <v>3971</v>
      </c>
      <c r="I16" s="135">
        <v>4350</v>
      </c>
      <c r="J16" s="135">
        <v>3638</v>
      </c>
      <c r="K16" s="135">
        <v>4142</v>
      </c>
      <c r="L16" s="135">
        <v>3396</v>
      </c>
      <c r="M16" s="135">
        <v>3003</v>
      </c>
      <c r="N16" s="19">
        <f t="shared" si="1"/>
        <v>35551</v>
      </c>
    </row>
    <row r="17" spans="1:14" x14ac:dyDescent="0.25">
      <c r="A17" s="27" t="s">
        <v>32</v>
      </c>
      <c r="B17" s="135">
        <v>1918476</v>
      </c>
      <c r="C17" s="135">
        <v>1841565</v>
      </c>
      <c r="D17" s="135">
        <v>1626287</v>
      </c>
      <c r="E17" s="135">
        <v>1653346</v>
      </c>
      <c r="F17" s="135">
        <v>1889123</v>
      </c>
      <c r="G17" s="135">
        <v>1683056</v>
      </c>
      <c r="H17" s="135">
        <v>1967978</v>
      </c>
      <c r="I17" s="135">
        <v>1938149</v>
      </c>
      <c r="J17" s="135">
        <v>1898192</v>
      </c>
      <c r="K17" s="135">
        <v>2250888</v>
      </c>
      <c r="L17" s="135">
        <v>2003089</v>
      </c>
      <c r="M17" s="135">
        <v>2170389</v>
      </c>
      <c r="N17" s="19">
        <f t="shared" si="1"/>
        <v>22840538</v>
      </c>
    </row>
    <row r="18" spans="1:14" x14ac:dyDescent="0.25">
      <c r="A18" s="27" t="s">
        <v>33</v>
      </c>
      <c r="B18" s="135">
        <v>6120144</v>
      </c>
      <c r="C18" s="135">
        <v>5894622</v>
      </c>
      <c r="D18" s="135">
        <v>5418705</v>
      </c>
      <c r="E18" s="135">
        <v>5441524</v>
      </c>
      <c r="F18" s="135">
        <v>6347724</v>
      </c>
      <c r="G18" s="135">
        <v>5435800</v>
      </c>
      <c r="H18" s="135">
        <v>5849336</v>
      </c>
      <c r="I18" s="135">
        <v>5735536</v>
      </c>
      <c r="J18" s="135">
        <v>5284730</v>
      </c>
      <c r="K18" s="135">
        <v>6633683</v>
      </c>
      <c r="L18" s="135">
        <v>5858974</v>
      </c>
      <c r="M18" s="135">
        <v>6601220</v>
      </c>
      <c r="N18" s="19">
        <f t="shared" si="1"/>
        <v>70621998</v>
      </c>
    </row>
    <row r="19" spans="1:14" x14ac:dyDescent="0.25">
      <c r="A19" s="27" t="s">
        <v>55</v>
      </c>
      <c r="B19" s="135">
        <v>86657</v>
      </c>
      <c r="C19" s="135">
        <v>87481</v>
      </c>
      <c r="D19" s="135">
        <v>79004</v>
      </c>
      <c r="E19" s="135">
        <v>74718</v>
      </c>
      <c r="F19" s="135">
        <v>100763</v>
      </c>
      <c r="G19" s="135">
        <v>81908</v>
      </c>
      <c r="H19" s="135">
        <v>94814</v>
      </c>
      <c r="I19" s="135">
        <v>92907</v>
      </c>
      <c r="J19" s="135">
        <v>88619</v>
      </c>
      <c r="K19" s="135">
        <v>122475</v>
      </c>
      <c r="L19" s="135">
        <v>101578</v>
      </c>
      <c r="M19" s="135">
        <v>112412</v>
      </c>
      <c r="N19" s="19">
        <f t="shared" si="1"/>
        <v>1123336</v>
      </c>
    </row>
    <row r="20" spans="1:14" x14ac:dyDescent="0.25">
      <c r="A20" s="27" t="s">
        <v>34</v>
      </c>
      <c r="B20" s="135">
        <v>8666369</v>
      </c>
      <c r="C20" s="135">
        <v>8192041</v>
      </c>
      <c r="D20" s="135">
        <v>8554057</v>
      </c>
      <c r="E20" s="135">
        <v>8049380</v>
      </c>
      <c r="F20" s="135">
        <v>9122811</v>
      </c>
      <c r="G20" s="135">
        <v>7236917</v>
      </c>
      <c r="H20" s="135">
        <v>7393649</v>
      </c>
      <c r="I20" s="135">
        <v>8345897</v>
      </c>
      <c r="J20" s="135">
        <v>7156555</v>
      </c>
      <c r="K20" s="135">
        <v>9579531</v>
      </c>
      <c r="L20" s="135">
        <v>8230984</v>
      </c>
      <c r="M20" s="135">
        <v>8666713</v>
      </c>
      <c r="N20" s="19">
        <f t="shared" si="1"/>
        <v>99194904</v>
      </c>
    </row>
    <row r="21" spans="1:14" x14ac:dyDescent="0.25">
      <c r="A21" s="42" t="s">
        <v>25</v>
      </c>
      <c r="B21" s="135">
        <v>2561084</v>
      </c>
      <c r="C21" s="135">
        <v>2220639</v>
      </c>
      <c r="D21" s="135">
        <v>1966487</v>
      </c>
      <c r="E21" s="135">
        <v>1843051</v>
      </c>
      <c r="F21" s="135">
        <v>2322698</v>
      </c>
      <c r="G21" s="135">
        <v>2520345</v>
      </c>
      <c r="H21" s="135">
        <v>3339028</v>
      </c>
      <c r="I21" s="135">
        <v>3867436</v>
      </c>
      <c r="J21" s="135">
        <v>3542589</v>
      </c>
      <c r="K21" s="135">
        <v>4673686</v>
      </c>
      <c r="L21" s="135">
        <v>3395825</v>
      </c>
      <c r="M21" s="135">
        <v>3248720</v>
      </c>
      <c r="N21" s="19">
        <f t="shared" si="1"/>
        <v>35501588</v>
      </c>
    </row>
    <row r="22" spans="1:14" x14ac:dyDescent="0.25">
      <c r="A22" s="27" t="s">
        <v>28</v>
      </c>
      <c r="B22" s="16">
        <f>SUM(B8:B21)</f>
        <v>67568725</v>
      </c>
      <c r="C22" s="16">
        <f t="shared" ref="C22:M22" si="2">SUM(C8:C21)</f>
        <v>52999588</v>
      </c>
      <c r="D22" s="16">
        <f t="shared" si="2"/>
        <v>45156428</v>
      </c>
      <c r="E22" s="16">
        <f t="shared" si="2"/>
        <v>45290841</v>
      </c>
      <c r="F22" s="16">
        <f t="shared" si="2"/>
        <v>56150721</v>
      </c>
      <c r="G22" s="16">
        <f t="shared" si="2"/>
        <v>88511807</v>
      </c>
      <c r="H22" s="16">
        <f t="shared" si="2"/>
        <v>129026268</v>
      </c>
      <c r="I22" s="16">
        <f t="shared" si="2"/>
        <v>160789720</v>
      </c>
      <c r="J22" s="16">
        <f t="shared" si="2"/>
        <v>151191735</v>
      </c>
      <c r="K22" s="16">
        <f t="shared" si="2"/>
        <v>141375253</v>
      </c>
      <c r="L22" s="16">
        <f t="shared" si="2"/>
        <v>127534545</v>
      </c>
      <c r="M22" s="16">
        <f t="shared" si="2"/>
        <v>96959390</v>
      </c>
      <c r="N22" s="16">
        <f>SUM(N8:N21)</f>
        <v>1162555021</v>
      </c>
    </row>
    <row r="23" spans="1:14" x14ac:dyDescent="0.25">
      <c r="A23" s="27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5" spans="1:14" x14ac:dyDescent="0.25">
      <c r="A25" s="6" t="s">
        <v>197</v>
      </c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3" orientation="landscape" blackAndWhite="1" r:id="rId1"/>
  <headerFooter>
    <oddFooter>&amp;L&amp;F 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543D87ACE2EC4BA3ADE2C58F86A467" ma:contentTypeVersion="28" ma:contentTypeDescription="" ma:contentTypeScope="" ma:versionID="a92e0c1c985e6be2d7edabb555ea4c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2022-04-20T07:00:00+00:00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560708-16A4-43D3-89F2-5EE802C42DF8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239DE36-EE74-4046-B5CC-E8E4CD9FD894}"/>
</file>

<file path=customXml/itemProps3.xml><?xml version="1.0" encoding="utf-8"?>
<ds:datastoreItem xmlns:ds="http://schemas.openxmlformats.org/officeDocument/2006/customXml" ds:itemID="{4B2176DC-872D-4CFA-83F8-018D9D25EDFD}"/>
</file>

<file path=customXml/itemProps4.xml><?xml version="1.0" encoding="utf-8"?>
<ds:datastoreItem xmlns:ds="http://schemas.openxmlformats.org/officeDocument/2006/customXml" ds:itemID="{77302590-DB4C-47A9-855D-17AE5C2FCF20}"/>
</file>

<file path=customXml/itemProps5.xml><?xml version="1.0" encoding="utf-8"?>
<ds:datastoreItem xmlns:ds="http://schemas.openxmlformats.org/officeDocument/2006/customXml" ds:itemID="{9C777FF5-68AD-4B53-AAF0-92C295D77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Sch. 140 Rates</vt:lpstr>
      <vt:lpstr>Allocation Factors</vt:lpstr>
      <vt:lpstr>Rate Impacts--&gt;</vt:lpstr>
      <vt:lpstr>Rate Impacts Sch 140</vt:lpstr>
      <vt:lpstr>Typical Res Bill Sch 140</vt:lpstr>
      <vt:lpstr>Sch. 140</vt:lpstr>
      <vt:lpstr>Workpapers--&gt;</vt:lpstr>
      <vt:lpstr>2022 FINAL Rev Req</vt:lpstr>
      <vt:lpstr>Therm Forecast</vt:lpstr>
      <vt:lpstr>'Allocation Factors'!Print_Area</vt:lpstr>
      <vt:lpstr>'Rate Impacts Sch 140'!Print_Area</vt:lpstr>
      <vt:lpstr>'Sch. 140'!Print_Area</vt:lpstr>
      <vt:lpstr>'Sch. 140 Rates'!Print_Area</vt:lpstr>
      <vt:lpstr>'Therm Forecast'!Print_Area</vt:lpstr>
      <vt:lpstr>'Typical Res Bill Sch 140'!Print_Area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Paul.Schmidt@pse.com;Kelima.Yakupova@pse.com</dc:creator>
  <cp:lastModifiedBy>Puget Sound Energy</cp:lastModifiedBy>
  <cp:lastPrinted>2020-04-14T20:24:28Z</cp:lastPrinted>
  <dcterms:created xsi:type="dcterms:W3CDTF">2012-11-20T18:48:04Z</dcterms:created>
  <dcterms:modified xsi:type="dcterms:W3CDTF">2022-04-20T22:04:08Z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0x0101006E56B4D1795A2E4DB2F0B01679ED314A008A543D87ACE2EC4BA3ADE2C58F86A467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