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Dirty 2021 CBR WP\"/>
    </mc:Choice>
  </mc:AlternateContent>
  <bookViews>
    <workbookView xWindow="-15" yWindow="105" windowWidth="14520" windowHeight="12180" tabRatio="829"/>
  </bookViews>
  <sheets>
    <sheet name="Lead E" sheetId="19" r:id="rId1"/>
    <sheet name="Lead G" sheetId="20" r:id="rId2"/>
    <sheet name="Avg cost of case" sheetId="23" r:id="rId3"/>
    <sheet name="TY" sheetId="44" r:id="rId4"/>
    <sheet name="Summary GRCs" sheetId="38" r:id="rId5"/>
    <sheet name="Summary PCORCs" sheetId="26" r:id="rId6"/>
  </sheets>
  <externalReferences>
    <externalReference r:id="rId7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</definedNames>
  <calcPr calcId="162913"/>
</workbook>
</file>

<file path=xl/calcChain.xml><?xml version="1.0" encoding="utf-8"?>
<calcChain xmlns="http://schemas.openxmlformats.org/spreadsheetml/2006/main">
  <c r="D22" i="44" l="1"/>
  <c r="C21" i="44"/>
  <c r="D6" i="44" l="1"/>
  <c r="C6" i="44"/>
  <c r="B18" i="44" l="1"/>
  <c r="B9" i="44"/>
  <c r="A14" i="19" l="1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13" i="19"/>
  <c r="A14" i="20"/>
  <c r="A15" i="20"/>
  <c r="A16" i="20"/>
  <c r="A17" i="20"/>
  <c r="A18" i="20"/>
  <c r="A19" i="20"/>
  <c r="A20" i="20"/>
  <c r="A21" i="20"/>
  <c r="A22" i="20"/>
  <c r="A23" i="20"/>
  <c r="A24" i="20"/>
  <c r="A13" i="20"/>
  <c r="B6" i="26" l="1"/>
  <c r="B10" i="26"/>
  <c r="D21" i="23" l="1"/>
  <c r="D19" i="23"/>
  <c r="B22" i="44"/>
  <c r="B21" i="44"/>
  <c r="B20" i="44"/>
  <c r="I14" i="38" l="1"/>
  <c r="D20" i="38"/>
  <c r="E20" i="38"/>
  <c r="F20" i="38"/>
  <c r="G20" i="38"/>
  <c r="H20" i="38"/>
  <c r="I20" i="38"/>
  <c r="C20" i="38"/>
  <c r="D14" i="38"/>
  <c r="E14" i="38"/>
  <c r="F14" i="38"/>
  <c r="G14" i="38"/>
  <c r="H14" i="38"/>
  <c r="C14" i="38"/>
  <c r="B13" i="38"/>
  <c r="B7" i="38"/>
  <c r="B8" i="38"/>
  <c r="B9" i="38"/>
  <c r="B6" i="38"/>
  <c r="B18" i="38"/>
  <c r="B19" i="38"/>
  <c r="B17" i="38"/>
  <c r="I10" i="38"/>
  <c r="B20" i="38" l="1"/>
  <c r="C9" i="44" l="1"/>
  <c r="C18" i="44"/>
  <c r="D9" i="44"/>
  <c r="D10" i="44" s="1"/>
  <c r="D18" i="44"/>
  <c r="C20" i="44"/>
  <c r="D20" i="44"/>
  <c r="B10" i="44"/>
  <c r="B13" i="26"/>
  <c r="B14" i="38"/>
  <c r="H10" i="38"/>
  <c r="B10" i="38" l="1"/>
  <c r="D6" i="23"/>
  <c r="D4" i="23" l="1"/>
  <c r="D9" i="23" s="1"/>
  <c r="B22" i="38"/>
  <c r="G10" i="38" l="1"/>
  <c r="B24" i="44" l="1"/>
  <c r="C10" i="44" l="1"/>
  <c r="D26" i="19" s="1"/>
  <c r="D10" i="38"/>
  <c r="C10" i="38" l="1"/>
  <c r="E10" i="38"/>
  <c r="F10" i="38"/>
  <c r="C24" i="44" l="1"/>
  <c r="D24" i="44" l="1"/>
  <c r="D23" i="23"/>
  <c r="D25" i="23" s="1"/>
  <c r="D23" i="19" l="1"/>
  <c r="D18" i="20"/>
  <c r="D19" i="19"/>
  <c r="D25" i="19" l="1"/>
  <c r="A8" i="20"/>
  <c r="A7" i="20"/>
  <c r="D11" i="23" l="1"/>
  <c r="D13" i="23" s="1"/>
  <c r="D16" i="19" l="1"/>
  <c r="D15" i="20"/>
  <c r="D17" i="20" l="1"/>
  <c r="D19" i="20" s="1"/>
  <c r="E19" i="20" s="1"/>
  <c r="E21" i="20" s="1"/>
  <c r="E23" i="20" s="1"/>
  <c r="E24" i="20" s="1"/>
  <c r="D18" i="19"/>
  <c r="D20" i="19" s="1"/>
  <c r="E20" i="19" s="1"/>
  <c r="D27" i="19"/>
  <c r="E27" i="19" s="1"/>
  <c r="E29" i="19" l="1"/>
  <c r="E31" i="19" s="1"/>
  <c r="E32" i="19" s="1"/>
</calcChain>
</file>

<file path=xl/sharedStrings.xml><?xml version="1.0" encoding="utf-8"?>
<sst xmlns="http://schemas.openxmlformats.org/spreadsheetml/2006/main" count="100" uniqueCount="80">
  <si>
    <t>RATE CASE EXPENSES</t>
  </si>
  <si>
    <t>LINE</t>
  </si>
  <si>
    <t>NO.</t>
  </si>
  <si>
    <t>DESCRIPTION</t>
  </si>
  <si>
    <t>AMOUNT</t>
  </si>
  <si>
    <t>INCREASE (DECREASE) EXPENSE</t>
  </si>
  <si>
    <t>INCREASE(DECREASE) FIT @</t>
  </si>
  <si>
    <t>INCREASE(DECREASE) NOI</t>
  </si>
  <si>
    <t>PUGET SOUND ENERGY-ELECTRIC</t>
  </si>
  <si>
    <t>Puget Sound Energy</t>
  </si>
  <si>
    <t>Gas</t>
  </si>
  <si>
    <t>EXPENSES TO BE NORMALIZED:</t>
  </si>
  <si>
    <t>TOTAL INCREASE (DECREASE) EXPENSE</t>
  </si>
  <si>
    <t>Average PCORC Cost</t>
  </si>
  <si>
    <t>Average GRC Cost</t>
  </si>
  <si>
    <t>Average GRC cost</t>
  </si>
  <si>
    <t>Total</t>
  </si>
  <si>
    <t>LESS TEST YEAR EXPENSE:  GRC DIRECT CHARGES TO O&amp;M</t>
  </si>
  <si>
    <t>LESS TEST YEAR EXPENSE:  PCORC DIRECT CHARGES TO O&amp;M</t>
  </si>
  <si>
    <t>PUGET SOUND ENERGY-GAS</t>
  </si>
  <si>
    <t>Act. Costs</t>
  </si>
  <si>
    <t xml:space="preserve">Elec </t>
  </si>
  <si>
    <t>Orders</t>
  </si>
  <si>
    <t>Split between Electric and Gas (50-50 split)</t>
  </si>
  <si>
    <t xml:space="preserve">Average PCORC cost </t>
  </si>
  <si>
    <t>Rate Case Costs</t>
  </si>
  <si>
    <t>2014 PCORC</t>
  </si>
  <si>
    <t>order 92800108 direct charges</t>
  </si>
  <si>
    <t>Total PCORC direct charges</t>
  </si>
  <si>
    <t>Total PCORC for Test Year</t>
  </si>
  <si>
    <t>2014 PCORC cost</t>
  </si>
  <si>
    <t>EXPENSES OF LAST 2 COMPLETED GRCS</t>
  </si>
  <si>
    <t xml:space="preserve">EXPENSES OF LAST 2 COMPLETED PCORCS </t>
  </si>
  <si>
    <t>COMMISSION BASIS REPORT</t>
  </si>
  <si>
    <t>GRC Costs</t>
  </si>
  <si>
    <t>Total 2017 GRC Cost</t>
  </si>
  <si>
    <t>2017 GRC</t>
  </si>
  <si>
    <t>order 92800825 GRC Rev Req</t>
  </si>
  <si>
    <t xml:space="preserve">order 92800826 GRC </t>
  </si>
  <si>
    <t>order 92800828 GRC (Common)</t>
  </si>
  <si>
    <t>order 92800610 GRC (Common)</t>
  </si>
  <si>
    <t>2017 GRC cost</t>
  </si>
  <si>
    <t>Total GRC direct charges</t>
  </si>
  <si>
    <t xml:space="preserve">  ZO12                      Orders: Actual 12 Month Ended</t>
  </si>
  <si>
    <t>2019 GRC</t>
  </si>
  <si>
    <t>order 92800613 GRC (Common)</t>
  </si>
  <si>
    <t>2019 GRC cost</t>
  </si>
  <si>
    <t>EXPENSES OF LAST 2 COMPLETED GRCS (2017 GRC AND 2019 GRC) TO BE NORMALIZED</t>
  </si>
  <si>
    <t xml:space="preserve">      2017 AND 2019 GRC EXPENSES TO BE NORMALIZED</t>
  </si>
  <si>
    <t xml:space="preserve"> Run Date:                     02/1/2021</t>
  </si>
  <si>
    <r>
      <t xml:space="preserve">Run </t>
    </r>
    <r>
      <rPr>
        <b/>
        <i/>
        <sz val="9"/>
        <color rgb="FF0000FF"/>
        <rFont val="Arial"/>
        <family val="2"/>
      </rPr>
      <t>Order Group 928 by order</t>
    </r>
    <r>
      <rPr>
        <i/>
        <sz val="10"/>
        <color rgb="FF0000FF"/>
        <rFont val="Arial"/>
        <family val="2"/>
      </rPr>
      <t xml:space="preserve"> to check for new rate case orders.</t>
    </r>
  </si>
  <si>
    <t>FOR THE TWELVE MONTHS ENDED DECEMBER 31, 2021</t>
  </si>
  <si>
    <t>2020 PCORC</t>
  </si>
  <si>
    <t>order 92800621 direct charges</t>
  </si>
  <si>
    <t>2021 GRC</t>
  </si>
  <si>
    <t>order 92800117  2021 General Rate Case - Common</t>
  </si>
  <si>
    <t>order 92800119  2021 General Rate Case - Gas</t>
  </si>
  <si>
    <t>Total 2021 GRC Cost</t>
  </si>
  <si>
    <t>order 92800118  2021 GRC - Elec</t>
  </si>
  <si>
    <t>order 92800119  2021 GRC - Gas</t>
  </si>
  <si>
    <t>order 92800117  2021 GRC (Common)</t>
  </si>
  <si>
    <t>SUMMARY GRC:  Cumulative Expenditures through 12/31/2021</t>
  </si>
  <si>
    <t>SUMMARY PCORC:  Cumulative Expenditures through 12/31/2021</t>
  </si>
  <si>
    <t>92800825 GRC Rev Req</t>
  </si>
  <si>
    <t xml:space="preserve">92800826 GRC </t>
  </si>
  <si>
    <t>92800828 GRC (Common)</t>
  </si>
  <si>
    <t>92800610 GRC (Common)</t>
  </si>
  <si>
    <t>order  92800118  2021 General Rate Case - Elec</t>
  </si>
  <si>
    <t>2020 PCORC cost</t>
  </si>
  <si>
    <t>12ME Dec 31, 2021</t>
  </si>
  <si>
    <t xml:space="preserve">     2014 AND 2020 PCORC EXPENSES TO BE NORMALIZED</t>
  </si>
  <si>
    <t>92800621 - 2020 PCORC (Common)</t>
  </si>
  <si>
    <t>92800108 - 2014 PCORC (Electric)</t>
  </si>
  <si>
    <t>ANNUAL NORMALIZATION (LINE 16 / 3)</t>
  </si>
  <si>
    <t>ANNUAL NORMALIZATION (LINE 23 / 2)</t>
  </si>
  <si>
    <t>ANNUAL NORMALIZATION (LINE 15/ 3)</t>
  </si>
  <si>
    <t>92800613 GRC (Common)</t>
  </si>
  <si>
    <t>Split between Electric and Gas - Rounded</t>
  </si>
  <si>
    <t>Average PCORC cost - Rounded</t>
  </si>
  <si>
    <t>2022 GRC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</si>
</sst>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mm\-yy"/>
    <numFmt numFmtId="167" formatCode="#,##0.00_-;#,##0.00\-;&quot; &quot;"/>
    <numFmt numFmtId="168" formatCode="#,##0_-;#,##0\-;&quot; &quot;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Times New Roman"/>
      <family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u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Times New Roman"/>
      <family val="1"/>
    </font>
    <font>
      <b/>
      <u/>
      <sz val="10"/>
      <name val="Arial"/>
      <family val="2"/>
    </font>
    <font>
      <i/>
      <sz val="10"/>
      <color rgb="FF0000FF"/>
      <name val="Arial"/>
      <family val="2"/>
    </font>
    <font>
      <b/>
      <i/>
      <sz val="9"/>
      <color rgb="FF0000FF"/>
      <name val="Arial"/>
      <family val="2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156">
    <xf numFmtId="0" fontId="0" fillId="0" borderId="0" xfId="0"/>
    <xf numFmtId="3" fontId="21" fillId="0" borderId="2" xfId="0" applyNumberFormat="1" applyFont="1" applyFill="1" applyBorder="1"/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/>
    <xf numFmtId="15" fontId="3" fillId="0" borderId="0" xfId="0" applyNumberFormat="1" applyFont="1" applyFill="1"/>
    <xf numFmtId="0" fontId="2" fillId="0" borderId="0" xfId="0" applyFont="1" applyFill="1" applyBorder="1"/>
    <xf numFmtId="0" fontId="2" fillId="0" borderId="4" xfId="0" applyFont="1" applyFill="1" applyBorder="1" applyProtection="1">
      <protection locked="0"/>
    </xf>
    <xf numFmtId="0" fontId="3" fillId="0" borderId="0" xfId="0" applyNumberFormat="1" applyFont="1" applyFill="1" applyAlignment="1">
      <alignment horizontal="left" indent="2"/>
    </xf>
    <xf numFmtId="0" fontId="3" fillId="0" borderId="0" xfId="0" applyFont="1" applyFill="1" applyBorder="1"/>
    <xf numFmtId="42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/>
    <xf numFmtId="164" fontId="3" fillId="0" borderId="5" xfId="0" applyNumberFormat="1" applyFont="1" applyFill="1" applyBorder="1" applyProtection="1">
      <protection locked="0"/>
    </xf>
    <xf numFmtId="0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Protection="1">
      <protection locked="0"/>
    </xf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9" fontId="3" fillId="0" borderId="0" xfId="0" applyNumberFormat="1" applyFont="1" applyFill="1" applyBorder="1"/>
    <xf numFmtId="0" fontId="3" fillId="0" borderId="0" xfId="0" applyNumberFormat="1" applyFont="1" applyFill="1" applyAlignment="1">
      <alignment horizontal="left" vertical="center" indent="2"/>
    </xf>
    <xf numFmtId="37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Border="1"/>
    <xf numFmtId="37" fontId="3" fillId="0" borderId="4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 applyProtection="1">
      <alignment horizontal="centerContinuous"/>
      <protection locked="0"/>
    </xf>
    <xf numFmtId="0" fontId="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 applyProtection="1">
      <alignment horizontal="centerContinuous" vertical="center"/>
      <protection locked="0"/>
    </xf>
    <xf numFmtId="0" fontId="0" fillId="0" borderId="5" xfId="0" applyFill="1" applyBorder="1"/>
    <xf numFmtId="164" fontId="3" fillId="0" borderId="3" xfId="0" applyNumberFormat="1" applyFont="1" applyFill="1" applyBorder="1" applyProtection="1">
      <protection locked="0"/>
    </xf>
    <xf numFmtId="43" fontId="0" fillId="0" borderId="0" xfId="0" applyNumberFormat="1" applyFont="1" applyFill="1"/>
    <xf numFmtId="43" fontId="5" fillId="0" borderId="0" xfId="0" applyNumberFormat="1" applyFont="1" applyFill="1" applyBorder="1" applyAlignment="1">
      <alignment horizontal="center"/>
    </xf>
    <xf numFmtId="43" fontId="9" fillId="0" borderId="0" xfId="0" applyNumberFormat="1" applyFont="1" applyFill="1"/>
    <xf numFmtId="165" fontId="0" fillId="0" borderId="0" xfId="0" applyNumberFormat="1" applyFont="1" applyFill="1" applyBorder="1"/>
    <xf numFmtId="166" fontId="5" fillId="0" borderId="0" xfId="0" applyNumberFormat="1" applyFont="1" applyFill="1" applyAlignment="1">
      <alignment horizontal="left" indent="2"/>
    </xf>
    <xf numFmtId="49" fontId="10" fillId="0" borderId="2" xfId="0" applyNumberFormat="1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167" fontId="5" fillId="0" borderId="0" xfId="0" applyNumberFormat="1" applyFont="1" applyFill="1" applyBorder="1"/>
    <xf numFmtId="41" fontId="3" fillId="0" borderId="4" xfId="0" applyNumberFormat="1" applyFont="1" applyFill="1" applyBorder="1" applyProtection="1">
      <protection locked="0"/>
    </xf>
    <xf numFmtId="165" fontId="5" fillId="0" borderId="0" xfId="0" applyNumberFormat="1" applyFont="1" applyFill="1" applyBorder="1"/>
    <xf numFmtId="0" fontId="11" fillId="0" borderId="0" xfId="0" applyNumberFormat="1" applyFont="1" applyFill="1" applyAlignment="1">
      <alignment horizontal="left"/>
    </xf>
    <xf numFmtId="0" fontId="0" fillId="0" borderId="4" xfId="0" applyFill="1" applyBorder="1"/>
    <xf numFmtId="49" fontId="10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/>
    </xf>
    <xf numFmtId="43" fontId="9" fillId="0" borderId="0" xfId="0" applyNumberFormat="1" applyFont="1" applyFill="1" applyBorder="1"/>
    <xf numFmtId="0" fontId="1" fillId="0" borderId="10" xfId="0" applyFont="1" applyBorder="1"/>
    <xf numFmtId="0" fontId="1" fillId="0" borderId="5" xfId="0" applyFont="1" applyBorder="1"/>
    <xf numFmtId="0" fontId="1" fillId="0" borderId="0" xfId="0" applyFont="1"/>
    <xf numFmtId="0" fontId="1" fillId="0" borderId="8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Fill="1" applyBorder="1"/>
    <xf numFmtId="43" fontId="1" fillId="0" borderId="4" xfId="0" applyNumberFormat="1" applyFont="1" applyFill="1" applyBorder="1"/>
    <xf numFmtId="43" fontId="1" fillId="0" borderId="0" xfId="0" applyNumberFormat="1" applyFont="1" applyFill="1" applyBorder="1"/>
    <xf numFmtId="0" fontId="1" fillId="0" borderId="0" xfId="0" applyFont="1" applyFill="1"/>
    <xf numFmtId="43" fontId="1" fillId="0" borderId="0" xfId="0" applyNumberFormat="1" applyFont="1" applyFill="1"/>
    <xf numFmtId="0" fontId="6" fillId="0" borderId="0" xfId="0" applyFont="1" applyFill="1"/>
    <xf numFmtId="10" fontId="10" fillId="0" borderId="1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/>
    <xf numFmtId="0" fontId="1" fillId="0" borderId="1" xfId="0" applyFont="1" applyFill="1" applyBorder="1"/>
    <xf numFmtId="43" fontId="1" fillId="0" borderId="0" xfId="0" applyNumberFormat="1" applyFont="1" applyFill="1"/>
    <xf numFmtId="43" fontId="5" fillId="0" borderId="4" xfId="0" applyNumberFormat="1" applyFont="1" applyFill="1" applyBorder="1" applyAlignment="1">
      <alignment horizontal="center"/>
    </xf>
    <xf numFmtId="165" fontId="9" fillId="0" borderId="0" xfId="0" applyNumberFormat="1" applyFont="1" applyFill="1"/>
    <xf numFmtId="165" fontId="9" fillId="0" borderId="4" xfId="0" applyNumberFormat="1" applyFont="1" applyFill="1" applyBorder="1"/>
    <xf numFmtId="166" fontId="1" fillId="0" borderId="0" xfId="0" applyNumberFormat="1" applyFont="1" applyFill="1" applyAlignment="1">
      <alignment horizontal="left" indent="2"/>
    </xf>
    <xf numFmtId="166" fontId="1" fillId="0" borderId="0" xfId="0" applyNumberFormat="1" applyFont="1" applyFill="1"/>
    <xf numFmtId="0" fontId="5" fillId="0" borderId="4" xfId="0" applyFont="1" applyFill="1" applyBorder="1" applyAlignment="1">
      <alignment horizontal="center"/>
    </xf>
    <xf numFmtId="166" fontId="5" fillId="0" borderId="0" xfId="0" applyNumberFormat="1" applyFont="1" applyFill="1" applyAlignment="1">
      <alignment horizontal="left"/>
    </xf>
    <xf numFmtId="43" fontId="5" fillId="0" borderId="0" xfId="0" applyNumberFormat="1" applyFont="1" applyFill="1"/>
    <xf numFmtId="43" fontId="1" fillId="0" borderId="0" xfId="0" applyNumberFormat="1" applyFont="1" applyFill="1" applyBorder="1" applyAlignment="1">
      <alignment horizontal="center"/>
    </xf>
    <xf numFmtId="165" fontId="5" fillId="0" borderId="5" xfId="0" applyNumberFormat="1" applyFont="1" applyFill="1" applyBorder="1"/>
    <xf numFmtId="165" fontId="1" fillId="0" borderId="5" xfId="0" applyNumberFormat="1" applyFont="1" applyFill="1" applyBorder="1"/>
    <xf numFmtId="165" fontId="5" fillId="0" borderId="0" xfId="0" applyNumberFormat="1" applyFont="1" applyFill="1" applyBorder="1"/>
    <xf numFmtId="165" fontId="1" fillId="0" borderId="0" xfId="0" applyNumberFormat="1" applyFont="1" applyFill="1"/>
    <xf numFmtId="41" fontId="0" fillId="0" borderId="0" xfId="0" applyNumberFormat="1" applyFill="1"/>
    <xf numFmtId="165" fontId="5" fillId="0" borderId="3" xfId="0" applyNumberFormat="1" applyFont="1" applyFill="1" applyBorder="1"/>
    <xf numFmtId="165" fontId="0" fillId="0" borderId="0" xfId="0" applyNumberFormat="1" applyFont="1" applyFill="1"/>
    <xf numFmtId="165" fontId="5" fillId="0" borderId="13" xfId="0" applyNumberFormat="1" applyFont="1" applyFill="1" applyBorder="1"/>
    <xf numFmtId="165" fontId="0" fillId="0" borderId="4" xfId="0" applyNumberFormat="1" applyFont="1" applyFill="1" applyBorder="1"/>
    <xf numFmtId="4" fontId="0" fillId="0" borderId="4" xfId="0" applyNumberFormat="1" applyFill="1" applyBorder="1"/>
    <xf numFmtId="165" fontId="0" fillId="0" borderId="0" xfId="0" applyNumberFormat="1" applyFill="1" applyBorder="1"/>
    <xf numFmtId="166" fontId="13" fillId="0" borderId="0" xfId="0" applyNumberFormat="1" applyFont="1" applyFill="1" applyAlignment="1">
      <alignment horizontal="right" indent="2"/>
    </xf>
    <xf numFmtId="43" fontId="13" fillId="0" borderId="0" xfId="0" applyNumberFormat="1" applyFont="1" applyFill="1"/>
    <xf numFmtId="43" fontId="12" fillId="0" borderId="0" xfId="0" applyNumberFormat="1" applyFont="1" applyFill="1"/>
    <xf numFmtId="165" fontId="5" fillId="0" borderId="3" xfId="0" applyNumberFormat="1" applyFont="1" applyFill="1" applyBorder="1"/>
    <xf numFmtId="165" fontId="1" fillId="0" borderId="0" xfId="0" applyNumberFormat="1" applyFont="1" applyFill="1"/>
    <xf numFmtId="165" fontId="1" fillId="0" borderId="4" xfId="0" applyNumberFormat="1" applyFont="1" applyFill="1" applyBorder="1"/>
    <xf numFmtId="0" fontId="14" fillId="0" borderId="0" xfId="0" applyFont="1" applyFill="1"/>
    <xf numFmtId="43" fontId="15" fillId="0" borderId="0" xfId="0" applyNumberFormat="1" applyFont="1" applyFill="1"/>
    <xf numFmtId="0" fontId="15" fillId="0" borderId="0" xfId="0" applyFont="1" applyFill="1"/>
    <xf numFmtId="0" fontId="15" fillId="0" borderId="0" xfId="0" applyFont="1"/>
    <xf numFmtId="168" fontId="1" fillId="0" borderId="0" xfId="0" applyNumberFormat="1" applyFont="1" applyFill="1"/>
    <xf numFmtId="0" fontId="16" fillId="0" borderId="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/>
    <xf numFmtId="0" fontId="16" fillId="0" borderId="0" xfId="0" applyFont="1" applyFill="1" applyAlignment="1">
      <alignment vertical="top"/>
    </xf>
    <xf numFmtId="9" fontId="16" fillId="0" borderId="0" xfId="0" applyNumberFormat="1" applyFont="1" applyFill="1" applyBorder="1"/>
    <xf numFmtId="10" fontId="10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/>
    <xf numFmtId="165" fontId="1" fillId="0" borderId="2" xfId="0" applyNumberFormat="1" applyFont="1" applyFill="1" applyBorder="1"/>
    <xf numFmtId="165" fontId="1" fillId="0" borderId="2" xfId="0" quotePrefix="1" applyNumberFormat="1" applyFont="1" applyFill="1" applyBorder="1" applyAlignment="1">
      <alignment horizontal="right"/>
    </xf>
    <xf numFmtId="165" fontId="1" fillId="0" borderId="2" xfId="0" applyNumberFormat="1" applyFont="1" applyFill="1" applyBorder="1"/>
    <xf numFmtId="165" fontId="1" fillId="0" borderId="2" xfId="0" quotePrefix="1" applyNumberFormat="1" applyFont="1" applyFill="1" applyBorder="1" applyAlignment="1">
      <alignment horizontal="right"/>
    </xf>
    <xf numFmtId="0" fontId="5" fillId="0" borderId="12" xfId="0" applyFont="1" applyFill="1" applyBorder="1"/>
    <xf numFmtId="165" fontId="5" fillId="0" borderId="2" xfId="0" applyNumberFormat="1" applyFont="1" applyFill="1" applyBorder="1"/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166" fontId="17" fillId="0" borderId="0" xfId="0" applyNumberFormat="1" applyFont="1" applyFill="1"/>
    <xf numFmtId="165" fontId="9" fillId="0" borderId="1" xfId="0" applyNumberFormat="1" applyFont="1" applyFill="1" applyBorder="1"/>
    <xf numFmtId="165" fontId="0" fillId="0" borderId="1" xfId="0" applyNumberFormat="1" applyFont="1" applyFill="1" applyBorder="1"/>
    <xf numFmtId="165" fontId="0" fillId="0" borderId="1" xfId="0" applyNumberFormat="1" applyFill="1" applyBorder="1"/>
    <xf numFmtId="165" fontId="5" fillId="0" borderId="2" xfId="0" applyNumberFormat="1" applyFont="1" applyFill="1" applyBorder="1"/>
    <xf numFmtId="0" fontId="18" fillId="0" borderId="0" xfId="0" applyFont="1" applyFill="1"/>
    <xf numFmtId="167" fontId="20" fillId="0" borderId="12" xfId="0" applyNumberFormat="1" applyFont="1" applyFill="1" applyBorder="1" applyAlignment="1">
      <alignment horizontal="center"/>
    </xf>
    <xf numFmtId="167" fontId="20" fillId="0" borderId="2" xfId="0" applyNumberFormat="1" applyFont="1" applyFill="1" applyBorder="1" applyAlignment="1">
      <alignment horizontal="center"/>
    </xf>
    <xf numFmtId="166" fontId="22" fillId="0" borderId="0" xfId="0" applyNumberFormat="1" applyFont="1" applyFill="1" applyAlignment="1">
      <alignment horizontal="left"/>
    </xf>
    <xf numFmtId="166" fontId="21" fillId="0" borderId="0" xfId="0" applyNumberFormat="1" applyFont="1" applyFill="1" applyAlignment="1">
      <alignment horizontal="left" indent="2"/>
    </xf>
    <xf numFmtId="165" fontId="1" fillId="0" borderId="0" xfId="0" applyNumberFormat="1" applyFont="1"/>
    <xf numFmtId="166" fontId="22" fillId="0" borderId="0" xfId="0" applyNumberFormat="1" applyFont="1" applyFill="1"/>
    <xf numFmtId="166" fontId="22" fillId="0" borderId="0" xfId="0" applyNumberFormat="1" applyFont="1" applyFill="1" applyAlignment="1">
      <alignment horizontal="left" indent="2"/>
    </xf>
    <xf numFmtId="165" fontId="21" fillId="0" borderId="0" xfId="0" applyNumberFormat="1" applyFont="1" applyFill="1"/>
    <xf numFmtId="165" fontId="21" fillId="0" borderId="0" xfId="0" applyNumberFormat="1" applyFont="1" applyFill="1" applyBorder="1"/>
    <xf numFmtId="165" fontId="0" fillId="0" borderId="0" xfId="0" applyNumberFormat="1" applyFont="1" applyFill="1"/>
    <xf numFmtId="165" fontId="21" fillId="0" borderId="4" xfId="0" applyNumberFormat="1" applyFont="1" applyFill="1" applyBorder="1"/>
    <xf numFmtId="165" fontId="0" fillId="0" borderId="4" xfId="0" applyNumberFormat="1" applyFont="1" applyFill="1" applyBorder="1"/>
    <xf numFmtId="165" fontId="22" fillId="0" borderId="13" xfId="0" applyNumberFormat="1" applyFont="1" applyFill="1" applyBorder="1"/>
    <xf numFmtId="166" fontId="23" fillId="0" borderId="0" xfId="0" applyNumberFormat="1" applyFont="1" applyFill="1"/>
    <xf numFmtId="0" fontId="21" fillId="0" borderId="0" xfId="0" applyFont="1" applyFill="1" applyBorder="1"/>
    <xf numFmtId="165" fontId="1" fillId="0" borderId="0" xfId="1" applyNumberFormat="1" applyFont="1" applyFill="1" applyBorder="1"/>
    <xf numFmtId="0" fontId="8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97FFFF"/>
      <color rgb="FFFFC5B3"/>
      <color rgb="FFFFCCFF"/>
      <color rgb="FFCCB3FF"/>
      <color rgb="FFB4CDE6"/>
      <color rgb="FFCCFF33"/>
      <color rgb="FFFFFF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21167</xdr:colOff>
      <xdr:row>25</xdr:row>
      <xdr:rowOff>0</xdr:rowOff>
    </xdr:from>
    <xdr:to>
      <xdr:col>7</xdr:col>
      <xdr:colOff>495965</xdr:colOff>
      <xdr:row>45</xdr:row>
      <xdr:rowOff>5952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6084" y="4032250"/>
          <a:ext cx="3152381" cy="31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32471</xdr:colOff>
      <xdr:row>4</xdr:row>
      <xdr:rowOff>10824</xdr:rowOff>
    </xdr:from>
    <xdr:to>
      <xdr:col>15</xdr:col>
      <xdr:colOff>541538</xdr:colOff>
      <xdr:row>18</xdr:row>
      <xdr:rowOff>43295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6164" y="660256"/>
          <a:ext cx="3485630" cy="23487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1 Dec BS"/>
      <sheetName val="2021 Dec IS "/>
      <sheetName val="SAP DL Downld"/>
      <sheetName val="Meter Count"/>
      <sheetName val="Electric"/>
      <sheetName val="Gas"/>
      <sheetName val="Combined-2021"/>
      <sheetName val="DLReconBBS"/>
      <sheetName val="Gas Customer Counts Pg 10b"/>
      <sheetName val="Elect. Customer Counts Pg 10a "/>
    </sheetNames>
    <sheetDataSet>
      <sheetData sheetId="0">
        <row r="35">
          <cell r="E35">
            <v>0.65980000000000005</v>
          </cell>
          <cell r="F35">
            <v>0.3402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40"/>
  <sheetViews>
    <sheetView tabSelected="1" zoomScale="91" zoomScaleNormal="91" workbookViewId="0"/>
  </sheetViews>
  <sheetFormatPr defaultRowHeight="12.75" x14ac:dyDescent="0.2"/>
  <cols>
    <col min="1" max="1" width="5.7109375" style="34" customWidth="1"/>
    <col min="2" max="2" width="80.5703125" style="34" customWidth="1"/>
    <col min="3" max="3" width="4.5703125" style="34" customWidth="1"/>
    <col min="4" max="4" width="13.140625" style="34" customWidth="1"/>
    <col min="5" max="5" width="13.28515625" style="34" customWidth="1"/>
    <col min="6" max="6" width="1.7109375" customWidth="1"/>
    <col min="7" max="7" width="10.42578125" customWidth="1"/>
    <col min="8" max="8" width="16.7109375" customWidth="1"/>
    <col min="9" max="9" width="4.28515625" customWidth="1"/>
    <col min="10" max="10" width="12.28515625" customWidth="1"/>
    <col min="11" max="11" width="11.28515625" customWidth="1"/>
    <col min="12" max="12" width="2.28515625" customWidth="1"/>
    <col min="13" max="13" width="12" customWidth="1"/>
    <col min="14" max="14" width="11.42578125" customWidth="1"/>
    <col min="15" max="15" width="1.7109375" customWidth="1"/>
    <col min="16" max="16" width="11.28515625" bestFit="1" customWidth="1"/>
    <col min="17" max="17" width="10.42578125" bestFit="1" customWidth="1"/>
  </cols>
  <sheetData>
    <row r="1" spans="1:5" x14ac:dyDescent="0.2">
      <c r="A1" s="43"/>
      <c r="E1" s="10"/>
    </row>
    <row r="2" spans="1:5" x14ac:dyDescent="0.2">
      <c r="E2" s="10"/>
    </row>
    <row r="3" spans="1:5" x14ac:dyDescent="0.2">
      <c r="A3" s="6"/>
      <c r="B3" s="12"/>
      <c r="E3"/>
    </row>
    <row r="4" spans="1:5" x14ac:dyDescent="0.2">
      <c r="A4" s="13"/>
      <c r="B4" s="2"/>
      <c r="C4" s="2"/>
      <c r="D4" s="2"/>
    </row>
    <row r="5" spans="1:5" x14ac:dyDescent="0.2">
      <c r="A5" s="44" t="s">
        <v>8</v>
      </c>
      <c r="B5" s="45"/>
      <c r="C5" s="45"/>
      <c r="D5" s="45"/>
      <c r="E5" s="46"/>
    </row>
    <row r="6" spans="1:5" x14ac:dyDescent="0.2">
      <c r="A6" s="47" t="s">
        <v>0</v>
      </c>
      <c r="B6" s="45"/>
      <c r="C6" s="45"/>
      <c r="D6" s="45"/>
      <c r="E6" s="46"/>
    </row>
    <row r="7" spans="1:5" x14ac:dyDescent="0.2">
      <c r="A7" s="48" t="s">
        <v>51</v>
      </c>
      <c r="B7" s="45"/>
      <c r="C7" s="45"/>
      <c r="D7" s="45"/>
      <c r="E7" s="46"/>
    </row>
    <row r="8" spans="1:5" x14ac:dyDescent="0.2">
      <c r="A8" s="48" t="s">
        <v>33</v>
      </c>
      <c r="B8" s="45"/>
      <c r="C8" s="45"/>
      <c r="D8" s="45"/>
      <c r="E8" s="46"/>
    </row>
    <row r="9" spans="1:5" x14ac:dyDescent="0.2">
      <c r="A9" s="2"/>
      <c r="B9" s="2"/>
      <c r="C9" s="2"/>
      <c r="D9" s="2"/>
    </row>
    <row r="10" spans="1:5" x14ac:dyDescent="0.2">
      <c r="A10" s="9" t="s">
        <v>1</v>
      </c>
      <c r="B10" s="2"/>
      <c r="C10" s="2"/>
      <c r="D10" s="153"/>
      <c r="E10" s="153"/>
    </row>
    <row r="11" spans="1:5" x14ac:dyDescent="0.2">
      <c r="A11" s="3" t="s">
        <v>2</v>
      </c>
      <c r="B11" s="4" t="s">
        <v>3</v>
      </c>
      <c r="C11" s="14"/>
      <c r="D11" s="5"/>
      <c r="E11" s="3" t="s">
        <v>4</v>
      </c>
    </row>
    <row r="12" spans="1:5" x14ac:dyDescent="0.2">
      <c r="A12" s="6"/>
      <c r="B12" s="6"/>
      <c r="C12" s="6"/>
      <c r="D12" s="6"/>
    </row>
    <row r="13" spans="1:5" x14ac:dyDescent="0.2">
      <c r="A13" s="7">
        <f>ROW()</f>
        <v>13</v>
      </c>
      <c r="B13" s="23" t="s">
        <v>11</v>
      </c>
      <c r="C13" s="21"/>
      <c r="D13" s="18"/>
    </row>
    <row r="14" spans="1:5" x14ac:dyDescent="0.2">
      <c r="A14" s="7">
        <f>ROW()</f>
        <v>14</v>
      </c>
      <c r="B14" s="24"/>
      <c r="C14" s="21"/>
      <c r="D14" s="18"/>
    </row>
    <row r="15" spans="1:5" x14ac:dyDescent="0.2">
      <c r="A15" s="7">
        <f>ROW()</f>
        <v>15</v>
      </c>
      <c r="B15" s="62" t="s">
        <v>31</v>
      </c>
      <c r="C15" s="21"/>
    </row>
    <row r="16" spans="1:5" x14ac:dyDescent="0.2">
      <c r="A16" s="7">
        <f>ROW()</f>
        <v>16</v>
      </c>
      <c r="B16" s="24" t="s">
        <v>48</v>
      </c>
      <c r="C16" s="21"/>
      <c r="D16" s="17">
        <f>'Avg cost of case'!D13</f>
        <v>1347000</v>
      </c>
    </row>
    <row r="17" spans="1:5" x14ac:dyDescent="0.2">
      <c r="A17" s="7">
        <f>ROW()</f>
        <v>17</v>
      </c>
      <c r="B17" s="24"/>
      <c r="C17" s="21"/>
      <c r="D17" s="18"/>
    </row>
    <row r="18" spans="1:5" x14ac:dyDescent="0.2">
      <c r="A18" s="7">
        <f>ROW()</f>
        <v>18</v>
      </c>
      <c r="B18" s="28" t="s">
        <v>73</v>
      </c>
      <c r="C18" s="25"/>
      <c r="D18" s="29">
        <f>+D16/3</f>
        <v>449000</v>
      </c>
    </row>
    <row r="19" spans="1:5" x14ac:dyDescent="0.2">
      <c r="A19" s="7">
        <f>ROW()</f>
        <v>19</v>
      </c>
      <c r="B19" s="15" t="s">
        <v>17</v>
      </c>
      <c r="C19" s="16"/>
      <c r="D19" s="60">
        <f>TY!C24</f>
        <v>1451132.62163</v>
      </c>
    </row>
    <row r="20" spans="1:5" x14ac:dyDescent="0.2">
      <c r="A20" s="7">
        <f>ROW()</f>
        <v>20</v>
      </c>
      <c r="B20" s="24" t="s">
        <v>5</v>
      </c>
      <c r="C20" s="26"/>
      <c r="D20" s="19">
        <f>+D18-D19</f>
        <v>-1002132.62163</v>
      </c>
      <c r="E20" s="22">
        <f>+D20</f>
        <v>-1002132.62163</v>
      </c>
    </row>
    <row r="21" spans="1:5" x14ac:dyDescent="0.2">
      <c r="A21" s="7">
        <f>ROW()</f>
        <v>21</v>
      </c>
      <c r="B21" s="24"/>
      <c r="C21" s="16"/>
      <c r="D21" s="30"/>
    </row>
    <row r="22" spans="1:5" x14ac:dyDescent="0.2">
      <c r="A22" s="7">
        <f>ROW()</f>
        <v>22</v>
      </c>
      <c r="B22" s="62" t="s">
        <v>32</v>
      </c>
      <c r="C22" s="21"/>
    </row>
    <row r="23" spans="1:5" x14ac:dyDescent="0.2">
      <c r="A23" s="7">
        <f>ROW()</f>
        <v>23</v>
      </c>
      <c r="B23" s="24" t="s">
        <v>70</v>
      </c>
      <c r="C23" s="21"/>
      <c r="D23" s="17">
        <f>'Avg cost of case'!D25</f>
        <v>338000</v>
      </c>
    </row>
    <row r="24" spans="1:5" x14ac:dyDescent="0.2">
      <c r="A24" s="7">
        <f>ROW()</f>
        <v>24</v>
      </c>
      <c r="B24" s="24"/>
      <c r="C24" s="21"/>
      <c r="D24" s="17"/>
    </row>
    <row r="25" spans="1:5" x14ac:dyDescent="0.2">
      <c r="A25" s="7">
        <f>ROW()</f>
        <v>25</v>
      </c>
      <c r="B25" s="28" t="s">
        <v>74</v>
      </c>
      <c r="C25" s="25"/>
      <c r="D25" s="29">
        <f>+D23/2</f>
        <v>169000</v>
      </c>
    </row>
    <row r="26" spans="1:5" x14ac:dyDescent="0.2">
      <c r="A26" s="7">
        <f>ROW()</f>
        <v>26</v>
      </c>
      <c r="B26" s="15" t="s">
        <v>18</v>
      </c>
      <c r="C26" s="16"/>
      <c r="D26" s="60">
        <f>TY!C10</f>
        <v>176966.62069600003</v>
      </c>
    </row>
    <row r="27" spans="1:5" x14ac:dyDescent="0.2">
      <c r="A27" s="7">
        <f>ROW()</f>
        <v>27</v>
      </c>
      <c r="B27" s="24" t="s">
        <v>5</v>
      </c>
      <c r="C27" s="26"/>
      <c r="D27" s="19">
        <f>+D25-D26</f>
        <v>-7966.6206960000272</v>
      </c>
      <c r="E27" s="22">
        <f>+D27</f>
        <v>-7966.6206960000272</v>
      </c>
    </row>
    <row r="28" spans="1:5" x14ac:dyDescent="0.2">
      <c r="A28" s="7">
        <f>ROW()</f>
        <v>28</v>
      </c>
      <c r="B28" s="24"/>
      <c r="C28" s="26"/>
      <c r="D28" s="22"/>
      <c r="E28" s="49"/>
    </row>
    <row r="29" spans="1:5" x14ac:dyDescent="0.2">
      <c r="A29" s="7">
        <f>ROW()</f>
        <v>29</v>
      </c>
      <c r="B29" s="24" t="s">
        <v>12</v>
      </c>
      <c r="C29" s="16"/>
      <c r="E29" s="17">
        <f>+E20+E27</f>
        <v>-1010099.242326</v>
      </c>
    </row>
    <row r="30" spans="1:5" x14ac:dyDescent="0.2">
      <c r="A30" s="7">
        <f>ROW()</f>
        <v>30</v>
      </c>
      <c r="B30" s="20"/>
      <c r="C30" s="16"/>
      <c r="E30" s="32"/>
    </row>
    <row r="31" spans="1:5" x14ac:dyDescent="0.2">
      <c r="A31" s="7">
        <f>ROW()</f>
        <v>31</v>
      </c>
      <c r="B31" s="20" t="s">
        <v>6</v>
      </c>
      <c r="C31" s="27">
        <v>0.21</v>
      </c>
      <c r="E31" s="33">
        <f>-E29*C31</f>
        <v>212120.84088845999</v>
      </c>
    </row>
    <row r="32" spans="1:5" ht="13.5" thickBot="1" x14ac:dyDescent="0.25">
      <c r="A32" s="7">
        <f>ROW()</f>
        <v>32</v>
      </c>
      <c r="B32" s="20" t="s">
        <v>7</v>
      </c>
      <c r="C32" s="16"/>
      <c r="E32" s="50">
        <f>-E29-E31</f>
        <v>797978.40143754007</v>
      </c>
    </row>
    <row r="33" spans="4:4" ht="13.5" thickTop="1" x14ac:dyDescent="0.2"/>
    <row r="40" spans="4:4" x14ac:dyDescent="0.2">
      <c r="D40" s="51"/>
    </row>
  </sheetData>
  <mergeCells count="1">
    <mergeCell ref="D10:E10"/>
  </mergeCells>
  <phoneticPr fontId="7" type="noConversion"/>
  <pageMargins left="0.75" right="0.75" top="1" bottom="1" header="0.5" footer="0.5"/>
  <pageSetup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33"/>
  <sheetViews>
    <sheetView zoomScale="90" zoomScaleNormal="90" workbookViewId="0"/>
  </sheetViews>
  <sheetFormatPr defaultRowHeight="12.75" x14ac:dyDescent="0.2"/>
  <cols>
    <col min="1" max="1" width="5.42578125" bestFit="1" customWidth="1"/>
    <col min="2" max="2" width="67.42578125" bestFit="1" customWidth="1"/>
    <col min="3" max="3" width="5.140625" bestFit="1" customWidth="1"/>
    <col min="4" max="4" width="12" bestFit="1" customWidth="1"/>
    <col min="5" max="5" width="12.140625" customWidth="1"/>
    <col min="6" max="6" width="1.28515625" customWidth="1"/>
    <col min="7" max="7" width="11.28515625" customWidth="1"/>
    <col min="8" max="8" width="10.42578125" customWidth="1"/>
    <col min="9" max="9" width="1.28515625" customWidth="1"/>
    <col min="10" max="10" width="11.28515625" customWidth="1"/>
    <col min="11" max="11" width="10.42578125" customWidth="1"/>
    <col min="12" max="12" width="1.28515625" customWidth="1"/>
    <col min="13" max="13" width="11.28515625" bestFit="1" customWidth="1"/>
    <col min="14" max="14" width="10.42578125" bestFit="1" customWidth="1"/>
  </cols>
  <sheetData>
    <row r="1" spans="1:9" x14ac:dyDescent="0.2">
      <c r="A1" s="11"/>
      <c r="E1" s="10"/>
    </row>
    <row r="2" spans="1:9" x14ac:dyDescent="0.2">
      <c r="E2" s="10"/>
    </row>
    <row r="3" spans="1:9" x14ac:dyDescent="0.2">
      <c r="A3" s="6"/>
      <c r="B3" s="12"/>
    </row>
    <row r="4" spans="1:9" x14ac:dyDescent="0.2">
      <c r="A4" s="13"/>
      <c r="B4" s="2"/>
      <c r="C4" s="2"/>
      <c r="D4" s="2"/>
      <c r="E4" s="34"/>
    </row>
    <row r="5" spans="1:9" x14ac:dyDescent="0.2">
      <c r="A5" s="44" t="s">
        <v>19</v>
      </c>
      <c r="B5" s="45"/>
      <c r="C5" s="45"/>
      <c r="D5" s="45"/>
      <c r="E5" s="46"/>
    </row>
    <row r="6" spans="1:9" x14ac:dyDescent="0.2">
      <c r="A6" s="47" t="s">
        <v>0</v>
      </c>
      <c r="B6" s="45"/>
      <c r="C6" s="45"/>
      <c r="D6" s="45"/>
      <c r="E6" s="46"/>
    </row>
    <row r="7" spans="1:9" x14ac:dyDescent="0.2">
      <c r="A7" s="48" t="str">
        <f>'Lead E'!A7</f>
        <v>FOR THE TWELVE MONTHS ENDED DECEMBER 31, 2021</v>
      </c>
      <c r="B7" s="45"/>
      <c r="C7" s="45"/>
      <c r="D7" s="45"/>
      <c r="E7" s="46"/>
    </row>
    <row r="8" spans="1:9" x14ac:dyDescent="0.2">
      <c r="A8" s="48" t="str">
        <f>'Lead E'!A8</f>
        <v>COMMISSION BASIS REPORT</v>
      </c>
      <c r="B8" s="45"/>
      <c r="C8" s="45"/>
      <c r="D8" s="45"/>
      <c r="E8" s="46"/>
    </row>
    <row r="9" spans="1:9" x14ac:dyDescent="0.2">
      <c r="A9" s="2"/>
      <c r="B9" s="2"/>
      <c r="C9" s="2"/>
      <c r="D9" s="2"/>
      <c r="E9" s="34"/>
    </row>
    <row r="10" spans="1:9" x14ac:dyDescent="0.2">
      <c r="A10" s="9" t="s">
        <v>1</v>
      </c>
      <c r="B10" s="2"/>
      <c r="C10" s="2"/>
    </row>
    <row r="11" spans="1:9" x14ac:dyDescent="0.2">
      <c r="A11" s="3" t="s">
        <v>2</v>
      </c>
      <c r="B11" s="4" t="s">
        <v>3</v>
      </c>
      <c r="C11" s="14"/>
      <c r="D11" s="5"/>
      <c r="E11" s="3" t="s">
        <v>4</v>
      </c>
    </row>
    <row r="12" spans="1:9" x14ac:dyDescent="0.2">
      <c r="A12" s="6"/>
      <c r="B12" s="6"/>
      <c r="C12" s="6"/>
      <c r="D12" s="6"/>
      <c r="E12" s="34"/>
    </row>
    <row r="13" spans="1:9" x14ac:dyDescent="0.2">
      <c r="A13" s="7">
        <f>ROW()</f>
        <v>13</v>
      </c>
      <c r="B13" s="23" t="s">
        <v>11</v>
      </c>
      <c r="C13" s="21"/>
      <c r="D13" s="18"/>
      <c r="E13" s="34"/>
    </row>
    <row r="14" spans="1:9" x14ac:dyDescent="0.2">
      <c r="A14" s="7">
        <f>ROW()</f>
        <v>14</v>
      </c>
      <c r="B14" s="24"/>
      <c r="C14" s="21"/>
      <c r="D14" s="18"/>
      <c r="E14" s="34"/>
    </row>
    <row r="15" spans="1:9" x14ac:dyDescent="0.2">
      <c r="A15" s="7">
        <f>ROW()</f>
        <v>15</v>
      </c>
      <c r="B15" s="24" t="s">
        <v>47</v>
      </c>
      <c r="C15" s="21"/>
      <c r="D15" s="17">
        <f>'Avg cost of case'!D13</f>
        <v>1347000</v>
      </c>
      <c r="E15" s="34"/>
      <c r="I15" s="116"/>
    </row>
    <row r="16" spans="1:9" x14ac:dyDescent="0.2">
      <c r="A16" s="7">
        <f>ROW()</f>
        <v>16</v>
      </c>
      <c r="B16" s="24"/>
      <c r="C16" s="21"/>
      <c r="D16" s="18"/>
      <c r="E16" s="34"/>
      <c r="I16" s="116"/>
    </row>
    <row r="17" spans="1:9" x14ac:dyDescent="0.2">
      <c r="A17" s="7">
        <f>ROW()</f>
        <v>17</v>
      </c>
      <c r="B17" s="28" t="s">
        <v>75</v>
      </c>
      <c r="C17" s="25"/>
      <c r="D17" s="29">
        <f>+D15/3</f>
        <v>449000</v>
      </c>
      <c r="E17" s="34"/>
      <c r="I17" s="117"/>
    </row>
    <row r="18" spans="1:9" x14ac:dyDescent="0.2">
      <c r="A18" s="7">
        <f>ROW()</f>
        <v>18</v>
      </c>
      <c r="B18" s="15" t="s">
        <v>17</v>
      </c>
      <c r="C18" s="16"/>
      <c r="D18" s="60">
        <f>TY!D24</f>
        <v>669860.14836999995</v>
      </c>
      <c r="E18" s="34"/>
      <c r="I18" s="118"/>
    </row>
    <row r="19" spans="1:9" x14ac:dyDescent="0.2">
      <c r="A19" s="7">
        <f>ROW()</f>
        <v>19</v>
      </c>
      <c r="B19" s="24" t="s">
        <v>5</v>
      </c>
      <c r="C19" s="26"/>
      <c r="D19" s="19">
        <f>+D17-D18</f>
        <v>-220860.14836999995</v>
      </c>
      <c r="E19" s="22">
        <f>+D19</f>
        <v>-220860.14836999995</v>
      </c>
      <c r="I19" s="119"/>
    </row>
    <row r="20" spans="1:9" x14ac:dyDescent="0.2">
      <c r="A20" s="7">
        <f>ROW()</f>
        <v>20</v>
      </c>
      <c r="B20" s="24"/>
      <c r="C20" s="26"/>
      <c r="D20" s="31"/>
      <c r="E20" s="49"/>
      <c r="I20" s="119"/>
    </row>
    <row r="21" spans="1:9" x14ac:dyDescent="0.2">
      <c r="A21" s="7">
        <f>ROW()</f>
        <v>21</v>
      </c>
      <c r="B21" s="24" t="s">
        <v>12</v>
      </c>
      <c r="C21" s="16"/>
      <c r="D21" s="34"/>
      <c r="E21" s="17">
        <f>+E19</f>
        <v>-220860.14836999995</v>
      </c>
      <c r="I21" s="118"/>
    </row>
    <row r="22" spans="1:9" x14ac:dyDescent="0.2">
      <c r="A22" s="7">
        <f>ROW()</f>
        <v>22</v>
      </c>
      <c r="B22" s="20"/>
      <c r="C22" s="16"/>
      <c r="D22" s="34"/>
      <c r="E22" s="32"/>
      <c r="I22" s="118"/>
    </row>
    <row r="23" spans="1:9" x14ac:dyDescent="0.2">
      <c r="A23" s="7">
        <f>ROW()</f>
        <v>23</v>
      </c>
      <c r="B23" s="20" t="s">
        <v>6</v>
      </c>
      <c r="C23" s="27">
        <v>0.21</v>
      </c>
      <c r="D23" s="34"/>
      <c r="E23" s="33">
        <f>-E21*C23</f>
        <v>46380.631157699987</v>
      </c>
      <c r="I23" s="120">
        <v>0.21</v>
      </c>
    </row>
    <row r="24" spans="1:9" ht="13.5" thickBot="1" x14ac:dyDescent="0.25">
      <c r="A24" s="7">
        <f>ROW()</f>
        <v>24</v>
      </c>
      <c r="B24" s="20" t="s">
        <v>7</v>
      </c>
      <c r="C24" s="16"/>
      <c r="D24" s="34"/>
      <c r="E24" s="50">
        <f>-E21-E23</f>
        <v>174479.51721229998</v>
      </c>
      <c r="I24" s="118"/>
    </row>
    <row r="25" spans="1:9" ht="13.5" thickTop="1" x14ac:dyDescent="0.2">
      <c r="A25" s="34"/>
      <c r="B25" s="34"/>
      <c r="C25" s="34"/>
      <c r="D25" s="34"/>
      <c r="E25" s="34"/>
    </row>
    <row r="26" spans="1:9" x14ac:dyDescent="0.2">
      <c r="A26" s="34"/>
      <c r="B26" s="34"/>
      <c r="C26" s="34"/>
      <c r="D26" s="34"/>
      <c r="E26" s="34"/>
    </row>
    <row r="27" spans="1:9" x14ac:dyDescent="0.2">
      <c r="A27" s="34"/>
      <c r="B27" s="34"/>
      <c r="C27" s="34"/>
      <c r="D27" s="34"/>
      <c r="E27" s="34"/>
    </row>
    <row r="28" spans="1:9" x14ac:dyDescent="0.2">
      <c r="A28" s="34"/>
      <c r="B28" s="34"/>
      <c r="C28" s="34"/>
      <c r="D28" s="34"/>
      <c r="E28" s="34"/>
    </row>
    <row r="29" spans="1:9" x14ac:dyDescent="0.2">
      <c r="A29" s="34"/>
      <c r="B29" s="34"/>
      <c r="C29" s="34"/>
      <c r="D29" s="34"/>
      <c r="E29" s="34"/>
    </row>
    <row r="30" spans="1:9" x14ac:dyDescent="0.2">
      <c r="A30" s="34"/>
      <c r="B30" s="34"/>
      <c r="C30" s="34"/>
      <c r="D30" s="34"/>
      <c r="E30" s="34"/>
    </row>
    <row r="31" spans="1:9" x14ac:dyDescent="0.2">
      <c r="A31" s="34"/>
      <c r="B31" s="34"/>
      <c r="C31" s="34"/>
      <c r="D31" s="34"/>
      <c r="E31" s="34"/>
    </row>
    <row r="32" spans="1:9" x14ac:dyDescent="0.2">
      <c r="A32" s="34"/>
      <c r="B32" s="34"/>
      <c r="C32" s="34"/>
      <c r="D32" s="34"/>
      <c r="E32" s="34"/>
    </row>
    <row r="33" spans="4:5" x14ac:dyDescent="0.2">
      <c r="D33" s="34"/>
      <c r="E33" s="34"/>
    </row>
  </sheetData>
  <phoneticPr fontId="7" type="noConversion"/>
  <pageMargins left="0.75" right="0.75" top="1" bottom="1" header="0.5" footer="0.5"/>
  <pageSetup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49"/>
  <sheetViews>
    <sheetView zoomScale="90" zoomScaleNormal="90" workbookViewId="0"/>
  </sheetViews>
  <sheetFormatPr defaultColWidth="8.85546875" defaultRowHeight="12.75" x14ac:dyDescent="0.2"/>
  <cols>
    <col min="1" max="2" width="12.7109375" style="69" customWidth="1"/>
    <col min="3" max="3" width="44.140625" style="78" bestFit="1" customWidth="1"/>
    <col min="4" max="4" width="10.85546875" style="79" bestFit="1" customWidth="1"/>
    <col min="5" max="5" width="19.28515625" style="42" customWidth="1"/>
    <col min="6" max="16384" width="8.85546875" style="69"/>
  </cols>
  <sheetData>
    <row r="1" spans="1:6" ht="15.75" x14ac:dyDescent="0.25">
      <c r="A1" s="67"/>
      <c r="B1" s="68"/>
      <c r="C1" s="37" t="s">
        <v>9</v>
      </c>
      <c r="D1" s="37"/>
      <c r="E1" s="38"/>
    </row>
    <row r="2" spans="1:6" x14ac:dyDescent="0.2">
      <c r="A2" s="70"/>
      <c r="B2" s="71"/>
      <c r="C2" s="35" t="s">
        <v>14</v>
      </c>
      <c r="D2" s="35"/>
      <c r="E2" s="39"/>
    </row>
    <row r="3" spans="1:6" x14ac:dyDescent="0.2">
      <c r="A3" s="70"/>
      <c r="B3" s="71"/>
      <c r="C3" s="35"/>
      <c r="D3" s="35"/>
      <c r="E3" s="39"/>
      <c r="F3" s="78"/>
    </row>
    <row r="4" spans="1:6" x14ac:dyDescent="0.2">
      <c r="A4" s="70"/>
      <c r="B4" s="71"/>
      <c r="C4" s="72" t="s">
        <v>41</v>
      </c>
      <c r="D4" s="129">
        <f>'Summary GRCs'!B10</f>
        <v>2251755.3600000003</v>
      </c>
      <c r="E4" s="39"/>
      <c r="F4" s="78"/>
    </row>
    <row r="5" spans="1:6" x14ac:dyDescent="0.2">
      <c r="A5" s="70"/>
      <c r="B5" s="71"/>
      <c r="C5" s="72"/>
      <c r="D5" s="130"/>
      <c r="E5" s="39"/>
      <c r="F5" s="78"/>
    </row>
    <row r="6" spans="1:6" x14ac:dyDescent="0.2">
      <c r="A6" s="70"/>
      <c r="B6" s="71"/>
      <c r="C6" s="72" t="s">
        <v>46</v>
      </c>
      <c r="D6" s="130">
        <f>'Summary GRCs'!B14</f>
        <v>3135957.01</v>
      </c>
      <c r="E6" s="39"/>
      <c r="F6" s="78"/>
    </row>
    <row r="7" spans="1:6" x14ac:dyDescent="0.2">
      <c r="A7" s="70"/>
      <c r="B7" s="71"/>
      <c r="C7" s="72"/>
      <c r="D7" s="130"/>
      <c r="E7" s="39"/>
      <c r="F7" s="78"/>
    </row>
    <row r="8" spans="1:6" x14ac:dyDescent="0.2">
      <c r="A8" s="70"/>
      <c r="B8" s="71"/>
      <c r="C8" s="72"/>
      <c r="D8" s="130"/>
      <c r="E8" s="39"/>
      <c r="F8" s="78"/>
    </row>
    <row r="9" spans="1:6" x14ac:dyDescent="0.2">
      <c r="A9" s="70"/>
      <c r="B9" s="71"/>
      <c r="C9" s="72" t="s">
        <v>15</v>
      </c>
      <c r="D9" s="130">
        <f>(D4+D6)/2</f>
        <v>2693856.1850000001</v>
      </c>
      <c r="E9" s="39"/>
      <c r="F9" s="78"/>
    </row>
    <row r="10" spans="1:6" x14ac:dyDescent="0.2">
      <c r="A10" s="70"/>
      <c r="B10" s="71"/>
      <c r="C10" s="72"/>
      <c r="D10" s="130"/>
      <c r="E10" s="39"/>
      <c r="F10" s="78"/>
    </row>
    <row r="11" spans="1:6" x14ac:dyDescent="0.2">
      <c r="A11" s="70"/>
      <c r="B11" s="71"/>
      <c r="C11" s="72" t="s">
        <v>23</v>
      </c>
      <c r="D11" s="130">
        <f>+D9/2</f>
        <v>1346928.0925</v>
      </c>
      <c r="E11" s="39"/>
      <c r="F11" s="78"/>
    </row>
    <row r="12" spans="1:6" x14ac:dyDescent="0.2">
      <c r="A12" s="70"/>
      <c r="B12" s="71"/>
      <c r="C12" s="151"/>
      <c r="D12" s="145"/>
      <c r="E12" s="39"/>
      <c r="F12" s="78"/>
    </row>
    <row r="13" spans="1:6" x14ac:dyDescent="0.2">
      <c r="A13" s="70"/>
      <c r="B13" s="71"/>
      <c r="C13" s="72" t="s">
        <v>77</v>
      </c>
      <c r="D13" s="152">
        <f>ROUND(+D11,-3)</f>
        <v>1347000</v>
      </c>
      <c r="E13" s="39"/>
      <c r="F13" s="78"/>
    </row>
    <row r="14" spans="1:6" x14ac:dyDescent="0.2">
      <c r="A14" s="73"/>
      <c r="B14" s="74"/>
      <c r="C14" s="75"/>
      <c r="D14" s="76"/>
      <c r="E14" s="40"/>
      <c r="F14" s="78"/>
    </row>
    <row r="15" spans="1:6" x14ac:dyDescent="0.2">
      <c r="A15" s="71"/>
      <c r="B15" s="71"/>
      <c r="C15" s="72"/>
      <c r="D15" s="77"/>
      <c r="E15" s="41"/>
      <c r="F15" s="78"/>
    </row>
    <row r="16" spans="1:6" ht="15.75" x14ac:dyDescent="0.25">
      <c r="A16" s="67"/>
      <c r="B16" s="68"/>
      <c r="C16" s="37" t="s">
        <v>9</v>
      </c>
      <c r="D16" s="37"/>
      <c r="E16" s="38"/>
      <c r="F16" s="78"/>
    </row>
    <row r="17" spans="1:7" x14ac:dyDescent="0.2">
      <c r="A17" s="70"/>
      <c r="B17" s="71"/>
      <c r="C17" s="35" t="s">
        <v>13</v>
      </c>
      <c r="D17" s="35"/>
      <c r="E17" s="39"/>
      <c r="F17" s="78"/>
    </row>
    <row r="18" spans="1:7" x14ac:dyDescent="0.2">
      <c r="A18" s="70"/>
      <c r="B18" s="71"/>
      <c r="C18" s="35"/>
      <c r="D18" s="35"/>
      <c r="E18" s="39"/>
      <c r="F18" s="78"/>
      <c r="G18" s="78"/>
    </row>
    <row r="19" spans="1:7" x14ac:dyDescent="0.2">
      <c r="A19" s="70"/>
      <c r="B19" s="71"/>
      <c r="C19" s="72" t="s">
        <v>30</v>
      </c>
      <c r="D19" s="130">
        <f>'Summary PCORCs'!B6</f>
        <v>148465.66</v>
      </c>
      <c r="E19" s="39"/>
      <c r="F19" s="78"/>
      <c r="G19" s="78"/>
    </row>
    <row r="20" spans="1:7" x14ac:dyDescent="0.2">
      <c r="A20" s="70"/>
      <c r="B20" s="71"/>
      <c r="C20" s="72"/>
      <c r="D20" s="130"/>
      <c r="E20" s="39"/>
      <c r="F20" s="78"/>
      <c r="G20" s="78"/>
    </row>
    <row r="21" spans="1:7" x14ac:dyDescent="0.2">
      <c r="A21" s="70"/>
      <c r="B21" s="71"/>
      <c r="C21" s="151" t="s">
        <v>68</v>
      </c>
      <c r="D21" s="130">
        <f>'Summary PCORCs'!B10</f>
        <v>526879.43999999994</v>
      </c>
      <c r="E21" s="39"/>
      <c r="F21" s="78"/>
      <c r="G21" s="78"/>
    </row>
    <row r="22" spans="1:7" x14ac:dyDescent="0.2">
      <c r="A22" s="70"/>
      <c r="B22" s="71"/>
      <c r="C22" s="72"/>
      <c r="D22" s="130"/>
      <c r="E22" s="39"/>
      <c r="F22" s="78"/>
      <c r="G22" s="78"/>
    </row>
    <row r="23" spans="1:7" x14ac:dyDescent="0.2">
      <c r="A23" s="70"/>
      <c r="B23" s="71"/>
      <c r="C23" s="72" t="s">
        <v>24</v>
      </c>
      <c r="D23" s="130">
        <f>(+D19+D21)/2</f>
        <v>337672.55</v>
      </c>
      <c r="E23" s="39"/>
      <c r="F23" s="78"/>
      <c r="G23" s="78"/>
    </row>
    <row r="24" spans="1:7" x14ac:dyDescent="0.2">
      <c r="A24" s="70"/>
      <c r="B24" s="71"/>
      <c r="C24" s="151"/>
      <c r="D24" s="145"/>
      <c r="E24" s="39"/>
      <c r="F24" s="78"/>
      <c r="G24" s="78"/>
    </row>
    <row r="25" spans="1:7" x14ac:dyDescent="0.2">
      <c r="A25" s="70"/>
      <c r="B25" s="71"/>
      <c r="C25" s="72" t="s">
        <v>78</v>
      </c>
      <c r="D25" s="152">
        <f>ROUND(+D23,-3)</f>
        <v>338000</v>
      </c>
      <c r="E25" s="39"/>
      <c r="F25" s="78"/>
      <c r="G25" s="78"/>
    </row>
    <row r="26" spans="1:7" x14ac:dyDescent="0.2">
      <c r="A26" s="73"/>
      <c r="B26" s="74"/>
      <c r="C26" s="75"/>
      <c r="D26" s="76"/>
      <c r="E26" s="40"/>
      <c r="F26" s="78"/>
      <c r="G26" s="78"/>
    </row>
    <row r="27" spans="1:7" x14ac:dyDescent="0.2">
      <c r="B27" s="71"/>
      <c r="C27" s="72"/>
      <c r="D27" s="77"/>
      <c r="E27" s="41"/>
      <c r="F27" s="78"/>
      <c r="G27" s="78"/>
    </row>
    <row r="28" spans="1:7" x14ac:dyDescent="0.2">
      <c r="A28" s="71"/>
      <c r="B28" s="71"/>
      <c r="C28" s="72"/>
      <c r="D28" s="77"/>
      <c r="E28" s="41"/>
      <c r="F28" s="78"/>
      <c r="G28" s="78"/>
    </row>
    <row r="29" spans="1:7" x14ac:dyDescent="0.2">
      <c r="A29" s="8"/>
      <c r="B29" s="8"/>
      <c r="E29" s="80"/>
      <c r="F29" s="78"/>
      <c r="G29" s="78"/>
    </row>
    <row r="30" spans="1:7" x14ac:dyDescent="0.2">
      <c r="F30" s="78"/>
    </row>
    <row r="31" spans="1:7" x14ac:dyDescent="0.2">
      <c r="F31" s="78"/>
    </row>
    <row r="32" spans="1:7" x14ac:dyDescent="0.2">
      <c r="F32" s="78"/>
    </row>
    <row r="33" spans="6:6" x14ac:dyDescent="0.2">
      <c r="F33" s="78"/>
    </row>
    <row r="34" spans="6:6" x14ac:dyDescent="0.2">
      <c r="F34" s="78"/>
    </row>
    <row r="35" spans="6:6" x14ac:dyDescent="0.2">
      <c r="F35" s="78"/>
    </row>
    <row r="36" spans="6:6" x14ac:dyDescent="0.2">
      <c r="F36" s="78"/>
    </row>
    <row r="37" spans="6:6" x14ac:dyDescent="0.2">
      <c r="F37" s="78"/>
    </row>
    <row r="38" spans="6:6" x14ac:dyDescent="0.2">
      <c r="F38" s="78"/>
    </row>
    <row r="39" spans="6:6" x14ac:dyDescent="0.2">
      <c r="F39" s="78"/>
    </row>
    <row r="40" spans="6:6" x14ac:dyDescent="0.2">
      <c r="F40" s="78"/>
    </row>
    <row r="41" spans="6:6" x14ac:dyDescent="0.2">
      <c r="F41" s="78"/>
    </row>
    <row r="42" spans="6:6" x14ac:dyDescent="0.2">
      <c r="F42" s="78"/>
    </row>
    <row r="43" spans="6:6" x14ac:dyDescent="0.2">
      <c r="F43" s="78"/>
    </row>
    <row r="44" spans="6:6" x14ac:dyDescent="0.2">
      <c r="F44" s="78"/>
    </row>
    <row r="45" spans="6:6" x14ac:dyDescent="0.2">
      <c r="F45" s="78"/>
    </row>
    <row r="46" spans="6:6" x14ac:dyDescent="0.2">
      <c r="F46" s="78"/>
    </row>
    <row r="47" spans="6:6" x14ac:dyDescent="0.2">
      <c r="F47" s="78"/>
    </row>
    <row r="48" spans="6:6" x14ac:dyDescent="0.2">
      <c r="F48" s="78"/>
    </row>
    <row r="49" spans="6:6" x14ac:dyDescent="0.2">
      <c r="F49" s="78"/>
    </row>
  </sheetData>
  <phoneticPr fontId="7" type="noConversion"/>
  <pageMargins left="0.75" right="0.75" top="1" bottom="1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97"/>
  <sheetViews>
    <sheetView zoomScale="90" zoomScaleNormal="90" workbookViewId="0">
      <selection sqref="A1:D1"/>
    </sheetView>
  </sheetViews>
  <sheetFormatPr defaultColWidth="8.85546875" defaultRowHeight="12.75" x14ac:dyDescent="0.2"/>
  <cols>
    <col min="1" max="1" width="58" style="78" customWidth="1"/>
    <col min="2" max="2" width="17" style="78" customWidth="1"/>
    <col min="3" max="4" width="13.42578125" style="78" bestFit="1" customWidth="1"/>
    <col min="5" max="16384" width="8.85546875" style="78"/>
  </cols>
  <sheetData>
    <row r="1" spans="1:4" x14ac:dyDescent="0.2">
      <c r="A1" s="154" t="s">
        <v>9</v>
      </c>
      <c r="B1" s="154"/>
      <c r="C1" s="154"/>
      <c r="D1" s="154"/>
    </row>
    <row r="2" spans="1:4" x14ac:dyDescent="0.2">
      <c r="A2" s="155" t="s">
        <v>69</v>
      </c>
      <c r="B2" s="155"/>
      <c r="C2" s="155"/>
      <c r="D2" s="155"/>
    </row>
    <row r="3" spans="1:4" x14ac:dyDescent="0.2">
      <c r="A3" s="155" t="s">
        <v>25</v>
      </c>
      <c r="B3" s="155"/>
      <c r="C3" s="155"/>
      <c r="D3" s="155"/>
    </row>
    <row r="4" spans="1:4" x14ac:dyDescent="0.2">
      <c r="A4" s="58"/>
      <c r="B4" s="59"/>
      <c r="C4" s="59"/>
      <c r="D4" s="59"/>
    </row>
    <row r="5" spans="1:4" x14ac:dyDescent="0.2">
      <c r="A5" s="58"/>
      <c r="B5" s="59"/>
      <c r="C5" s="137" t="s">
        <v>21</v>
      </c>
      <c r="D5" s="138" t="s">
        <v>10</v>
      </c>
    </row>
    <row r="6" spans="1:4" ht="15" x14ac:dyDescent="0.25">
      <c r="A6" s="56" t="s">
        <v>22</v>
      </c>
      <c r="B6" s="57" t="s">
        <v>20</v>
      </c>
      <c r="C6" s="121">
        <f>[1]Lead!$E$35</f>
        <v>0.65980000000000005</v>
      </c>
      <c r="D6" s="121">
        <f>[1]Lead!$F$35</f>
        <v>0.3402</v>
      </c>
    </row>
    <row r="7" spans="1:4" ht="15" x14ac:dyDescent="0.25">
      <c r="A7" s="64"/>
      <c r="B7" s="65"/>
      <c r="C7" s="81"/>
      <c r="D7" s="81"/>
    </row>
    <row r="8" spans="1:4" x14ac:dyDescent="0.2">
      <c r="A8" s="140" t="s">
        <v>72</v>
      </c>
      <c r="B8" s="125"/>
      <c r="C8" s="125"/>
      <c r="D8" s="1"/>
    </row>
    <row r="9" spans="1:4" x14ac:dyDescent="0.2">
      <c r="A9" s="140" t="s">
        <v>71</v>
      </c>
      <c r="B9" s="125">
        <f>'Summary PCORCs'!L10</f>
        <v>268212.52</v>
      </c>
      <c r="C9" s="125">
        <f>B9*$C$6</f>
        <v>176966.62069600003</v>
      </c>
      <c r="D9" s="1">
        <f t="shared" ref="D9" si="0">+B9*$D$6</f>
        <v>91245.899304000006</v>
      </c>
    </row>
    <row r="10" spans="1:4" x14ac:dyDescent="0.2">
      <c r="A10" s="122" t="s">
        <v>29</v>
      </c>
      <c r="B10" s="135">
        <f>SUM(B8:B9)</f>
        <v>268212.52</v>
      </c>
      <c r="C10" s="135">
        <f>SUM(C8:C9)</f>
        <v>176966.62069600003</v>
      </c>
      <c r="D10" s="135">
        <f>SUM(D8:D9)</f>
        <v>91245.899304000006</v>
      </c>
    </row>
    <row r="11" spans="1:4" x14ac:dyDescent="0.2">
      <c r="A11" s="83"/>
      <c r="B11" s="82"/>
      <c r="C11" s="82"/>
      <c r="D11" s="72"/>
    </row>
    <row r="12" spans="1:4" x14ac:dyDescent="0.2">
      <c r="A12" s="150" t="s">
        <v>36</v>
      </c>
      <c r="B12" s="125"/>
      <c r="C12" s="125"/>
      <c r="D12" s="126"/>
    </row>
    <row r="13" spans="1:4" x14ac:dyDescent="0.2">
      <c r="A13" s="140" t="s">
        <v>63</v>
      </c>
      <c r="B13" s="125"/>
      <c r="C13" s="125"/>
      <c r="D13" s="126"/>
    </row>
    <row r="14" spans="1:4" x14ac:dyDescent="0.2">
      <c r="A14" s="140" t="s">
        <v>64</v>
      </c>
      <c r="B14" s="125"/>
      <c r="C14" s="125"/>
      <c r="D14" s="126"/>
    </row>
    <row r="15" spans="1:4" x14ac:dyDescent="0.2">
      <c r="A15" s="140" t="s">
        <v>65</v>
      </c>
      <c r="B15" s="125"/>
      <c r="C15" s="125"/>
      <c r="D15" s="126"/>
    </row>
    <row r="16" spans="1:4" x14ac:dyDescent="0.2">
      <c r="A16" s="140" t="s">
        <v>66</v>
      </c>
      <c r="B16" s="125"/>
      <c r="C16" s="125"/>
      <c r="D16" s="126"/>
    </row>
    <row r="17" spans="1:4" x14ac:dyDescent="0.2">
      <c r="A17" s="150" t="s">
        <v>44</v>
      </c>
      <c r="B17" s="125"/>
      <c r="C17" s="125"/>
      <c r="D17" s="126"/>
    </row>
    <row r="18" spans="1:4" x14ac:dyDescent="0.2">
      <c r="A18" s="140" t="s">
        <v>76</v>
      </c>
      <c r="B18" s="125">
        <f>'Summary GRCs'!I13</f>
        <v>15943.58</v>
      </c>
      <c r="C18" s="125">
        <f t="shared" ref="C18" si="1">+B18*$C$6</f>
        <v>10519.574084000002</v>
      </c>
      <c r="D18" s="126">
        <f t="shared" ref="D18" si="2">+B18*$D$6</f>
        <v>5424.0059160000001</v>
      </c>
    </row>
    <row r="19" spans="1:4" x14ac:dyDescent="0.2">
      <c r="A19" s="150" t="s">
        <v>54</v>
      </c>
      <c r="B19" s="125"/>
      <c r="C19" s="125"/>
      <c r="D19" s="126"/>
    </row>
    <row r="20" spans="1:4" x14ac:dyDescent="0.2">
      <c r="A20" s="140" t="s">
        <v>55</v>
      </c>
      <c r="B20" s="125">
        <f>'Summary GRCs'!B17</f>
        <v>1308153.27</v>
      </c>
      <c r="C20" s="125">
        <f t="shared" ref="C20:C22" si="3">+B20*$C$6</f>
        <v>863119.52754600008</v>
      </c>
      <c r="D20" s="126">
        <f t="shared" ref="D20:D22" si="4">+B20*$D$6</f>
        <v>445033.74245399999</v>
      </c>
    </row>
    <row r="21" spans="1:4" x14ac:dyDescent="0.2">
      <c r="A21" s="140" t="s">
        <v>67</v>
      </c>
      <c r="B21" s="125">
        <f>'Summary GRCs'!B18</f>
        <v>577493.52</v>
      </c>
      <c r="C21" s="125">
        <f>B21</f>
        <v>577493.52</v>
      </c>
      <c r="D21" s="126">
        <v>0</v>
      </c>
    </row>
    <row r="22" spans="1:4" x14ac:dyDescent="0.2">
      <c r="A22" s="140" t="s">
        <v>56</v>
      </c>
      <c r="B22" s="125">
        <f>'Summary GRCs'!B19</f>
        <v>219402.4</v>
      </c>
      <c r="C22" s="125">
        <v>0</v>
      </c>
      <c r="D22" s="126">
        <f>B22</f>
        <v>219402.4</v>
      </c>
    </row>
    <row r="23" spans="1:4" x14ac:dyDescent="0.2">
      <c r="B23" s="125"/>
      <c r="C23" s="123"/>
      <c r="D23" s="124"/>
    </row>
    <row r="24" spans="1:4" x14ac:dyDescent="0.2">
      <c r="A24" s="127" t="s">
        <v>34</v>
      </c>
      <c r="B24" s="128">
        <f>SUM(B12:B22)</f>
        <v>2120992.77</v>
      </c>
      <c r="C24" s="128">
        <f>SUM(C12:C22)</f>
        <v>1451132.62163</v>
      </c>
      <c r="D24" s="128">
        <f>SUM(D12:D22)</f>
        <v>669860.14836999995</v>
      </c>
    </row>
    <row r="26" spans="1:4" x14ac:dyDescent="0.2">
      <c r="A26" s="78" t="s">
        <v>43</v>
      </c>
    </row>
    <row r="27" spans="1:4" x14ac:dyDescent="0.2">
      <c r="A27" s="78" t="s">
        <v>49</v>
      </c>
    </row>
    <row r="29" spans="1:4" x14ac:dyDescent="0.2">
      <c r="A29" s="136" t="s">
        <v>50</v>
      </c>
    </row>
    <row r="30" spans="1:4" x14ac:dyDescent="0.2">
      <c r="A30"/>
      <c r="B30"/>
    </row>
    <row r="31" spans="1:4" x14ac:dyDescent="0.2">
      <c r="A31"/>
      <c r="B31"/>
    </row>
    <row r="32" spans="1:4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B37" s="115"/>
    </row>
    <row r="38" spans="1:2" x14ac:dyDescent="0.2">
      <c r="B38" s="115"/>
    </row>
    <row r="39" spans="1:2" x14ac:dyDescent="0.2">
      <c r="B39" s="115"/>
    </row>
    <row r="40" spans="1:2" x14ac:dyDescent="0.2">
      <c r="B40" s="115"/>
    </row>
    <row r="41" spans="1:2" x14ac:dyDescent="0.2">
      <c r="B41" s="115"/>
    </row>
    <row r="42" spans="1:2" x14ac:dyDescent="0.2">
      <c r="B42" s="115"/>
    </row>
    <row r="43" spans="1:2" x14ac:dyDescent="0.2">
      <c r="B43" s="115"/>
    </row>
    <row r="44" spans="1:2" x14ac:dyDescent="0.2">
      <c r="B44" s="115"/>
    </row>
    <row r="45" spans="1:2" x14ac:dyDescent="0.2">
      <c r="B45" s="115"/>
    </row>
    <row r="46" spans="1:2" x14ac:dyDescent="0.2">
      <c r="B46" s="115"/>
    </row>
    <row r="47" spans="1:2" x14ac:dyDescent="0.2">
      <c r="B47" s="115"/>
    </row>
    <row r="48" spans="1:2" x14ac:dyDescent="0.2">
      <c r="B48" s="115"/>
    </row>
    <row r="49" spans="2:2" x14ac:dyDescent="0.2">
      <c r="B49" s="115"/>
    </row>
    <row r="50" spans="2:2" x14ac:dyDescent="0.2">
      <c r="B50" s="115"/>
    </row>
    <row r="51" spans="2:2" x14ac:dyDescent="0.2">
      <c r="B51" s="115"/>
    </row>
    <row r="52" spans="2:2" x14ac:dyDescent="0.2">
      <c r="B52" s="115"/>
    </row>
    <row r="53" spans="2:2" x14ac:dyDescent="0.2">
      <c r="B53" s="115"/>
    </row>
    <row r="54" spans="2:2" x14ac:dyDescent="0.2">
      <c r="B54" s="115"/>
    </row>
    <row r="55" spans="2:2" x14ac:dyDescent="0.2">
      <c r="B55" s="115"/>
    </row>
    <row r="56" spans="2:2" x14ac:dyDescent="0.2">
      <c r="B56" s="115"/>
    </row>
    <row r="57" spans="2:2" x14ac:dyDescent="0.2">
      <c r="B57" s="115"/>
    </row>
    <row r="58" spans="2:2" x14ac:dyDescent="0.2">
      <c r="B58" s="115"/>
    </row>
    <row r="59" spans="2:2" x14ac:dyDescent="0.2">
      <c r="B59" s="115"/>
    </row>
    <row r="60" spans="2:2" x14ac:dyDescent="0.2">
      <c r="B60" s="115"/>
    </row>
    <row r="61" spans="2:2" x14ac:dyDescent="0.2">
      <c r="B61" s="115"/>
    </row>
    <row r="62" spans="2:2" x14ac:dyDescent="0.2">
      <c r="B62" s="115"/>
    </row>
    <row r="63" spans="2:2" x14ac:dyDescent="0.2">
      <c r="B63" s="115"/>
    </row>
    <row r="64" spans="2:2" x14ac:dyDescent="0.2">
      <c r="B64" s="115"/>
    </row>
    <row r="65" spans="2:2" x14ac:dyDescent="0.2">
      <c r="B65" s="115"/>
    </row>
    <row r="66" spans="2:2" x14ac:dyDescent="0.2">
      <c r="B66" s="115"/>
    </row>
    <row r="67" spans="2:2" x14ac:dyDescent="0.2">
      <c r="B67" s="115"/>
    </row>
    <row r="68" spans="2:2" x14ac:dyDescent="0.2">
      <c r="B68" s="115"/>
    </row>
    <row r="69" spans="2:2" x14ac:dyDescent="0.2">
      <c r="B69" s="115"/>
    </row>
    <row r="70" spans="2:2" x14ac:dyDescent="0.2">
      <c r="B70" s="115"/>
    </row>
    <row r="71" spans="2:2" x14ac:dyDescent="0.2">
      <c r="B71" s="115"/>
    </row>
    <row r="72" spans="2:2" x14ac:dyDescent="0.2">
      <c r="B72" s="115"/>
    </row>
    <row r="73" spans="2:2" x14ac:dyDescent="0.2">
      <c r="B73" s="115"/>
    </row>
    <row r="74" spans="2:2" x14ac:dyDescent="0.2">
      <c r="B74" s="115"/>
    </row>
    <row r="75" spans="2:2" x14ac:dyDescent="0.2">
      <c r="B75" s="115"/>
    </row>
    <row r="76" spans="2:2" x14ac:dyDescent="0.2">
      <c r="B76" s="115"/>
    </row>
    <row r="77" spans="2:2" x14ac:dyDescent="0.2">
      <c r="B77" s="115"/>
    </row>
    <row r="78" spans="2:2" x14ac:dyDescent="0.2">
      <c r="B78" s="115"/>
    </row>
    <row r="79" spans="2:2" x14ac:dyDescent="0.2">
      <c r="B79" s="115"/>
    </row>
    <row r="80" spans="2:2" x14ac:dyDescent="0.2">
      <c r="B80" s="115"/>
    </row>
    <row r="81" spans="2:2" x14ac:dyDescent="0.2">
      <c r="B81" s="115"/>
    </row>
    <row r="82" spans="2:2" x14ac:dyDescent="0.2">
      <c r="B82" s="115"/>
    </row>
    <row r="83" spans="2:2" x14ac:dyDescent="0.2">
      <c r="B83" s="115"/>
    </row>
    <row r="84" spans="2:2" x14ac:dyDescent="0.2">
      <c r="B84" s="115"/>
    </row>
    <row r="85" spans="2:2" x14ac:dyDescent="0.2">
      <c r="B85" s="115"/>
    </row>
    <row r="86" spans="2:2" x14ac:dyDescent="0.2">
      <c r="B86" s="115"/>
    </row>
    <row r="87" spans="2:2" x14ac:dyDescent="0.2">
      <c r="B87" s="115"/>
    </row>
    <row r="88" spans="2:2" x14ac:dyDescent="0.2">
      <c r="B88" s="115"/>
    </row>
    <row r="89" spans="2:2" x14ac:dyDescent="0.2">
      <c r="B89" s="115"/>
    </row>
    <row r="90" spans="2:2" x14ac:dyDescent="0.2">
      <c r="B90" s="115"/>
    </row>
    <row r="91" spans="2:2" x14ac:dyDescent="0.2">
      <c r="B91" s="115"/>
    </row>
    <row r="92" spans="2:2" x14ac:dyDescent="0.2">
      <c r="B92" s="115"/>
    </row>
    <row r="93" spans="2:2" x14ac:dyDescent="0.2">
      <c r="B93" s="115"/>
    </row>
    <row r="94" spans="2:2" x14ac:dyDescent="0.2">
      <c r="B94" s="115"/>
    </row>
    <row r="95" spans="2:2" x14ac:dyDescent="0.2">
      <c r="B95" s="115"/>
    </row>
    <row r="96" spans="2:2" x14ac:dyDescent="0.2">
      <c r="B96" s="115"/>
    </row>
    <row r="97" spans="2:2" x14ac:dyDescent="0.2">
      <c r="B97" s="115"/>
    </row>
  </sheetData>
  <mergeCells count="3">
    <mergeCell ref="A1:D1"/>
    <mergeCell ref="A2:D2"/>
    <mergeCell ref="A3:D3"/>
  </mergeCells>
  <pageMargins left="0.7" right="0.7" top="0.75" bottom="0.75" header="0.3" footer="0.3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26"/>
  <sheetViews>
    <sheetView zoomScale="88" zoomScaleNormal="88" workbookViewId="0"/>
  </sheetViews>
  <sheetFormatPr defaultColWidth="8.85546875" defaultRowHeight="12.75" x14ac:dyDescent="0.2"/>
  <cols>
    <col min="1" max="1" width="39.7109375" style="34" customWidth="1"/>
    <col min="2" max="2" width="11.28515625" style="53" bestFit="1" customWidth="1"/>
    <col min="3" max="3" width="9.7109375" style="34" bestFit="1" customWidth="1"/>
    <col min="4" max="4" width="10.7109375" style="34" customWidth="1"/>
    <col min="5" max="5" width="11.28515625" style="34" bestFit="1" customWidth="1"/>
    <col min="6" max="6" width="10.7109375" style="34" customWidth="1"/>
    <col min="7" max="7" width="11.28515625" style="34" customWidth="1"/>
    <col min="8" max="9" width="11.28515625" style="34" bestFit="1" customWidth="1"/>
    <col min="10" max="16384" width="8.85546875" style="34"/>
  </cols>
  <sheetData>
    <row r="1" spans="1:12" x14ac:dyDescent="0.2">
      <c r="A1" s="43"/>
      <c r="B1" s="52"/>
    </row>
    <row r="2" spans="1:12" x14ac:dyDescent="0.2">
      <c r="A2" s="43" t="s">
        <v>61</v>
      </c>
      <c r="B2" s="52"/>
    </row>
    <row r="3" spans="1:12" s="36" customFormat="1" x14ac:dyDescent="0.2">
      <c r="A3" s="34"/>
      <c r="B3" s="66"/>
      <c r="C3" s="54"/>
    </row>
    <row r="4" spans="1:12" s="36" customFormat="1" x14ac:dyDescent="0.2">
      <c r="A4" s="34"/>
      <c r="B4" s="85" t="s">
        <v>16</v>
      </c>
      <c r="C4" s="63">
        <v>2015</v>
      </c>
      <c r="D4" s="63">
        <v>2016</v>
      </c>
      <c r="E4" s="63">
        <v>2017</v>
      </c>
      <c r="F4" s="63">
        <v>2018</v>
      </c>
      <c r="G4" s="63">
        <v>2019</v>
      </c>
      <c r="H4" s="63">
        <v>2020</v>
      </c>
      <c r="I4" s="63">
        <v>2021</v>
      </c>
      <c r="J4" s="34"/>
      <c r="K4" s="34"/>
      <c r="L4" s="34"/>
    </row>
    <row r="5" spans="1:12" s="36" customFormat="1" x14ac:dyDescent="0.2">
      <c r="A5" s="131" t="s">
        <v>36</v>
      </c>
      <c r="B5" s="53"/>
      <c r="C5" s="53"/>
      <c r="F5" s="34"/>
      <c r="G5" s="34"/>
      <c r="H5" s="34"/>
      <c r="I5" s="34"/>
      <c r="J5" s="34"/>
      <c r="K5" s="34"/>
      <c r="L5" s="34"/>
    </row>
    <row r="6" spans="1:12" s="36" customFormat="1" x14ac:dyDescent="0.2">
      <c r="A6" s="88" t="s">
        <v>37</v>
      </c>
      <c r="B6" s="109">
        <f>SUM(C6:I6)</f>
        <v>5299.06</v>
      </c>
      <c r="C6" s="86">
        <v>0</v>
      </c>
      <c r="D6" s="54">
        <v>0</v>
      </c>
      <c r="E6" s="54">
        <v>5299.06</v>
      </c>
      <c r="F6" s="100">
        <v>0</v>
      </c>
      <c r="G6" s="100">
        <v>0</v>
      </c>
      <c r="H6" s="100">
        <v>0</v>
      </c>
      <c r="I6" s="100">
        <v>0</v>
      </c>
      <c r="J6" s="34"/>
      <c r="K6" s="34"/>
      <c r="L6" s="34"/>
    </row>
    <row r="7" spans="1:12" s="36" customFormat="1" x14ac:dyDescent="0.2">
      <c r="A7" s="88" t="s">
        <v>38</v>
      </c>
      <c r="B7" s="109">
        <f t="shared" ref="B7:B9" si="0">SUM(C7:I7)</f>
        <v>74033.15999999964</v>
      </c>
      <c r="C7" s="86">
        <v>0</v>
      </c>
      <c r="D7" s="54">
        <v>0</v>
      </c>
      <c r="E7" s="54">
        <v>91960.189999999639</v>
      </c>
      <c r="F7" s="100">
        <v>-17998.37</v>
      </c>
      <c r="G7" s="100">
        <v>71.34</v>
      </c>
      <c r="H7" s="100">
        <v>0</v>
      </c>
      <c r="I7" s="100">
        <v>0</v>
      </c>
      <c r="J7" s="34"/>
      <c r="K7" s="34"/>
      <c r="L7" s="34"/>
    </row>
    <row r="8" spans="1:12" s="36" customFormat="1" x14ac:dyDescent="0.2">
      <c r="A8" s="88" t="s">
        <v>39</v>
      </c>
      <c r="B8" s="109">
        <f t="shared" si="0"/>
        <v>33340.639999999999</v>
      </c>
      <c r="C8" s="86">
        <v>0</v>
      </c>
      <c r="D8" s="54">
        <v>0</v>
      </c>
      <c r="E8" s="54">
        <v>33340.639999999999</v>
      </c>
      <c r="F8" s="54">
        <v>0</v>
      </c>
      <c r="G8" s="54">
        <v>0</v>
      </c>
      <c r="H8" s="100">
        <v>0</v>
      </c>
      <c r="I8" s="100">
        <v>0</v>
      </c>
      <c r="J8" s="34"/>
      <c r="K8" s="34"/>
      <c r="L8" s="34"/>
    </row>
    <row r="9" spans="1:12" s="36" customFormat="1" x14ac:dyDescent="0.2">
      <c r="A9" s="88" t="s">
        <v>40</v>
      </c>
      <c r="B9" s="110">
        <f t="shared" si="0"/>
        <v>2139082.5000000005</v>
      </c>
      <c r="C9" s="87">
        <v>118073.58</v>
      </c>
      <c r="D9" s="102">
        <v>275412.11</v>
      </c>
      <c r="E9" s="102">
        <v>1745431.8100000003</v>
      </c>
      <c r="F9" s="103">
        <v>165</v>
      </c>
      <c r="G9" s="102">
        <v>0</v>
      </c>
      <c r="H9" s="102">
        <v>0</v>
      </c>
      <c r="I9" s="102">
        <v>0</v>
      </c>
      <c r="J9" s="34"/>
      <c r="K9" s="34"/>
      <c r="L9" s="34"/>
    </row>
    <row r="10" spans="1:12" s="36" customFormat="1" ht="13.5" thickBot="1" x14ac:dyDescent="0.25">
      <c r="A10" s="55" t="s">
        <v>35</v>
      </c>
      <c r="B10" s="101">
        <f>SUM(B6:B9)</f>
        <v>2251755.3600000003</v>
      </c>
      <c r="C10" s="104">
        <f t="shared" ref="C10:F10" si="1">SUM(C6:C9)</f>
        <v>118073.58</v>
      </c>
      <c r="D10" s="104">
        <f t="shared" si="1"/>
        <v>275412.11</v>
      </c>
      <c r="E10" s="104">
        <f>SUM(E6:E9)</f>
        <v>1876031.7</v>
      </c>
      <c r="F10" s="104">
        <f t="shared" si="1"/>
        <v>-17833.37</v>
      </c>
      <c r="G10" s="104">
        <f t="shared" ref="G10:H10" si="2">SUM(G6:G9)</f>
        <v>71.34</v>
      </c>
      <c r="H10" s="104">
        <f t="shared" si="2"/>
        <v>0</v>
      </c>
      <c r="I10" s="104">
        <f t="shared" ref="I10" si="3">SUM(I6:I9)</f>
        <v>0</v>
      </c>
    </row>
    <row r="11" spans="1:12" s="36" customFormat="1" ht="13.5" thickTop="1" x14ac:dyDescent="0.2">
      <c r="A11" s="55"/>
      <c r="B11" s="61"/>
      <c r="C11" s="104"/>
      <c r="D11" s="104"/>
      <c r="E11" s="104"/>
      <c r="F11" s="104"/>
      <c r="G11" s="104"/>
      <c r="H11" s="104"/>
    </row>
    <row r="12" spans="1:12" s="36" customFormat="1" x14ac:dyDescent="0.2">
      <c r="A12" s="131" t="s">
        <v>44</v>
      </c>
      <c r="B12" s="85" t="s">
        <v>16</v>
      </c>
      <c r="C12" s="63">
        <v>2015</v>
      </c>
      <c r="D12" s="63">
        <v>2016</v>
      </c>
      <c r="E12" s="63">
        <v>2017</v>
      </c>
      <c r="F12" s="63">
        <v>2018</v>
      </c>
      <c r="G12" s="63">
        <v>2019</v>
      </c>
      <c r="H12" s="63">
        <v>2020</v>
      </c>
      <c r="I12" s="63">
        <v>2021</v>
      </c>
    </row>
    <row r="13" spans="1:12" s="36" customFormat="1" x14ac:dyDescent="0.2">
      <c r="A13" s="88" t="s">
        <v>45</v>
      </c>
      <c r="B13" s="110">
        <f>SUM(C13:I13)</f>
        <v>3135957.01</v>
      </c>
      <c r="C13" s="132">
        <v>0</v>
      </c>
      <c r="D13" s="133">
        <v>0</v>
      </c>
      <c r="E13" s="133">
        <v>0</v>
      </c>
      <c r="F13" s="134"/>
      <c r="G13" s="134">
        <v>1735656.39</v>
      </c>
      <c r="H13" s="134">
        <v>1384357.04</v>
      </c>
      <c r="I13" s="134">
        <v>15943.58</v>
      </c>
    </row>
    <row r="14" spans="1:12" s="36" customFormat="1" ht="13.5" thickBot="1" x14ac:dyDescent="0.25">
      <c r="A14" s="55"/>
      <c r="B14" s="101">
        <f>SUM(B13:B13)</f>
        <v>3135957.01</v>
      </c>
      <c r="C14" s="104">
        <f>C13</f>
        <v>0</v>
      </c>
      <c r="D14" s="104">
        <f t="shared" ref="D14:I14" si="4">D13</f>
        <v>0</v>
      </c>
      <c r="E14" s="104">
        <f t="shared" si="4"/>
        <v>0</v>
      </c>
      <c r="F14" s="104">
        <f t="shared" si="4"/>
        <v>0</v>
      </c>
      <c r="G14" s="104">
        <f t="shared" si="4"/>
        <v>1735656.39</v>
      </c>
      <c r="H14" s="104">
        <f t="shared" si="4"/>
        <v>1384357.04</v>
      </c>
      <c r="I14" s="104">
        <f t="shared" si="4"/>
        <v>15943.58</v>
      </c>
    </row>
    <row r="15" spans="1:12" s="36" customFormat="1" ht="13.5" thickTop="1" x14ac:dyDescent="0.2">
      <c r="A15" s="55"/>
      <c r="B15" s="61"/>
      <c r="C15" s="104"/>
      <c r="D15" s="104"/>
      <c r="E15" s="104"/>
      <c r="F15" s="104"/>
      <c r="G15" s="104"/>
      <c r="H15" s="104"/>
    </row>
    <row r="16" spans="1:12" s="36" customFormat="1" x14ac:dyDescent="0.2">
      <c r="A16" s="142" t="s">
        <v>79</v>
      </c>
      <c r="B16" s="85" t="s">
        <v>16</v>
      </c>
      <c r="C16" s="63">
        <v>2015</v>
      </c>
      <c r="D16" s="63">
        <v>2016</v>
      </c>
      <c r="E16" s="63">
        <v>2017</v>
      </c>
      <c r="F16" s="63">
        <v>2018</v>
      </c>
      <c r="G16" s="63">
        <v>2019</v>
      </c>
      <c r="H16" s="63">
        <v>2020</v>
      </c>
      <c r="I16" s="63">
        <v>2021</v>
      </c>
    </row>
    <row r="17" spans="1:9" s="36" customFormat="1" x14ac:dyDescent="0.2">
      <c r="A17" s="140" t="s">
        <v>60</v>
      </c>
      <c r="B17" s="144">
        <f>SUM(C17:I17)</f>
        <v>1308153.27</v>
      </c>
      <c r="C17" s="145">
        <v>0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6">
        <v>1308153.27</v>
      </c>
    </row>
    <row r="18" spans="1:9" s="36" customFormat="1" x14ac:dyDescent="0.2">
      <c r="A18" s="140" t="s">
        <v>58</v>
      </c>
      <c r="B18" s="144">
        <f t="shared" ref="B18:B19" si="5">SUM(C18:I18)</f>
        <v>577493.52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146">
        <v>577493.52</v>
      </c>
    </row>
    <row r="19" spans="1:9" s="36" customFormat="1" x14ac:dyDescent="0.2">
      <c r="A19" s="140" t="s">
        <v>59</v>
      </c>
      <c r="B19" s="147">
        <f t="shared" si="5"/>
        <v>219402.4</v>
      </c>
      <c r="C19" s="147">
        <v>0</v>
      </c>
      <c r="D19" s="147">
        <v>0</v>
      </c>
      <c r="E19" s="147">
        <v>0</v>
      </c>
      <c r="F19" s="147">
        <v>0</v>
      </c>
      <c r="G19" s="147">
        <v>0</v>
      </c>
      <c r="H19" s="147">
        <v>0</v>
      </c>
      <c r="I19" s="148">
        <v>219402.4</v>
      </c>
    </row>
    <row r="20" spans="1:9" s="36" customFormat="1" ht="13.5" thickBot="1" x14ac:dyDescent="0.25">
      <c r="A20" s="143" t="s">
        <v>57</v>
      </c>
      <c r="B20" s="149">
        <f>SUM(B17:B19)</f>
        <v>2105049.19</v>
      </c>
      <c r="C20" s="132">
        <f>SUM(C17:C19)</f>
        <v>0</v>
      </c>
      <c r="D20" s="132">
        <f t="shared" ref="D20:I20" si="6">SUM(D17:D19)</f>
        <v>0</v>
      </c>
      <c r="E20" s="132">
        <f t="shared" si="6"/>
        <v>0</v>
      </c>
      <c r="F20" s="132">
        <f t="shared" si="6"/>
        <v>0</v>
      </c>
      <c r="G20" s="132">
        <f t="shared" si="6"/>
        <v>0</v>
      </c>
      <c r="H20" s="132">
        <f t="shared" si="6"/>
        <v>0</v>
      </c>
      <c r="I20" s="132">
        <f t="shared" si="6"/>
        <v>2105049.19</v>
      </c>
    </row>
    <row r="21" spans="1:9" ht="13.5" thickTop="1" x14ac:dyDescent="0.2">
      <c r="B21" s="66"/>
    </row>
    <row r="22" spans="1:9" ht="13.5" thickBot="1" x14ac:dyDescent="0.25">
      <c r="A22" s="34" t="s">
        <v>42</v>
      </c>
      <c r="B22" s="108">
        <f>B10+B14+B20</f>
        <v>7492761.5600000005</v>
      </c>
    </row>
    <row r="23" spans="1:9" ht="13.5" thickTop="1" x14ac:dyDescent="0.2"/>
    <row r="24" spans="1:9" x14ac:dyDescent="0.2">
      <c r="A24" s="105"/>
      <c r="B24" s="107"/>
    </row>
    <row r="26" spans="1:9" x14ac:dyDescent="0.2">
      <c r="A26" s="43"/>
    </row>
  </sheetData>
  <printOptions horizontalCentered="1"/>
  <pageMargins left="0.75" right="0.75" top="1.5" bottom="0.75" header="0.5" footer="0.5"/>
  <pageSetup scale="61" fitToHeight="2" orientation="portrait" r:id="rId1"/>
  <headerFooter alignWithMargins="0">
    <oddHeader>&amp;CPUGET SOUND ENERGY
GRCs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L18"/>
  <sheetViews>
    <sheetView zoomScale="90" zoomScaleNormal="90" workbookViewId="0"/>
  </sheetViews>
  <sheetFormatPr defaultColWidth="8.85546875" defaultRowHeight="12.75" x14ac:dyDescent="0.2"/>
  <cols>
    <col min="1" max="1" width="31.5703125" style="78" customWidth="1"/>
    <col min="2" max="2" width="11.42578125" style="79" bestFit="1" customWidth="1"/>
    <col min="3" max="3" width="7.28515625" style="78" bestFit="1" customWidth="1"/>
    <col min="4" max="5" width="9.5703125" style="78" bestFit="1" customWidth="1"/>
    <col min="6" max="6" width="10.28515625" style="69" customWidth="1"/>
    <col min="7" max="10" width="8.85546875" style="69"/>
    <col min="11" max="12" width="9.5703125" style="69" bestFit="1" customWidth="1"/>
    <col min="13" max="16384" width="8.85546875" style="69"/>
  </cols>
  <sheetData>
    <row r="2" spans="1:12" x14ac:dyDescent="0.2">
      <c r="A2" s="43" t="s">
        <v>62</v>
      </c>
    </row>
    <row r="3" spans="1:12" x14ac:dyDescent="0.2">
      <c r="B3" s="84"/>
      <c r="C3" s="34"/>
      <c r="D3" s="34"/>
      <c r="E3" s="34"/>
      <c r="F3" s="34"/>
      <c r="G3" s="34"/>
      <c r="H3" s="34"/>
      <c r="I3" s="34"/>
    </row>
    <row r="4" spans="1:12" x14ac:dyDescent="0.2">
      <c r="A4" s="89"/>
      <c r="B4" s="90" t="s">
        <v>16</v>
      </c>
      <c r="C4" s="63">
        <v>2012</v>
      </c>
      <c r="D4" s="63">
        <v>2013</v>
      </c>
      <c r="E4" s="63">
        <v>2014</v>
      </c>
      <c r="F4" s="63">
        <v>2015</v>
      </c>
      <c r="G4" s="63">
        <v>2016</v>
      </c>
      <c r="H4" s="63">
        <v>2017</v>
      </c>
      <c r="I4" s="63">
        <v>2018</v>
      </c>
      <c r="J4" s="63">
        <v>2019</v>
      </c>
      <c r="K4" s="63">
        <v>2020</v>
      </c>
      <c r="L4" s="63">
        <v>2021</v>
      </c>
    </row>
    <row r="5" spans="1:12" x14ac:dyDescent="0.2">
      <c r="A5" s="91" t="s">
        <v>26</v>
      </c>
      <c r="B5" s="92"/>
      <c r="C5" s="84"/>
      <c r="D5" s="84"/>
      <c r="E5" s="34"/>
      <c r="F5" s="93"/>
      <c r="G5" s="93"/>
      <c r="H5" s="93"/>
      <c r="I5" s="34"/>
      <c r="J5" s="34"/>
      <c r="K5" s="34"/>
      <c r="L5" s="34"/>
    </row>
    <row r="6" spans="1:12" x14ac:dyDescent="0.2">
      <c r="A6" s="88" t="s">
        <v>27</v>
      </c>
      <c r="B6" s="94">
        <f>SUM(C6:L6)</f>
        <v>148465.66</v>
      </c>
      <c r="C6" s="95">
        <v>0</v>
      </c>
      <c r="D6" s="95">
        <v>0</v>
      </c>
      <c r="E6" s="95">
        <v>148465.66</v>
      </c>
      <c r="F6" s="95">
        <v>0</v>
      </c>
      <c r="G6" s="95">
        <v>0</v>
      </c>
      <c r="H6" s="95">
        <v>0</v>
      </c>
      <c r="I6" s="95">
        <v>0</v>
      </c>
      <c r="J6" s="95">
        <v>0</v>
      </c>
      <c r="K6" s="95">
        <v>0</v>
      </c>
      <c r="L6" s="95">
        <v>0</v>
      </c>
    </row>
    <row r="7" spans="1:12" x14ac:dyDescent="0.2">
      <c r="A7" s="88"/>
      <c r="B7" s="96"/>
      <c r="C7" s="97"/>
      <c r="D7" s="97"/>
      <c r="E7" s="98"/>
      <c r="F7" s="98"/>
      <c r="G7" s="98"/>
      <c r="H7" s="98"/>
      <c r="I7" s="98"/>
    </row>
    <row r="8" spans="1:12" x14ac:dyDescent="0.2">
      <c r="A8" s="88"/>
      <c r="B8" s="96"/>
      <c r="C8" s="97"/>
      <c r="D8" s="97"/>
      <c r="E8" s="98"/>
      <c r="F8" s="98"/>
      <c r="G8" s="98"/>
      <c r="H8" s="98"/>
      <c r="I8" s="98"/>
    </row>
    <row r="9" spans="1:12" x14ac:dyDescent="0.2">
      <c r="A9" s="139" t="s">
        <v>52</v>
      </c>
      <c r="B9" s="90" t="s">
        <v>16</v>
      </c>
      <c r="C9" s="63">
        <v>2012</v>
      </c>
      <c r="D9" s="63">
        <v>2013</v>
      </c>
      <c r="E9" s="63">
        <v>2014</v>
      </c>
      <c r="F9" s="63">
        <v>2015</v>
      </c>
      <c r="G9" s="63">
        <v>2016</v>
      </c>
      <c r="H9" s="63">
        <v>2017</v>
      </c>
      <c r="I9" s="63">
        <v>2018</v>
      </c>
      <c r="J9" s="63">
        <v>2019</v>
      </c>
      <c r="K9" s="63">
        <v>2020</v>
      </c>
      <c r="L9" s="63">
        <v>2021</v>
      </c>
    </row>
    <row r="10" spans="1:12" x14ac:dyDescent="0.2">
      <c r="A10" s="140" t="s">
        <v>53</v>
      </c>
      <c r="B10" s="94">
        <f>SUM(C10:L10)</f>
        <v>526879.43999999994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  <c r="J10" s="95">
        <v>0</v>
      </c>
      <c r="K10" s="95">
        <v>258666.91999999998</v>
      </c>
      <c r="L10" s="141">
        <v>268212.52</v>
      </c>
    </row>
    <row r="11" spans="1:12" x14ac:dyDescent="0.2">
      <c r="A11" s="88"/>
      <c r="B11" s="96"/>
      <c r="C11" s="98"/>
      <c r="D11" s="98"/>
      <c r="E11" s="98"/>
      <c r="F11" s="98"/>
      <c r="G11" s="98"/>
      <c r="H11" s="34"/>
      <c r="I11" s="34"/>
    </row>
    <row r="12" spans="1:12" x14ac:dyDescent="0.2">
      <c r="A12" s="88"/>
      <c r="B12" s="96"/>
      <c r="C12" s="98"/>
      <c r="D12" s="98"/>
      <c r="E12" s="98"/>
      <c r="F12" s="98"/>
      <c r="G12" s="98"/>
      <c r="H12" s="34"/>
      <c r="I12" s="34"/>
    </row>
    <row r="13" spans="1:12" ht="13.5" thickBot="1" x14ac:dyDescent="0.25">
      <c r="A13" s="34" t="s">
        <v>28</v>
      </c>
      <c r="B13" s="99">
        <f>B6+B10</f>
        <v>675345.1</v>
      </c>
      <c r="C13" s="34"/>
      <c r="D13" s="34"/>
      <c r="E13" s="34"/>
      <c r="F13" s="34"/>
      <c r="G13" s="34"/>
      <c r="H13" s="34"/>
      <c r="I13" s="34"/>
    </row>
    <row r="14" spans="1:12" ht="13.5" thickTop="1" x14ac:dyDescent="0.2">
      <c r="A14" s="105"/>
      <c r="B14" s="106"/>
    </row>
    <row r="18" spans="1:9" x14ac:dyDescent="0.2">
      <c r="A18" s="111"/>
      <c r="B18" s="112"/>
      <c r="C18" s="113"/>
      <c r="D18" s="113"/>
      <c r="E18" s="113"/>
      <c r="F18" s="114"/>
      <c r="G18" s="111"/>
      <c r="H18" s="114"/>
      <c r="I18" s="114"/>
    </row>
  </sheetData>
  <phoneticPr fontId="0" type="noConversion"/>
  <pageMargins left="0.75" right="0.75" top="1.08" bottom="0.75" header="0.5" footer="0.5"/>
  <pageSetup scale="8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00749AD-05B3-47B2-A5B4-B56E3F1EC503}"/>
</file>

<file path=customXml/itemProps2.xml><?xml version="1.0" encoding="utf-8"?>
<ds:datastoreItem xmlns:ds="http://schemas.openxmlformats.org/officeDocument/2006/customXml" ds:itemID="{FCC9B8A2-041D-4880-B380-F4277A18E969}"/>
</file>

<file path=customXml/itemProps3.xml><?xml version="1.0" encoding="utf-8"?>
<ds:datastoreItem xmlns:ds="http://schemas.openxmlformats.org/officeDocument/2006/customXml" ds:itemID="{745B2D09-7F54-449E-A632-66B10C1AD666}"/>
</file>

<file path=customXml/itemProps4.xml><?xml version="1.0" encoding="utf-8"?>
<ds:datastoreItem xmlns:ds="http://schemas.openxmlformats.org/officeDocument/2006/customXml" ds:itemID="{E0B25DFC-F020-488C-A773-3E854C69AE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Lead G</vt:lpstr>
      <vt:lpstr>Avg cost of case</vt:lpstr>
      <vt:lpstr>TY</vt:lpstr>
      <vt:lpstr>Summary GRCs</vt:lpstr>
      <vt:lpstr>Summary PCORCs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Puget Sound Energy</cp:lastModifiedBy>
  <cp:lastPrinted>2015-12-23T17:57:01Z</cp:lastPrinted>
  <dcterms:created xsi:type="dcterms:W3CDTF">2003-11-18T20:14:12Z</dcterms:created>
  <dcterms:modified xsi:type="dcterms:W3CDTF">2022-03-11T01:24:51Z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0x0101006E56B4D1795A2E4DB2F0B01679ED314A00C4AD0D4F6BF7344299F812ABC97FDE97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