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5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14505" yWindow="-15" windowWidth="4695" windowHeight="6315" tabRatio="863" firstSheet="1" activeTab="1"/>
  </bookViews>
  <sheets>
    <sheet name="_com.sap.ip.bi.xl.hiddensheet" sheetId="74" state="veryHidden" r:id="rId1"/>
    <sheet name=" Elec" sheetId="28" r:id="rId2"/>
    <sheet name=" Gas" sheetId="15" r:id="rId3"/>
    <sheet name="Main wp" sheetId="70" r:id="rId4"/>
    <sheet name="CE Allocation" sheetId="68" r:id="rId5"/>
    <sheet name="Director's Fees" sheetId="26" r:id="rId6"/>
  </sheets>
  <externalReferences>
    <externalReference r:id="rId7"/>
    <externalReference r:id="rId8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_xlnm.Print_Area" localSheetId="3">'Main wp'!$A$1:$P$37</definedName>
    <definedName name="SAPBEXhrIndnt">"Wide"</definedName>
    <definedName name="SAPCrosstab1">[2]Labor!$B$1:$D$9</definedName>
    <definedName name="SAPCrosstab2">[2]Labor!$F$1:$L$63</definedName>
    <definedName name="SAPsysID">"708C5W7SBKP804JT78WJ0JNKI"</definedName>
    <definedName name="SAPwbID">"ARS"</definedName>
    <definedName name="z.Version.Number">"1.00"</definedName>
    <definedName name="z.Version.Sub">"d"</definedName>
  </definedNames>
  <calcPr calcId="162913"/>
</workbook>
</file>

<file path=xl/calcChain.xml><?xml version="1.0" encoding="utf-8"?>
<calcChain xmlns="http://schemas.openxmlformats.org/spreadsheetml/2006/main">
  <c r="A6" i="70" l="1"/>
  <c r="A5" i="70"/>
  <c r="M2" i="70"/>
  <c r="K18" i="26" l="1"/>
  <c r="I18" i="26"/>
  <c r="G18" i="26"/>
  <c r="E18" i="26"/>
  <c r="M16" i="26"/>
  <c r="M14" i="26"/>
  <c r="M12" i="26"/>
  <c r="M10" i="26"/>
  <c r="M8" i="26"/>
  <c r="M18" i="26" l="1"/>
  <c r="O10" i="26"/>
  <c r="O12" i="26"/>
  <c r="O14" i="26"/>
  <c r="O16" i="26"/>
  <c r="O8" i="26"/>
  <c r="O18" i="26" l="1"/>
  <c r="C35" i="70" l="1"/>
  <c r="C36" i="70"/>
  <c r="A5" i="15" l="1"/>
  <c r="D6" i="68" l="1"/>
  <c r="F6" i="68" s="1"/>
  <c r="E7" i="68" l="1"/>
  <c r="B36" i="70" s="1"/>
  <c r="F7" i="68"/>
  <c r="B7" i="68"/>
  <c r="C7" i="68"/>
  <c r="D7" i="68" l="1"/>
  <c r="B35" i="70" s="1"/>
  <c r="C14" i="70" l="1"/>
  <c r="D14" i="70" s="1"/>
  <c r="E14" i="70" s="1"/>
  <c r="C13" i="70"/>
  <c r="D13" i="70" s="1"/>
  <c r="E13" i="70" s="1"/>
  <c r="G14" i="70" l="1"/>
  <c r="H14" i="70" s="1"/>
  <c r="I14" i="70" s="1"/>
  <c r="J14" i="70" s="1"/>
  <c r="K14" i="70" s="1"/>
  <c r="L14" i="70" s="1"/>
  <c r="M14" i="70" s="1"/>
  <c r="G13" i="70"/>
  <c r="H13" i="70" s="1"/>
  <c r="I13" i="70" s="1"/>
  <c r="J13" i="70" s="1"/>
  <c r="K13" i="70" s="1"/>
  <c r="L13" i="70" s="1"/>
  <c r="M13" i="70" s="1"/>
  <c r="N14" i="70" l="1"/>
  <c r="B15" i="70"/>
  <c r="C15" i="70" l="1"/>
  <c r="N13" i="70" l="1"/>
  <c r="I15" i="70"/>
  <c r="D15" i="70"/>
  <c r="N15" i="70" l="1"/>
  <c r="C6" i="70"/>
  <c r="C5" i="70"/>
  <c r="E36" i="70"/>
  <c r="E35" i="70"/>
  <c r="B37" i="70"/>
  <c r="L15" i="70"/>
  <c r="J15" i="70"/>
  <c r="E15" i="70"/>
  <c r="K15" i="70" l="1"/>
  <c r="F15" i="70"/>
  <c r="M15" i="70" l="1"/>
  <c r="G15" i="70"/>
  <c r="H15" i="70"/>
  <c r="C12" i="28" l="1"/>
  <c r="C12" i="15"/>
  <c r="N7" i="70"/>
  <c r="N5" i="70" s="1"/>
  <c r="N6" i="70" l="1"/>
  <c r="C7" i="70"/>
  <c r="A6" i="15" l="1"/>
  <c r="D35" i="70" l="1"/>
  <c r="B18" i="70" s="1"/>
  <c r="M18" i="70" l="1"/>
  <c r="I18" i="70"/>
  <c r="E18" i="70"/>
  <c r="L18" i="70"/>
  <c r="H18" i="70"/>
  <c r="D18" i="70"/>
  <c r="K18" i="70"/>
  <c r="G18" i="70"/>
  <c r="C18" i="70"/>
  <c r="J18" i="70"/>
  <c r="F18" i="70"/>
  <c r="A7" i="15"/>
  <c r="A13" i="15" l="1"/>
  <c r="A14" i="15" s="1"/>
  <c r="A15" i="15" s="1"/>
  <c r="A16" i="15" s="1"/>
  <c r="A17" i="15" s="1"/>
  <c r="A18" i="15" s="1"/>
  <c r="A19" i="15" s="1"/>
  <c r="A20" i="15" s="1"/>
  <c r="A13" i="28"/>
  <c r="A14" i="28" s="1"/>
  <c r="A15" i="28" s="1"/>
  <c r="A16" i="28" s="1"/>
  <c r="A17" i="28" s="1"/>
  <c r="A18" i="28" s="1"/>
  <c r="A19" i="28" s="1"/>
  <c r="A20" i="28" s="1"/>
  <c r="D36" i="70" l="1"/>
  <c r="C37" i="70" l="1"/>
  <c r="J19" i="70" l="1"/>
  <c r="F19" i="70"/>
  <c r="M19" i="70"/>
  <c r="I19" i="70"/>
  <c r="E19" i="70"/>
  <c r="L19" i="70"/>
  <c r="H19" i="70"/>
  <c r="D19" i="70"/>
  <c r="K19" i="70"/>
  <c r="G19" i="70"/>
  <c r="C19" i="70"/>
  <c r="B19" i="70"/>
  <c r="D37" i="70"/>
  <c r="C14" i="15"/>
  <c r="B20" i="70" l="1"/>
  <c r="I20" i="70"/>
  <c r="H20" i="70"/>
  <c r="M20" i="70"/>
  <c r="G20" i="70"/>
  <c r="L20" i="70"/>
  <c r="F20" i="70"/>
  <c r="K20" i="70"/>
  <c r="E20" i="70"/>
  <c r="J20" i="70"/>
  <c r="C14" i="28"/>
  <c r="C20" i="70" l="1"/>
  <c r="D20" i="70"/>
  <c r="N18" i="70"/>
  <c r="N19" i="70"/>
  <c r="N20" i="70" l="1"/>
  <c r="O18" i="70" l="1"/>
  <c r="P18" i="70" s="1"/>
  <c r="O19" i="70"/>
  <c r="P19" i="70" s="1"/>
  <c r="F36" i="70"/>
  <c r="F35" i="70"/>
  <c r="Q18" i="70" l="1"/>
  <c r="O20" i="70"/>
  <c r="F37" i="70"/>
  <c r="E37" i="70"/>
  <c r="D5" i="70"/>
  <c r="E5" i="70" s="1"/>
  <c r="D6" i="70"/>
  <c r="D12" i="15" s="1"/>
  <c r="O7" i="70"/>
  <c r="O5" i="70" s="1"/>
  <c r="O6" i="70" s="1"/>
  <c r="Q19" i="70"/>
  <c r="D12" i="28" l="1"/>
  <c r="D7" i="70"/>
  <c r="E6" i="70"/>
  <c r="E7" i="70" s="1"/>
  <c r="P20" i="70"/>
  <c r="E12" i="15"/>
  <c r="E14" i="15" s="1"/>
  <c r="E16" i="15" s="1"/>
  <c r="D14" i="15"/>
  <c r="D14" i="28" l="1"/>
  <c r="E12" i="28"/>
  <c r="E14" i="28" s="1"/>
  <c r="E16" i="28" s="1"/>
  <c r="E18" i="28" s="1"/>
  <c r="E20" i="28" s="1"/>
  <c r="E18" i="15"/>
  <c r="E20" i="15" s="1"/>
</calcChain>
</file>

<file path=xl/sharedStrings.xml><?xml version="1.0" encoding="utf-8"?>
<sst xmlns="http://schemas.openxmlformats.org/spreadsheetml/2006/main" count="120" uniqueCount="92">
  <si>
    <t>LINE</t>
  </si>
  <si>
    <t>NO.</t>
  </si>
  <si>
    <t>DESCRIPTION</t>
  </si>
  <si>
    <t>TEST YEAR</t>
  </si>
  <si>
    <t>RESTATED</t>
  </si>
  <si>
    <t>ADJUSTMENT</t>
  </si>
  <si>
    <t>D &amp; O INS. CHG  EXPENSE</t>
  </si>
  <si>
    <t>INCREASE (DECREASE) FIT @</t>
  </si>
  <si>
    <t>INCREASE (DECREASE) NOI</t>
  </si>
  <si>
    <t xml:space="preserve"> </t>
  </si>
  <si>
    <t>Total</t>
  </si>
  <si>
    <t>INCREASE (DECREASE) IN EXPENSE</t>
  </si>
  <si>
    <t>INCREASE(DECREASE) OPERATING EXPENSE (LINE 3)</t>
  </si>
  <si>
    <t>DIRECTORS &amp; OFFICERS INSURANCE</t>
  </si>
  <si>
    <t>PUGET SOUND ENERGY-GAS</t>
  </si>
  <si>
    <t>PUGET SOUND ENERGY</t>
  </si>
  <si>
    <t>Order/Account</t>
  </si>
  <si>
    <t>Percentage</t>
  </si>
  <si>
    <t>Number</t>
  </si>
  <si>
    <t>Totals</t>
  </si>
  <si>
    <t>of Total</t>
  </si>
  <si>
    <t>Puget Energy</t>
  </si>
  <si>
    <t>Puget Holdings LLC</t>
  </si>
  <si>
    <t>Director Fee Expenses</t>
  </si>
  <si>
    <t>Utility O&amp;M</t>
  </si>
  <si>
    <t>Non-Utility</t>
  </si>
  <si>
    <t>PUGET SOUND ENERGY-ELECTRIC</t>
  </si>
  <si>
    <t>93020677</t>
  </si>
  <si>
    <t>400s</t>
  </si>
  <si>
    <t>COMMISSION BASIS REPORT</t>
  </si>
  <si>
    <t>Amount</t>
  </si>
  <si>
    <t>Allocation of charges for employees considered to be covered under PSE's D&amp;O policy</t>
  </si>
  <si>
    <t>Capital</t>
  </si>
  <si>
    <t>O&amp;M</t>
  </si>
  <si>
    <t>Operating</t>
  </si>
  <si>
    <t># OF CUST</t>
  </si>
  <si>
    <t>TY</t>
  </si>
  <si>
    <t>TO EXP</t>
  </si>
  <si>
    <t>ELECTRIC</t>
  </si>
  <si>
    <t>o&amp;m</t>
  </si>
  <si>
    <t>GAS</t>
  </si>
  <si>
    <t>capital</t>
  </si>
  <si>
    <t>ALLOCATION</t>
  </si>
  <si>
    <t>AFTER</t>
  </si>
  <si>
    <t>RECALCULATED</t>
  </si>
  <si>
    <t>FOR RECALCULATED</t>
  </si>
  <si>
    <t>total invoice</t>
  </si>
  <si>
    <t>|</t>
  </si>
  <si>
    <t>V</t>
  </si>
  <si>
    <t>COVERED</t>
  </si>
  <si>
    <t>BOARD OF</t>
  </si>
  <si>
    <t>EQUALLY</t>
  </si>
  <si>
    <t>EXISTING</t>
  </si>
  <si>
    <t>TOTAL</t>
  </si>
  <si>
    <t>EMPLOYEES</t>
  </si>
  <si>
    <t>DIRECTORS</t>
  </si>
  <si>
    <t>WEIGHTED</t>
  </si>
  <si>
    <t>UTILITY</t>
  </si>
  <si>
    <t>NON-UTILITY</t>
  </si>
  <si>
    <t>Source:  Confidential support summarized by Accounts Payable Group.</t>
  </si>
  <si>
    <t>107, 108, 182.3, 184s</t>
  </si>
  <si>
    <t>FERC</t>
  </si>
  <si>
    <t>500, 700, 800, 900s</t>
  </si>
  <si>
    <t>A</t>
  </si>
  <si>
    <t>B</t>
  </si>
  <si>
    <t>C</t>
  </si>
  <si>
    <t>D</t>
  </si>
  <si>
    <t>E</t>
  </si>
  <si>
    <t>A + B</t>
  </si>
  <si>
    <t>C + D</t>
  </si>
  <si>
    <t>Utility</t>
  </si>
  <si>
    <t>Non-utility</t>
  </si>
  <si>
    <t>Invoice covers May 1 through April 30 each year.</t>
  </si>
  <si>
    <t xml:space="preserve">                </t>
  </si>
  <si>
    <t xml:space="preserve">                                                                          </t>
  </si>
  <si>
    <t xml:space="preserve">                                                                        </t>
  </si>
  <si>
    <t>ALLOC FACTOR</t>
  </si>
  <si>
    <t>O&amp;M % SPLIT</t>
  </si>
  <si>
    <t>RESTATE TO ADJUST ATL/BTL ALLOCATION</t>
  </si>
  <si>
    <t>RESTATED RATIO</t>
  </si>
  <si>
    <t>CBR</t>
  </si>
  <si>
    <t>AND GRC</t>
  </si>
  <si>
    <t>check= ok</t>
  </si>
  <si>
    <t>FOR THE TWELVE MONTHS ENDED DECEMBER 31, 2020</t>
  </si>
  <si>
    <t>12 ME DEC 2020</t>
  </si>
  <si>
    <t>DETAIL OF DIRECTOR COMPENSATION EXPENSE FOR 12 MONTHS ENDED DECEMBER 2020</t>
  </si>
  <si>
    <t>Q4 2020</t>
  </si>
  <si>
    <t>Q3 2020</t>
  </si>
  <si>
    <t>Q2 2020</t>
  </si>
  <si>
    <t>Q1 2020</t>
  </si>
  <si>
    <t>Puget Itermediate</t>
  </si>
  <si>
    <t>12 ME Dec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</si>
</sst>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m/d/yy;@"/>
    <numFmt numFmtId="169" formatCode="\$\ #,##0"/>
    <numFmt numFmtId="170" formatCode="###,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C00000"/>
      <name val="Arial"/>
      <family val="2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17" fillId="2" borderId="13" applyNumberFormat="0" applyAlignment="0" applyProtection="0">
      <alignment horizontal="left" vertical="center" indent="1"/>
    </xf>
    <xf numFmtId="170" fontId="18" fillId="0" borderId="14" applyNumberFormat="0" applyProtection="0">
      <alignment horizontal="right" vertical="center"/>
    </xf>
    <xf numFmtId="170" fontId="17" fillId="0" borderId="15" applyNumberFormat="0" applyProtection="0">
      <alignment horizontal="right" vertical="center"/>
    </xf>
    <xf numFmtId="170" fontId="18" fillId="3" borderId="13" applyNumberFormat="0" applyAlignment="0" applyProtection="0">
      <alignment horizontal="left" vertical="center" indent="1"/>
    </xf>
    <xf numFmtId="0" fontId="19" fillId="4" borderId="15" applyNumberFormat="0" applyAlignment="0">
      <alignment horizontal="left" vertical="center" indent="1"/>
      <protection locked="0"/>
    </xf>
    <xf numFmtId="0" fontId="19" fillId="5" borderId="15" applyNumberFormat="0" applyAlignment="0" applyProtection="0">
      <alignment horizontal="left" vertical="center" indent="1"/>
    </xf>
    <xf numFmtId="170" fontId="18" fillId="6" borderId="14" applyNumberFormat="0" applyBorder="0">
      <alignment horizontal="right" vertical="center"/>
      <protection locked="0"/>
    </xf>
    <xf numFmtId="0" fontId="19" fillId="4" borderId="15" applyNumberFormat="0" applyAlignment="0">
      <alignment horizontal="left" vertical="center" indent="1"/>
      <protection locked="0"/>
    </xf>
    <xf numFmtId="170" fontId="17" fillId="5" borderId="15" applyNumberFormat="0" applyProtection="0">
      <alignment horizontal="right" vertical="center"/>
    </xf>
    <xf numFmtId="170" fontId="17" fillId="6" borderId="15" applyNumberFormat="0" applyBorder="0">
      <alignment horizontal="right" vertical="center"/>
      <protection locked="0"/>
    </xf>
    <xf numFmtId="170" fontId="20" fillId="7" borderId="16" applyNumberFormat="0" applyBorder="0" applyAlignment="0" applyProtection="0">
      <alignment horizontal="right" vertical="center" indent="1"/>
    </xf>
    <xf numFmtId="170" fontId="21" fillId="8" borderId="16" applyNumberFormat="0" applyBorder="0" applyAlignment="0" applyProtection="0">
      <alignment horizontal="right" vertical="center" indent="1"/>
    </xf>
    <xf numFmtId="170" fontId="21" fillId="9" borderId="16" applyNumberFormat="0" applyBorder="0" applyAlignment="0" applyProtection="0">
      <alignment horizontal="right" vertical="center" indent="1"/>
    </xf>
    <xf numFmtId="170" fontId="22" fillId="10" borderId="16" applyNumberFormat="0" applyBorder="0" applyAlignment="0" applyProtection="0">
      <alignment horizontal="right" vertical="center" indent="1"/>
    </xf>
    <xf numFmtId="170" fontId="22" fillId="11" borderId="16" applyNumberFormat="0" applyBorder="0" applyAlignment="0" applyProtection="0">
      <alignment horizontal="right" vertical="center" indent="1"/>
    </xf>
    <xf numFmtId="170" fontId="22" fillId="12" borderId="16" applyNumberFormat="0" applyBorder="0" applyAlignment="0" applyProtection="0">
      <alignment horizontal="right" vertical="center" indent="1"/>
    </xf>
    <xf numFmtId="170" fontId="23" fillId="13" borderId="16" applyNumberFormat="0" applyBorder="0" applyAlignment="0" applyProtection="0">
      <alignment horizontal="right" vertical="center" indent="1"/>
    </xf>
    <xf numFmtId="170" fontId="23" fillId="14" borderId="16" applyNumberFormat="0" applyBorder="0" applyAlignment="0" applyProtection="0">
      <alignment horizontal="right" vertical="center" indent="1"/>
    </xf>
    <xf numFmtId="170" fontId="23" fillId="15" borderId="16" applyNumberFormat="0" applyBorder="0" applyAlignment="0" applyProtection="0">
      <alignment horizontal="right" vertical="center" indent="1"/>
    </xf>
    <xf numFmtId="0" fontId="24" fillId="0" borderId="13" applyNumberFormat="0" applyFont="0" applyFill="0" applyAlignment="0" applyProtection="0"/>
    <xf numFmtId="170" fontId="25" fillId="3" borderId="0" applyNumberFormat="0" applyAlignment="0" applyProtection="0">
      <alignment horizontal="left" vertical="center" indent="1"/>
    </xf>
    <xf numFmtId="0" fontId="24" fillId="0" borderId="17" applyNumberFormat="0" applyFont="0" applyFill="0" applyAlignment="0" applyProtection="0"/>
    <xf numFmtId="170" fontId="18" fillId="0" borderId="14" applyNumberFormat="0" applyFill="0" applyBorder="0" applyAlignment="0" applyProtection="0">
      <alignment horizontal="right" vertical="center"/>
    </xf>
    <xf numFmtId="170" fontId="18" fillId="3" borderId="13" applyNumberFormat="0" applyAlignment="0" applyProtection="0">
      <alignment horizontal="left" vertical="center" indent="1"/>
    </xf>
    <xf numFmtId="0" fontId="17" fillId="2" borderId="15" applyNumberFormat="0" applyAlignment="0" applyProtection="0">
      <alignment horizontal="left" vertical="center" indent="1"/>
    </xf>
    <xf numFmtId="0" fontId="19" fillId="16" borderId="13" applyNumberFormat="0" applyAlignment="0" applyProtection="0">
      <alignment horizontal="left" vertical="center" indent="1"/>
    </xf>
    <xf numFmtId="0" fontId="19" fillId="17" borderId="13" applyNumberFormat="0" applyAlignment="0" applyProtection="0">
      <alignment horizontal="left" vertical="center" indent="1"/>
    </xf>
    <xf numFmtId="0" fontId="19" fillId="18" borderId="13" applyNumberFormat="0" applyAlignment="0" applyProtection="0">
      <alignment horizontal="left" vertical="center" indent="1"/>
    </xf>
    <xf numFmtId="0" fontId="19" fillId="6" borderId="13" applyNumberFormat="0" applyAlignment="0" applyProtection="0">
      <alignment horizontal="left" vertical="center" indent="1"/>
    </xf>
    <xf numFmtId="0" fontId="19" fillId="5" borderId="15" applyNumberFormat="0" applyAlignment="0" applyProtection="0">
      <alignment horizontal="left" vertical="center" indent="1"/>
    </xf>
    <xf numFmtId="0" fontId="26" fillId="0" borderId="18" applyNumberFormat="0" applyFill="0" applyBorder="0" applyAlignment="0" applyProtection="0"/>
    <xf numFmtId="0" fontId="27" fillId="0" borderId="18" applyNumberFormat="0" applyBorder="0" applyAlignment="0" applyProtection="0"/>
    <xf numFmtId="0" fontId="26" fillId="4" borderId="15" applyNumberFormat="0" applyAlignment="0">
      <alignment horizontal="left" vertical="center" indent="1"/>
      <protection locked="0"/>
    </xf>
    <xf numFmtId="0" fontId="26" fillId="4" borderId="15" applyNumberFormat="0" applyAlignment="0">
      <alignment horizontal="left" vertical="center" indent="1"/>
      <protection locked="0"/>
    </xf>
    <xf numFmtId="0" fontId="26" fillId="5" borderId="15" applyNumberFormat="0" applyAlignment="0" applyProtection="0">
      <alignment horizontal="left" vertical="center" indent="1"/>
    </xf>
    <xf numFmtId="170" fontId="28" fillId="5" borderId="15" applyNumberFormat="0" applyProtection="0">
      <alignment horizontal="right" vertical="center"/>
    </xf>
    <xf numFmtId="170" fontId="29" fillId="6" borderId="14" applyNumberFormat="0" applyBorder="0">
      <alignment horizontal="right" vertical="center"/>
      <protection locked="0"/>
    </xf>
    <xf numFmtId="170" fontId="28" fillId="6" borderId="15" applyNumberFormat="0" applyBorder="0">
      <alignment horizontal="right" vertical="center"/>
      <protection locked="0"/>
    </xf>
    <xf numFmtId="170" fontId="18" fillId="0" borderId="14" applyNumberFormat="0" applyFill="0" applyBorder="0" applyAlignment="0" applyProtection="0">
      <alignment horizontal="right" vertical="center"/>
    </xf>
  </cellStyleXfs>
  <cellXfs count="112">
    <xf numFmtId="0" fontId="0" fillId="0" borderId="0" xfId="0"/>
    <xf numFmtId="0" fontId="7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2" fontId="4" fillId="0" borderId="0" xfId="0" applyNumberFormat="1" applyFont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42" fontId="4" fillId="0" borderId="0" xfId="0" applyNumberFormat="1" applyFont="1" applyAlignment="1">
      <alignment horizontal="right"/>
    </xf>
    <xf numFmtId="42" fontId="4" fillId="0" borderId="6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41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4" fillId="0" borderId="5" xfId="0" applyNumberFormat="1" applyFont="1" applyBorder="1" applyAlignment="1" applyProtection="1">
      <alignment horizontal="right"/>
      <protection locked="0"/>
    </xf>
    <xf numFmtId="42" fontId="4" fillId="0" borderId="3" xfId="0" applyNumberFormat="1" applyFont="1" applyBorder="1" applyAlignment="1">
      <alignment horizontal="right"/>
    </xf>
    <xf numFmtId="41" fontId="4" fillId="0" borderId="0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0" borderId="0" xfId="0" applyFont="1"/>
    <xf numFmtId="0" fontId="9" fillId="0" borderId="0" xfId="0" applyFont="1" applyFill="1"/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Continuous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2" fillId="0" borderId="0" xfId="0" applyFont="1"/>
    <xf numFmtId="0" fontId="8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1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7" fontId="12" fillId="0" borderId="0" xfId="0" applyNumberFormat="1" applyFont="1" applyFill="1"/>
    <xf numFmtId="167" fontId="2" fillId="0" borderId="0" xfId="0" applyNumberFormat="1" applyFont="1" applyFill="1"/>
    <xf numFmtId="167" fontId="2" fillId="0" borderId="4" xfId="0" applyNumberFormat="1" applyFont="1" applyFill="1" applyBorder="1"/>
    <xf numFmtId="42" fontId="4" fillId="0" borderId="0" xfId="0" applyNumberFormat="1" applyFont="1" applyFill="1" applyAlignment="1" applyProtection="1">
      <alignment horizontal="right"/>
      <protection locked="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quotePrefix="1" applyFill="1" applyAlignment="1">
      <alignment horizontal="center"/>
    </xf>
    <xf numFmtId="166" fontId="0" fillId="0" borderId="0" xfId="0" applyNumberFormat="1" applyFill="1"/>
    <xf numFmtId="0" fontId="0" fillId="0" borderId="0" xfId="0" applyFill="1" applyAlignment="1">
      <alignment horizontal="center"/>
    </xf>
    <xf numFmtId="167" fontId="0" fillId="0" borderId="0" xfId="0" applyNumberFormat="1" applyFill="1"/>
    <xf numFmtId="0" fontId="9" fillId="0" borderId="0" xfId="0" applyFont="1" applyFill="1" applyAlignment="1">
      <alignment horizontal="right"/>
    </xf>
    <xf numFmtId="165" fontId="10" fillId="0" borderId="0" xfId="0" applyNumberFormat="1" applyFont="1" applyFill="1"/>
    <xf numFmtId="43" fontId="9" fillId="0" borderId="0" xfId="0" applyNumberFormat="1" applyFont="1" applyFill="1"/>
    <xf numFmtId="165" fontId="9" fillId="0" borderId="0" xfId="0" applyNumberFormat="1" applyFont="1" applyFill="1"/>
    <xf numFmtId="169" fontId="2" fillId="0" borderId="6" xfId="0" applyNumberFormat="1" applyFont="1" applyFill="1" applyBorder="1"/>
    <xf numFmtId="167" fontId="0" fillId="0" borderId="0" xfId="0" applyNumberFormat="1" applyFont="1" applyFill="1"/>
    <xf numFmtId="0" fontId="12" fillId="0" borderId="0" xfId="0" applyFont="1" applyFill="1"/>
    <xf numFmtId="167" fontId="4" fillId="0" borderId="0" xfId="0" applyNumberFormat="1" applyFont="1" applyAlignment="1">
      <alignment horizontal="right"/>
    </xf>
    <xf numFmtId="10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42" fontId="14" fillId="0" borderId="0" xfId="0" applyNumberFormat="1" applyFont="1" applyFill="1"/>
    <xf numFmtId="42" fontId="14" fillId="0" borderId="0" xfId="0" applyNumberFormat="1" applyFont="1" applyFill="1"/>
    <xf numFmtId="41" fontId="14" fillId="0" borderId="0" xfId="0" applyNumberFormat="1" applyFont="1" applyFill="1"/>
    <xf numFmtId="42" fontId="14" fillId="0" borderId="4" xfId="0" applyNumberFormat="1" applyFont="1" applyFill="1" applyBorder="1"/>
    <xf numFmtId="42" fontId="14" fillId="0" borderId="4" xfId="0" applyNumberFormat="1" applyFont="1" applyFill="1" applyBorder="1"/>
    <xf numFmtId="0" fontId="15" fillId="0" borderId="0" xfId="0" applyFont="1" applyFill="1"/>
    <xf numFmtId="0" fontId="14" fillId="0" borderId="5" xfId="0" applyFont="1" applyFill="1" applyBorder="1" applyAlignment="1">
      <alignment horizontal="centerContinuous"/>
    </xf>
    <xf numFmtId="168" fontId="14" fillId="0" borderId="10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Continuous"/>
    </xf>
    <xf numFmtId="0" fontId="14" fillId="0" borderId="0" xfId="0" applyFont="1" applyFill="1"/>
    <xf numFmtId="42" fontId="14" fillId="0" borderId="11" xfId="0" applyNumberFormat="1" applyFont="1" applyFill="1" applyBorder="1"/>
    <xf numFmtId="0" fontId="14" fillId="0" borderId="7" xfId="0" applyFont="1" applyFill="1" applyBorder="1" applyAlignment="1">
      <alignment horizontal="center"/>
    </xf>
    <xf numFmtId="41" fontId="14" fillId="0" borderId="11" xfId="0" applyNumberFormat="1" applyFont="1" applyFill="1" applyBorder="1"/>
    <xf numFmtId="0" fontId="14" fillId="0" borderId="9" xfId="0" applyFont="1" applyFill="1" applyBorder="1" applyAlignment="1">
      <alignment horizontal="center"/>
    </xf>
    <xf numFmtId="42" fontId="14" fillId="0" borderId="12" xfId="0" applyNumberFormat="1" applyFont="1" applyFill="1" applyBorder="1"/>
    <xf numFmtId="0" fontId="14" fillId="0" borderId="8" xfId="0" applyFont="1" applyFill="1" applyBorder="1" applyAlignment="1">
      <alignment horizontal="center"/>
    </xf>
    <xf numFmtId="37" fontId="16" fillId="0" borderId="0" xfId="0" applyNumberFormat="1" applyFont="1" applyFill="1"/>
    <xf numFmtId="167" fontId="14" fillId="0" borderId="0" xfId="0" applyNumberFormat="1" applyFont="1" applyFill="1" applyAlignment="1">
      <alignment horizontal="left"/>
    </xf>
    <xf numFmtId="10" fontId="14" fillId="0" borderId="0" xfId="0" applyNumberFormat="1" applyFont="1" applyFill="1"/>
    <xf numFmtId="0" fontId="14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/>
    <xf numFmtId="42" fontId="0" fillId="0" borderId="0" xfId="0" applyNumberFormat="1"/>
    <xf numFmtId="42" fontId="0" fillId="0" borderId="0" xfId="0" quotePrefix="1" applyNumberFormat="1" applyFill="1" applyAlignment="1">
      <alignment horizontal="center"/>
    </xf>
    <xf numFmtId="42" fontId="0" fillId="0" borderId="0" xfId="0" applyNumberFormat="1" applyFill="1"/>
    <xf numFmtId="42" fontId="1" fillId="0" borderId="0" xfId="0" applyNumberFormat="1" applyFont="1" applyFill="1"/>
    <xf numFmtId="42" fontId="0" fillId="0" borderId="0" xfId="0" applyNumberFormat="1" applyFont="1" applyFill="1"/>
    <xf numFmtId="42" fontId="3" fillId="0" borderId="0" xfId="0" applyNumberFormat="1" applyFont="1" applyFill="1"/>
    <xf numFmtId="167" fontId="0" fillId="0" borderId="0" xfId="0" applyNumberFormat="1" applyFont="1" applyFill="1"/>
    <xf numFmtId="42" fontId="0" fillId="0" borderId="0" xfId="0" applyNumberFormat="1" applyFill="1" applyAlignment="1">
      <alignment horizontal="center"/>
    </xf>
    <xf numFmtId="42" fontId="3" fillId="0" borderId="0" xfId="0" applyNumberFormat="1" applyFont="1" applyFill="1"/>
    <xf numFmtId="42" fontId="3" fillId="0" borderId="0" xfId="0" applyNumberFormat="1" applyFont="1" applyFill="1"/>
    <xf numFmtId="42" fontId="3" fillId="0" borderId="0" xfId="0" applyNumberFormat="1" applyFont="1" applyFill="1"/>
    <xf numFmtId="165" fontId="3" fillId="0" borderId="0" xfId="0" applyNumberFormat="1" applyFont="1" applyFill="1"/>
    <xf numFmtId="166" fontId="3" fillId="0" borderId="0" xfId="0" applyNumberFormat="1" applyFont="1" applyFill="1"/>
    <xf numFmtId="166" fontId="3" fillId="0" borderId="4" xfId="0" applyNumberFormat="1" applyFont="1" applyFill="1" applyBorder="1"/>
    <xf numFmtId="167" fontId="0" fillId="0" borderId="4" xfId="0" applyNumberFormat="1" applyFont="1" applyFill="1" applyBorder="1"/>
    <xf numFmtId="0" fontId="7" fillId="0" borderId="0" xfId="0" applyFont="1" applyFill="1" applyAlignment="1">
      <alignment horizontal="centerContinuous"/>
    </xf>
    <xf numFmtId="169" fontId="1" fillId="0" borderId="6" xfId="0" applyNumberFormat="1" applyFont="1" applyFill="1" applyBorder="1"/>
    <xf numFmtId="165" fontId="30" fillId="0" borderId="0" xfId="0" applyNumberFormat="1" applyFont="1"/>
    <xf numFmtId="0" fontId="31" fillId="0" borderId="0" xfId="0" applyFont="1" applyFill="1"/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9" defaultPivotStyle="PivotStyleLight16"/>
  <colors>
    <mruColors>
      <color rgb="FF66FF66"/>
      <color rgb="FF0000FF"/>
      <color rgb="FFCCFF33"/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Variances"/>
      <sheetName val="E &amp; G RB"/>
      <sheetName val="Dec 2020 BS"/>
      <sheetName val="2020 Dec IS "/>
      <sheetName val="SAP DL Downld"/>
      <sheetName val="Meter count Updated"/>
      <sheetName val="Electric"/>
      <sheetName val="Gas"/>
      <sheetName val="Combined-2020"/>
      <sheetName val="DLReconBBS"/>
      <sheetName val="Elect. Customer Counts Pg 10a  "/>
      <sheetName val="Gas Customer Counts Pg 10b"/>
    </sheetNames>
    <sheetDataSet>
      <sheetData sheetId="0">
        <row r="9">
          <cell r="E9">
            <v>0.58140000000000003</v>
          </cell>
          <cell r="F9">
            <v>0.41860000000000003</v>
          </cell>
        </row>
        <row r="43">
          <cell r="G43">
            <v>0.49083053809347571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==&gt;"/>
      <sheetName val="JE719"/>
      <sheetName val="Labor"/>
      <sheetName val="Order Settlement Percents"/>
      <sheetName val="report_Manager_and_Above 2020"/>
      <sheetName val="invoices"/>
    </sheetNames>
    <sheetDataSet>
      <sheetData sheetId="0"/>
      <sheetData sheetId="1"/>
      <sheetData sheetId="2">
        <row r="1">
          <cell r="B1" t="str">
            <v/>
          </cell>
          <cell r="C1" t="str">
            <v/>
          </cell>
          <cell r="D1" t="str">
            <v>Amount</v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>Amount</v>
          </cell>
        </row>
        <row r="2">
          <cell r="B2" t="str">
            <v>Project type</v>
          </cell>
          <cell r="C2" t="str">
            <v/>
          </cell>
          <cell r="D2" t="str">
            <v>$</v>
          </cell>
          <cell r="F2" t="str">
            <v>Project type</v>
          </cell>
          <cell r="H2" t="str">
            <v>WBS Element</v>
          </cell>
          <cell r="J2" t="str">
            <v>CO Order</v>
          </cell>
          <cell r="K2" t="str">
            <v/>
          </cell>
          <cell r="L2" t="str">
            <v>$</v>
          </cell>
        </row>
        <row r="3">
          <cell r="B3" t="str">
            <v>CA</v>
          </cell>
          <cell r="C3" t="str">
            <v>Capital</v>
          </cell>
          <cell r="D3">
            <v>2625187.1</v>
          </cell>
          <cell r="F3" t="str">
            <v>DF</v>
          </cell>
          <cell r="G3" t="str">
            <v>Deferred</v>
          </cell>
          <cell r="H3" t="str">
            <v>C.00002.01.01.01</v>
          </cell>
          <cell r="I3" t="str">
            <v>401k</v>
          </cell>
          <cell r="J3" t="str">
            <v>18490290</v>
          </cell>
          <cell r="K3" t="str">
            <v>Benefits-401k</v>
          </cell>
          <cell r="L3">
            <v>4141.04</v>
          </cell>
        </row>
        <row r="4">
          <cell r="B4" t="str">
            <v>CP</v>
          </cell>
          <cell r="C4" t="str">
            <v>Power Costs</v>
          </cell>
          <cell r="D4">
            <v>670641.66</v>
          </cell>
          <cell r="F4" t="str">
            <v>DF</v>
          </cell>
          <cell r="G4" t="str">
            <v>Deferred</v>
          </cell>
          <cell r="H4" t="str">
            <v>C.00002.01.01.05</v>
          </cell>
          <cell r="I4" t="str">
            <v>Health and Welfare</v>
          </cell>
          <cell r="J4" t="str">
            <v>18490292</v>
          </cell>
          <cell r="K4" t="str">
            <v>Benefits-Health &amp; Welfare</v>
          </cell>
          <cell r="L4">
            <v>4141.04</v>
          </cell>
        </row>
        <row r="5">
          <cell r="B5" t="str">
            <v>DF</v>
          </cell>
          <cell r="C5" t="str">
            <v>Deferred</v>
          </cell>
          <cell r="D5">
            <v>5999904.6399999997</v>
          </cell>
          <cell r="F5" t="str">
            <v>DF</v>
          </cell>
          <cell r="G5" t="str">
            <v>Deferred</v>
          </cell>
          <cell r="H5" t="str">
            <v>C.00002.01.01.06</v>
          </cell>
          <cell r="I5" t="str">
            <v>Leaves and Workers Compensation</v>
          </cell>
          <cell r="J5" t="str">
            <v>18490293</v>
          </cell>
          <cell r="K5" t="str">
            <v>Benefits-Leaves &amp; Workers Comp</v>
          </cell>
          <cell r="L5">
            <v>4141.04</v>
          </cell>
        </row>
        <row r="6">
          <cell r="B6" t="str">
            <v>NU</v>
          </cell>
          <cell r="C6" t="str">
            <v>Non-Utility (BTL)</v>
          </cell>
          <cell r="D6">
            <v>371971.82</v>
          </cell>
          <cell r="F6" t="str">
            <v>DF</v>
          </cell>
          <cell r="G6" t="str">
            <v>Deferred</v>
          </cell>
          <cell r="H6" t="str">
            <v>C.00002.01.01.07</v>
          </cell>
          <cell r="I6" t="str">
            <v>Manage and Administer Benefits</v>
          </cell>
          <cell r="J6" t="str">
            <v>18490294</v>
          </cell>
          <cell r="K6" t="str">
            <v>Benefits-Manage &amp; Administer Benefits</v>
          </cell>
          <cell r="L6">
            <v>158695.76999999999</v>
          </cell>
        </row>
        <row r="7">
          <cell r="B7" t="str">
            <v>OM</v>
          </cell>
          <cell r="C7" t="str">
            <v>O&amp;M</v>
          </cell>
          <cell r="D7">
            <v>23859203.039999999</v>
          </cell>
          <cell r="F7" t="str">
            <v>DF</v>
          </cell>
          <cell r="G7" t="str">
            <v>Deferred</v>
          </cell>
          <cell r="H7" t="str">
            <v>C.00002.01.01.08</v>
          </cell>
          <cell r="I7" t="str">
            <v>Pension</v>
          </cell>
          <cell r="J7" t="str">
            <v>18490295</v>
          </cell>
          <cell r="K7" t="str">
            <v>Benefits-Pension</v>
          </cell>
          <cell r="L7">
            <v>4141.04</v>
          </cell>
        </row>
        <row r="8">
          <cell r="B8" t="str">
            <v>OS</v>
          </cell>
          <cell r="C8" t="str">
            <v>O&amp;M Storm</v>
          </cell>
          <cell r="D8">
            <v>107892.9</v>
          </cell>
          <cell r="F8" t="str">
            <v>DF</v>
          </cell>
          <cell r="G8" t="str">
            <v>Deferred</v>
          </cell>
          <cell r="H8" t="str">
            <v>C.00002.01.02.01</v>
          </cell>
          <cell r="I8" t="str">
            <v>PTO Clearing</v>
          </cell>
          <cell r="J8" t="str">
            <v>23290010</v>
          </cell>
          <cell r="K8" t="str">
            <v>PTO Debit Order</v>
          </cell>
          <cell r="L8">
            <v>3739459.82</v>
          </cell>
        </row>
        <row r="9">
          <cell r="B9" t="str">
            <v>Overall Result</v>
          </cell>
          <cell r="D9">
            <v>33634801.159999996</v>
          </cell>
          <cell r="F9" t="str">
            <v>DF</v>
          </cell>
          <cell r="G9" t="str">
            <v>Deferred</v>
          </cell>
          <cell r="H9" t="str">
            <v>C.00002.01.03.01</v>
          </cell>
          <cell r="I9" t="str">
            <v>Stores OH</v>
          </cell>
          <cell r="J9" t="str">
            <v>16390010</v>
          </cell>
          <cell r="K9" t="str">
            <v>Pool debit order for Stores OH</v>
          </cell>
          <cell r="L9">
            <v>77953.86</v>
          </cell>
        </row>
        <row r="10">
          <cell r="F10" t="str">
            <v>DF</v>
          </cell>
          <cell r="G10" t="str">
            <v>Deferred</v>
          </cell>
          <cell r="H10" t="str">
            <v>C.00002.01.04.05</v>
          </cell>
          <cell r="I10" t="str">
            <v>Micro Rate Energy Efficient Svs</v>
          </cell>
          <cell r="J10" t="str">
            <v>18231330</v>
          </cell>
          <cell r="K10" t="str">
            <v>Micro Rate -Eng Eff Svs Cap Debit order</v>
          </cell>
          <cell r="L10">
            <v>719079.04</v>
          </cell>
        </row>
        <row r="11">
          <cell r="F11" t="str">
            <v>DF</v>
          </cell>
          <cell r="G11" t="str">
            <v>Deferred</v>
          </cell>
          <cell r="H11" t="str">
            <v>C.99997.02.02.01</v>
          </cell>
          <cell r="I11" t="str">
            <v>LNG Outreach Campaign Combined</v>
          </cell>
          <cell r="J11" t="str">
            <v>170500060</v>
          </cell>
          <cell r="K11" t="str">
            <v>LNG Outreach Campaign - Common</v>
          </cell>
          <cell r="L11">
            <v>539.1</v>
          </cell>
        </row>
        <row r="12">
          <cell r="F12" t="str">
            <v>DF</v>
          </cell>
          <cell r="G12" t="str">
            <v>Deferred</v>
          </cell>
          <cell r="H12" t="str">
            <v>C.99998.02.04.02</v>
          </cell>
          <cell r="I12" t="str">
            <v>Fleet Cost Electric TD</v>
          </cell>
          <cell r="J12" t="str">
            <v>18400160</v>
          </cell>
          <cell r="K12" t="str">
            <v>4520 General &amp; Admin Expenses - Electric</v>
          </cell>
          <cell r="L12">
            <v>49812.84</v>
          </cell>
        </row>
        <row r="13">
          <cell r="F13" t="str">
            <v>DF</v>
          </cell>
          <cell r="G13" t="str">
            <v>Deferred</v>
          </cell>
          <cell r="H13" t="str">
            <v>C.99998.02.04.03</v>
          </cell>
          <cell r="I13" t="str">
            <v>Fleet Cost Generation</v>
          </cell>
          <cell r="J13" t="str">
            <v>18400166</v>
          </cell>
          <cell r="K13" t="str">
            <v>4520 General &amp; Admin Expenses - Gene</v>
          </cell>
          <cell r="L13">
            <v>13947.78</v>
          </cell>
        </row>
        <row r="14">
          <cell r="F14" t="str">
            <v>DF</v>
          </cell>
          <cell r="G14" t="str">
            <v>Deferred</v>
          </cell>
          <cell r="H14" t="str">
            <v>C.99998.02.04.04</v>
          </cell>
          <cell r="I14" t="str">
            <v>Fleet Cost Gas Ops</v>
          </cell>
          <cell r="J14" t="str">
            <v>18400164</v>
          </cell>
          <cell r="K14" t="str">
            <v>4520 General &amp; Admin Expenses - Gas</v>
          </cell>
          <cell r="L14">
            <v>35865.06</v>
          </cell>
        </row>
        <row r="15">
          <cell r="F15" t="str">
            <v>DF</v>
          </cell>
          <cell r="G15" t="str">
            <v>Deferred</v>
          </cell>
          <cell r="H15" t="str">
            <v>C.99999.02.06.03</v>
          </cell>
          <cell r="I15" t="str">
            <v>$650M Liquid Credit Facility PSE 2013</v>
          </cell>
          <cell r="J15" t="str">
            <v>18600038</v>
          </cell>
          <cell r="K15" t="str">
            <v>1110 - $650M Liquid CR Facility PSE2013</v>
          </cell>
          <cell r="L15">
            <v>0</v>
          </cell>
        </row>
        <row r="16">
          <cell r="F16" t="str">
            <v>DF</v>
          </cell>
          <cell r="G16" t="str">
            <v>Deferred</v>
          </cell>
          <cell r="H16" t="str">
            <v>C.99999.02.06.04</v>
          </cell>
          <cell r="I16" t="str">
            <v>Puget Intermediate</v>
          </cell>
          <cell r="J16" t="str">
            <v>149080016</v>
          </cell>
          <cell r="K16" t="str">
            <v>PI-General &amp; Administrative - CC 7101</v>
          </cell>
          <cell r="L16">
            <v>11321.52</v>
          </cell>
        </row>
        <row r="17">
          <cell r="F17" t="str">
            <v>DF</v>
          </cell>
          <cell r="G17" t="str">
            <v>Deferred</v>
          </cell>
          <cell r="H17" t="str">
            <v>C.99999.02.06.11</v>
          </cell>
          <cell r="I17" t="str">
            <v>Equico</v>
          </cell>
          <cell r="J17" t="str">
            <v>149090005</v>
          </cell>
          <cell r="K17" t="str">
            <v>Equico-General &amp; Administrative- CC 7102</v>
          </cell>
          <cell r="L17">
            <v>7836.01</v>
          </cell>
        </row>
        <row r="18">
          <cell r="F18" t="str">
            <v>DF</v>
          </cell>
          <cell r="G18" t="str">
            <v>Deferred</v>
          </cell>
          <cell r="H18" t="str">
            <v>C.99999.02.06.12</v>
          </cell>
          <cell r="I18" t="str">
            <v>Puget Energy</v>
          </cell>
          <cell r="J18" t="str">
            <v>149060028</v>
          </cell>
          <cell r="K18" t="str">
            <v>PE-General &amp; Administrative - CC 7103</v>
          </cell>
          <cell r="L18">
            <v>185743.3</v>
          </cell>
        </row>
        <row r="19">
          <cell r="F19" t="str">
            <v>DF</v>
          </cell>
          <cell r="G19" t="str">
            <v>Deferred</v>
          </cell>
          <cell r="H19" t="str">
            <v>C.99999.02.06.13</v>
          </cell>
          <cell r="I19" t="str">
            <v>Puget Holdings</v>
          </cell>
          <cell r="J19" t="str">
            <v>149070005</v>
          </cell>
          <cell r="K19" t="str">
            <v>PH-General &amp; Administrative - CC 7100</v>
          </cell>
          <cell r="L19">
            <v>73122.45</v>
          </cell>
        </row>
        <row r="20">
          <cell r="F20" t="str">
            <v>DF</v>
          </cell>
          <cell r="G20" t="str">
            <v>Deferred</v>
          </cell>
          <cell r="H20" t="str">
            <v>C.99999.02.06.13</v>
          </cell>
          <cell r="I20" t="str">
            <v>Puget Holdings</v>
          </cell>
          <cell r="J20" t="str">
            <v>149070006</v>
          </cell>
          <cell r="K20" t="str">
            <v>PH Outside Services</v>
          </cell>
          <cell r="L20">
            <v>19866.48</v>
          </cell>
        </row>
        <row r="21">
          <cell r="F21" t="str">
            <v>DF</v>
          </cell>
          <cell r="G21" t="str">
            <v>Deferred</v>
          </cell>
          <cell r="H21" t="str">
            <v>C.99999.02.06.13</v>
          </cell>
          <cell r="I21" t="str">
            <v>Puget Holdings</v>
          </cell>
          <cell r="J21" t="str">
            <v>149070009</v>
          </cell>
          <cell r="K21" t="str">
            <v>PH Valuation Model Project</v>
          </cell>
          <cell r="L21">
            <v>805.76</v>
          </cell>
        </row>
        <row r="22">
          <cell r="F22" t="str">
            <v>DF</v>
          </cell>
          <cell r="G22" t="str">
            <v>Deferred</v>
          </cell>
          <cell r="H22" t="str">
            <v>C.99999.02.06.13</v>
          </cell>
          <cell r="I22" t="str">
            <v>Puget Holdings</v>
          </cell>
          <cell r="J22" t="str">
            <v>149070010</v>
          </cell>
          <cell r="K22" t="str">
            <v>PH Project Puma # CC 7100</v>
          </cell>
          <cell r="L22">
            <v>8927.26</v>
          </cell>
        </row>
        <row r="23">
          <cell r="F23" t="str">
            <v>DF</v>
          </cell>
          <cell r="G23" t="str">
            <v>Deferred</v>
          </cell>
          <cell r="H23" t="str">
            <v>C.99999.07.03.11</v>
          </cell>
          <cell r="I23" t="str">
            <v>JO Non Temporary Corp Acctg</v>
          </cell>
          <cell r="J23" t="str">
            <v>186056891</v>
          </cell>
          <cell r="K23" t="str">
            <v>1803E001   Stony Lake 200 MW Battery Ene</v>
          </cell>
          <cell r="L23">
            <v>161.72999999999999</v>
          </cell>
        </row>
        <row r="24">
          <cell r="F24" t="str">
            <v>DF</v>
          </cell>
          <cell r="G24" t="str">
            <v>Deferred</v>
          </cell>
          <cell r="H24" t="str">
            <v>C.99999.07.03.11</v>
          </cell>
          <cell r="I24" t="str">
            <v>JO Non Temporary Corp Acctg</v>
          </cell>
          <cell r="J24" t="str">
            <v>186056977</v>
          </cell>
          <cell r="K24" t="str">
            <v>2709E024   Goldbar Line and Load Facilit</v>
          </cell>
          <cell r="L24">
            <v>365.25</v>
          </cell>
        </row>
        <row r="25">
          <cell r="F25" t="str">
            <v>DF</v>
          </cell>
          <cell r="G25" t="str">
            <v>Deferred</v>
          </cell>
          <cell r="H25" t="str">
            <v>C.99999.07.03.26</v>
          </cell>
          <cell r="I25" t="str">
            <v>JO Revenue Corp Acctg</v>
          </cell>
          <cell r="J25" t="str">
            <v>18600104</v>
          </cell>
          <cell r="K25" t="str">
            <v>Job Order - PWI - General &amp; Administrat</v>
          </cell>
          <cell r="L25">
            <v>100551.53</v>
          </cell>
        </row>
        <row r="26">
          <cell r="F26" t="str">
            <v>DF</v>
          </cell>
          <cell r="G26" t="str">
            <v>Deferred</v>
          </cell>
          <cell r="H26" t="str">
            <v>K.99999.02.03.02</v>
          </cell>
          <cell r="I26" t="str">
            <v>LNG Plant Capital Combined</v>
          </cell>
          <cell r="J26" t="str">
            <v>170000005</v>
          </cell>
          <cell r="K26" t="str">
            <v>LNG Plant - Common Construction</v>
          </cell>
          <cell r="L26">
            <v>88079.64</v>
          </cell>
        </row>
        <row r="27">
          <cell r="F27" t="str">
            <v>DF</v>
          </cell>
          <cell r="G27" t="str">
            <v>Deferred</v>
          </cell>
          <cell r="H27" t="str">
            <v>K.99999.02.03.02</v>
          </cell>
          <cell r="I27" t="str">
            <v>LNG Plant Capital Combined</v>
          </cell>
          <cell r="J27" t="str">
            <v>170000100</v>
          </cell>
          <cell r="K27" t="str">
            <v>LNG Operational Project Management 43/57</v>
          </cell>
          <cell r="L27">
            <v>14234.89</v>
          </cell>
        </row>
        <row r="28">
          <cell r="F28" t="str">
            <v>DF</v>
          </cell>
          <cell r="G28" t="str">
            <v>Deferred</v>
          </cell>
          <cell r="H28" t="str">
            <v>K.99999.02.03.02</v>
          </cell>
          <cell r="I28" t="str">
            <v>LNG Plant Capital Combined</v>
          </cell>
          <cell r="J28" t="str">
            <v>170000120</v>
          </cell>
          <cell r="K28" t="str">
            <v>LNG OPERATIONAL WORKSHOP PARTICIPATION</v>
          </cell>
          <cell r="L28">
            <v>326.97000000000003</v>
          </cell>
        </row>
        <row r="29">
          <cell r="F29" t="str">
            <v>DF</v>
          </cell>
          <cell r="G29" t="str">
            <v>Deferred</v>
          </cell>
          <cell r="H29" t="str">
            <v>K.99999.02.03.02</v>
          </cell>
          <cell r="I29" t="str">
            <v>LNG Plant Capital Combined</v>
          </cell>
          <cell r="J29" t="str">
            <v>170000121</v>
          </cell>
          <cell r="K29" t="str">
            <v>LNG BE IT - Energy Ops Apps SOF 43/57</v>
          </cell>
          <cell r="L29">
            <v>11310.66</v>
          </cell>
        </row>
        <row r="30">
          <cell r="F30" t="str">
            <v>DF</v>
          </cell>
          <cell r="G30" t="str">
            <v>Deferred</v>
          </cell>
          <cell r="H30" t="str">
            <v>K.99999.02.03.02</v>
          </cell>
          <cell r="I30" t="str">
            <v>LNG Plant Capital Combined</v>
          </cell>
          <cell r="J30" t="str">
            <v>170000141</v>
          </cell>
          <cell r="K30" t="str">
            <v>LNG BE IT - SAP for PLNG, incl M2C  SOF</v>
          </cell>
          <cell r="L30">
            <v>5656.39</v>
          </cell>
        </row>
        <row r="31">
          <cell r="F31" t="str">
            <v>DF</v>
          </cell>
          <cell r="G31" t="str">
            <v>Deferred</v>
          </cell>
          <cell r="H31" t="str">
            <v>K.99999.02.03.02</v>
          </cell>
          <cell r="I31" t="str">
            <v>LNG Plant Capital Combined</v>
          </cell>
          <cell r="J31" t="str">
            <v>170000142</v>
          </cell>
          <cell r="K31" t="str">
            <v>LNG BE IT - Endur Enhancements SOF 100/0</v>
          </cell>
          <cell r="L31">
            <v>9232.69</v>
          </cell>
        </row>
        <row r="32">
          <cell r="F32" t="str">
            <v>DF</v>
          </cell>
          <cell r="G32" t="str">
            <v>Deferred</v>
          </cell>
          <cell r="H32" t="str">
            <v>K.99999.02.03.02</v>
          </cell>
          <cell r="I32" t="str">
            <v>LNG Plant Capital Combined</v>
          </cell>
          <cell r="J32" t="str">
            <v>170000144</v>
          </cell>
          <cell r="K32" t="str">
            <v>LNG BE Process - Meter to Cash SOF 0/100</v>
          </cell>
          <cell r="L32">
            <v>4549.93</v>
          </cell>
        </row>
        <row r="33">
          <cell r="F33" t="str">
            <v>DF</v>
          </cell>
          <cell r="G33" t="str">
            <v>Deferred</v>
          </cell>
          <cell r="H33" t="str">
            <v>K.99999.02.03.02</v>
          </cell>
          <cell r="I33" t="str">
            <v>LNG Plant Capital Combined</v>
          </cell>
          <cell r="J33" t="str">
            <v>170000145</v>
          </cell>
          <cell r="K33" t="str">
            <v>LNG BE IT - Custom Tech &amp; Reporting SOF</v>
          </cell>
          <cell r="L33">
            <v>1059.25</v>
          </cell>
        </row>
        <row r="34">
          <cell r="F34" t="str">
            <v>DF</v>
          </cell>
          <cell r="G34" t="str">
            <v>Deferred</v>
          </cell>
          <cell r="H34" t="str">
            <v>K.99999.02.03.04</v>
          </cell>
          <cell r="I34" t="str">
            <v>LNG Plant OM Combined</v>
          </cell>
          <cell r="J34" t="str">
            <v>170500004</v>
          </cell>
          <cell r="K34" t="str">
            <v>PLNG Fuel Marketing - 0/100 O&amp;M Internal</v>
          </cell>
          <cell r="L34">
            <v>54673.88</v>
          </cell>
        </row>
        <row r="35">
          <cell r="F35" t="str">
            <v>DF</v>
          </cell>
          <cell r="G35" t="str">
            <v>Deferred</v>
          </cell>
          <cell r="H35" t="str">
            <v>K.99999.02.17.01</v>
          </cell>
          <cell r="I35" t="str">
            <v>JP Deferred 100 Percent Ownership</v>
          </cell>
          <cell r="J35" t="str">
            <v>151814100</v>
          </cell>
          <cell r="K35" t="str">
            <v>Jackson Prairie-Operation Supv &amp; Eng.</v>
          </cell>
          <cell r="L35">
            <v>189350.96</v>
          </cell>
        </row>
        <row r="36">
          <cell r="F36" t="str">
            <v>DF</v>
          </cell>
          <cell r="G36" t="str">
            <v>Deferred</v>
          </cell>
          <cell r="H36" t="str">
            <v>K.99999.02.17.01</v>
          </cell>
          <cell r="I36" t="str">
            <v>JP Deferred 100 Percent Ownership</v>
          </cell>
          <cell r="J36" t="str">
            <v>151830100</v>
          </cell>
          <cell r="K36" t="str">
            <v>Jackson Prairie-Maint. Supv &amp; Engineerng</v>
          </cell>
          <cell r="L36">
            <v>189350.96</v>
          </cell>
        </row>
        <row r="37">
          <cell r="F37" t="str">
            <v>DF</v>
          </cell>
          <cell r="G37" t="str">
            <v>Deferred</v>
          </cell>
          <cell r="H37" t="str">
            <v>X.99999.02.03.01</v>
          </cell>
          <cell r="I37" t="str">
            <v>EE Regulatory Evaluation Research Elec</v>
          </cell>
          <cell r="J37" t="str">
            <v>18230408</v>
          </cell>
          <cell r="K37" t="str">
            <v>4400 - Customer Online Experience - Elec</v>
          </cell>
          <cell r="L37">
            <v>4787.43</v>
          </cell>
        </row>
        <row r="38">
          <cell r="F38" t="str">
            <v>DF</v>
          </cell>
          <cell r="G38" t="str">
            <v>Deferred</v>
          </cell>
          <cell r="H38" t="str">
            <v>X.99999.02.03.01</v>
          </cell>
          <cell r="I38" t="str">
            <v>EE Regulatory Evaluation Research Elec</v>
          </cell>
          <cell r="J38" t="str">
            <v>18230421</v>
          </cell>
          <cell r="K38" t="str">
            <v>4430 - Northwest Energy Efficiency Allia</v>
          </cell>
          <cell r="L38">
            <v>646.91999999999996</v>
          </cell>
        </row>
        <row r="39">
          <cell r="F39" t="str">
            <v>DF</v>
          </cell>
          <cell r="G39" t="str">
            <v>Deferred</v>
          </cell>
          <cell r="H39" t="str">
            <v>X.99999.02.03.01</v>
          </cell>
          <cell r="I39" t="str">
            <v>EE Regulatory Evaluation Research Elec</v>
          </cell>
          <cell r="J39" t="str">
            <v>18230466</v>
          </cell>
          <cell r="K39" t="str">
            <v>4423 - EES Market Integration - Electric</v>
          </cell>
          <cell r="L39">
            <v>19924.8</v>
          </cell>
        </row>
        <row r="40">
          <cell r="F40" t="str">
            <v>DF</v>
          </cell>
          <cell r="G40" t="str">
            <v>Deferred</v>
          </cell>
          <cell r="H40" t="str">
            <v>X.99999.02.03.01</v>
          </cell>
          <cell r="I40" t="str">
            <v>EE Regulatory Evaluation Research Elec</v>
          </cell>
          <cell r="J40" t="str">
            <v>18230469</v>
          </cell>
          <cell r="K40" t="str">
            <v>4420-Conservation Strategic Planning-Ele</v>
          </cell>
          <cell r="L40">
            <v>33919.93</v>
          </cell>
        </row>
        <row r="41">
          <cell r="F41" t="str">
            <v>DF</v>
          </cell>
          <cell r="G41" t="str">
            <v>Deferred</v>
          </cell>
          <cell r="H41" t="str">
            <v>X.99999.02.03.01</v>
          </cell>
          <cell r="I41" t="str">
            <v>EE Regulatory Evaluation Research Elec</v>
          </cell>
          <cell r="J41" t="str">
            <v>18230802</v>
          </cell>
          <cell r="K41" t="str">
            <v>4420-Program Evaluation and Research-El</v>
          </cell>
          <cell r="L41">
            <v>11480.48</v>
          </cell>
        </row>
        <row r="42">
          <cell r="F42" t="str">
            <v>DF</v>
          </cell>
          <cell r="G42" t="str">
            <v>Deferred</v>
          </cell>
          <cell r="H42" t="str">
            <v>X.99999.02.03.01</v>
          </cell>
          <cell r="I42" t="str">
            <v>EE Regulatory Evaluation Research Elec</v>
          </cell>
          <cell r="J42" t="str">
            <v>18230811</v>
          </cell>
          <cell r="K42" t="str">
            <v>3545 - Energy Efficient Communities Elec</v>
          </cell>
          <cell r="L42">
            <v>30911.49</v>
          </cell>
        </row>
        <row r="43">
          <cell r="F43" t="str">
            <v>DF</v>
          </cell>
          <cell r="G43" t="str">
            <v>Deferred</v>
          </cell>
          <cell r="H43" t="str">
            <v>X.99999.02.03.02</v>
          </cell>
          <cell r="I43" t="str">
            <v>EE Regulatory Evaluation Research Gas</v>
          </cell>
          <cell r="J43" t="str">
            <v>18230657</v>
          </cell>
          <cell r="K43" t="str">
            <v>3545 - Energy Efficient Communities Gas</v>
          </cell>
          <cell r="L43">
            <v>4851</v>
          </cell>
        </row>
        <row r="44">
          <cell r="F44" t="str">
            <v>DF</v>
          </cell>
          <cell r="G44" t="str">
            <v>Deferred</v>
          </cell>
          <cell r="H44" t="str">
            <v>X.99999.02.03.02</v>
          </cell>
          <cell r="I44" t="str">
            <v>EE Regulatory Evaluation Research Gas</v>
          </cell>
          <cell r="J44" t="str">
            <v>18230679</v>
          </cell>
          <cell r="K44" t="str">
            <v>4420-Conservation Strategic Planning-Gas</v>
          </cell>
          <cell r="L44">
            <v>5218.7299999999996</v>
          </cell>
        </row>
        <row r="45">
          <cell r="F45" t="str">
            <v>DF</v>
          </cell>
          <cell r="G45" t="str">
            <v>Deferred</v>
          </cell>
          <cell r="H45" t="str">
            <v>X.99999.02.03.02</v>
          </cell>
          <cell r="I45" t="str">
            <v>EE Regulatory Evaluation Research Gas</v>
          </cell>
          <cell r="J45" t="str">
            <v>18230699</v>
          </cell>
          <cell r="K45" t="str">
            <v>4420-Program Evaluation and Research-Gas</v>
          </cell>
          <cell r="L45">
            <v>1565.74</v>
          </cell>
        </row>
        <row r="46">
          <cell r="F46" t="str">
            <v>DF</v>
          </cell>
          <cell r="G46" t="str">
            <v>Deferred</v>
          </cell>
          <cell r="H46" t="str">
            <v>X.99999.02.03.02</v>
          </cell>
          <cell r="I46" t="str">
            <v>EE Regulatory Evaluation Research Gas</v>
          </cell>
          <cell r="J46" t="str">
            <v>18230732</v>
          </cell>
          <cell r="K46" t="str">
            <v>4423 - EES Market Integration - Gas</v>
          </cell>
          <cell r="L46">
            <v>2717.4</v>
          </cell>
        </row>
        <row r="47">
          <cell r="F47" t="str">
            <v>DF</v>
          </cell>
          <cell r="G47" t="str">
            <v>Deferred</v>
          </cell>
          <cell r="H47" t="str">
            <v>X.99999.02.03.02</v>
          </cell>
          <cell r="I47" t="str">
            <v>EE Regulatory Evaluation Research Gas</v>
          </cell>
          <cell r="J47" t="str">
            <v>18230737</v>
          </cell>
          <cell r="K47" t="str">
            <v>4400 - Customer Online Experience - Gas</v>
          </cell>
          <cell r="L47">
            <v>905.73</v>
          </cell>
        </row>
        <row r="48">
          <cell r="F48" t="str">
            <v>DF</v>
          </cell>
          <cell r="G48" t="str">
            <v>Deferred</v>
          </cell>
          <cell r="H48" t="str">
            <v>X.99999.02.04.01</v>
          </cell>
          <cell r="I48" t="str">
            <v>Residential Energy Management Electric</v>
          </cell>
          <cell r="J48" t="str">
            <v>18230411</v>
          </cell>
          <cell r="K48" t="str">
            <v>4445 - Automated Benchmarking System - E</v>
          </cell>
          <cell r="L48">
            <v>1256.48</v>
          </cell>
        </row>
        <row r="49">
          <cell r="F49" t="str">
            <v>DF</v>
          </cell>
          <cell r="G49" t="str">
            <v>Deferred</v>
          </cell>
          <cell r="H49" t="str">
            <v>X.99999.02.04.01</v>
          </cell>
          <cell r="I49" t="str">
            <v>Residential Energy Management Electric</v>
          </cell>
          <cell r="J49" t="str">
            <v>18230434</v>
          </cell>
          <cell r="K49" t="str">
            <v>Energy Star Appliances - Elec Rider</v>
          </cell>
          <cell r="L49">
            <v>5693.16</v>
          </cell>
        </row>
        <row r="50">
          <cell r="F50" t="str">
            <v>DF</v>
          </cell>
          <cell r="G50" t="str">
            <v>Deferred</v>
          </cell>
          <cell r="H50" t="str">
            <v>X.99999.02.04.01</v>
          </cell>
          <cell r="I50" t="str">
            <v>Residential Energy Management Electric</v>
          </cell>
          <cell r="J50" t="str">
            <v>18230440</v>
          </cell>
          <cell r="K50" t="str">
            <v>4430-Engery Efficient Lighting Svc-Elec</v>
          </cell>
          <cell r="L50">
            <v>5693.16</v>
          </cell>
        </row>
        <row r="51">
          <cell r="F51" t="str">
            <v>DF</v>
          </cell>
          <cell r="G51" t="str">
            <v>Deferred</v>
          </cell>
          <cell r="H51" t="str">
            <v>X.99999.02.04.01</v>
          </cell>
          <cell r="I51" t="str">
            <v>Residential Energy Management Electric</v>
          </cell>
          <cell r="J51" t="str">
            <v>18230461</v>
          </cell>
          <cell r="K51" t="str">
            <v>4430 Positive Energy Behav Modif - Elec</v>
          </cell>
          <cell r="L51">
            <v>5693.16</v>
          </cell>
        </row>
        <row r="52">
          <cell r="F52" t="str">
            <v>DF</v>
          </cell>
          <cell r="G52" t="str">
            <v>Deferred</v>
          </cell>
          <cell r="H52" t="str">
            <v>X.99999.02.04.01</v>
          </cell>
          <cell r="I52" t="str">
            <v>Residential Energy Management Electric</v>
          </cell>
          <cell r="J52" t="str">
            <v>18230625</v>
          </cell>
          <cell r="K52" t="str">
            <v>4430 - HomePrint - Electric</v>
          </cell>
          <cell r="L52">
            <v>5693.16</v>
          </cell>
        </row>
        <row r="53">
          <cell r="F53" t="str">
            <v>DF</v>
          </cell>
          <cell r="G53" t="str">
            <v>Deferred</v>
          </cell>
          <cell r="H53" t="str">
            <v>X.99999.02.04.01</v>
          </cell>
          <cell r="I53" t="str">
            <v>Residential Energy Management Electric</v>
          </cell>
          <cell r="J53" t="str">
            <v>18230714</v>
          </cell>
          <cell r="K53" t="str">
            <v>4430- Sch 262 Business Ltg Markdown-Elec</v>
          </cell>
          <cell r="L53">
            <v>5693.16</v>
          </cell>
        </row>
        <row r="54">
          <cell r="F54" t="str">
            <v>DF</v>
          </cell>
          <cell r="G54" t="str">
            <v>Deferred</v>
          </cell>
          <cell r="H54" t="str">
            <v>X.99999.02.04.02</v>
          </cell>
          <cell r="I54" t="str">
            <v>Residential Energy Management Gas</v>
          </cell>
          <cell r="J54" t="str">
            <v>18230637</v>
          </cell>
          <cell r="K54" t="str">
            <v>4430 - SF Existing Wx - Gas</v>
          </cell>
          <cell r="L54">
            <v>5693.16</v>
          </cell>
        </row>
        <row r="55">
          <cell r="F55" t="str">
            <v>DF</v>
          </cell>
          <cell r="G55" t="str">
            <v>Deferred</v>
          </cell>
          <cell r="H55" t="str">
            <v>X.99999.02.04.02</v>
          </cell>
          <cell r="I55" t="str">
            <v>Residential Energy Management Gas</v>
          </cell>
          <cell r="J55" t="str">
            <v>18230667</v>
          </cell>
          <cell r="K55" t="str">
            <v>4445 - Automated Benchmarking System - G</v>
          </cell>
          <cell r="L55">
            <v>739.18</v>
          </cell>
        </row>
        <row r="56">
          <cell r="F56" t="str">
            <v>DF</v>
          </cell>
          <cell r="G56" t="str">
            <v>Deferred</v>
          </cell>
          <cell r="H56" t="str">
            <v>X.99999.02.04.02</v>
          </cell>
          <cell r="I56" t="str">
            <v>Residential Energy Management Gas</v>
          </cell>
          <cell r="J56" t="str">
            <v>18230687</v>
          </cell>
          <cell r="K56" t="str">
            <v>4430 - Sch 214 Web-Enabled Thermostat- G</v>
          </cell>
          <cell r="L56">
            <v>5693.16</v>
          </cell>
        </row>
        <row r="57">
          <cell r="F57" t="str">
            <v>DF</v>
          </cell>
          <cell r="G57" t="str">
            <v>Deferred</v>
          </cell>
          <cell r="H57" t="str">
            <v>X.99999.02.04.02</v>
          </cell>
          <cell r="I57" t="str">
            <v>Residential Energy Management Gas</v>
          </cell>
          <cell r="J57" t="str">
            <v>18231027</v>
          </cell>
          <cell r="K57" t="str">
            <v>4430 - Sch 262 -Comm Kitchen/Laundry-Gas</v>
          </cell>
          <cell r="L57">
            <v>5693.16</v>
          </cell>
        </row>
        <row r="58">
          <cell r="F58" t="str">
            <v>DF</v>
          </cell>
          <cell r="G58" t="str">
            <v>Deferred</v>
          </cell>
          <cell r="H58" t="str">
            <v>X.99999.02.05.01</v>
          </cell>
          <cell r="I58" t="str">
            <v>Business Energy Management Electric</v>
          </cell>
          <cell r="J58" t="str">
            <v>18230711</v>
          </cell>
          <cell r="K58" t="str">
            <v>Sch 250 Elec C/I Energy Efficiency</v>
          </cell>
          <cell r="L58">
            <v>16345.69</v>
          </cell>
        </row>
        <row r="59">
          <cell r="F59" t="str">
            <v>DF</v>
          </cell>
          <cell r="G59" t="str">
            <v>Deferred</v>
          </cell>
          <cell r="H59" t="str">
            <v>X.99999.02.05.01</v>
          </cell>
          <cell r="I59" t="str">
            <v>Business Energy Management Electric</v>
          </cell>
          <cell r="J59" t="str">
            <v>18230715</v>
          </cell>
          <cell r="K59" t="str">
            <v>Sch 251 Elec C/I Energy Efficiency</v>
          </cell>
          <cell r="L59">
            <v>2879.15</v>
          </cell>
        </row>
        <row r="60">
          <cell r="F60" t="str">
            <v>DF</v>
          </cell>
          <cell r="G60" t="str">
            <v>Deferred</v>
          </cell>
          <cell r="H60" t="str">
            <v>X.99999.02.05.01</v>
          </cell>
          <cell r="I60" t="str">
            <v>Business Energy Management Electric</v>
          </cell>
          <cell r="J60" t="str">
            <v>18230724</v>
          </cell>
          <cell r="K60" t="str">
            <v>4440 - Sch 250 Business Ltg Grants -Elec</v>
          </cell>
          <cell r="L60">
            <v>13434.55</v>
          </cell>
        </row>
        <row r="61">
          <cell r="F61" t="str">
            <v>DF</v>
          </cell>
          <cell r="G61" t="str">
            <v>Deferred</v>
          </cell>
          <cell r="H61" t="str">
            <v>X.99999.02.05.01</v>
          </cell>
          <cell r="I61" t="str">
            <v>Business Energy Management Electric</v>
          </cell>
          <cell r="J61" t="str">
            <v>18231134</v>
          </cell>
          <cell r="K61" t="str">
            <v>4440 - E262 Small Bus. Direct Install-El</v>
          </cell>
          <cell r="L61">
            <v>5693.16</v>
          </cell>
        </row>
        <row r="62">
          <cell r="F62" t="str">
            <v>DF</v>
          </cell>
          <cell r="G62" t="str">
            <v>Deferred</v>
          </cell>
          <cell r="H62" t="str">
            <v>X.99999.02.05.02</v>
          </cell>
          <cell r="I62" t="str">
            <v>Business Energy Management Gas</v>
          </cell>
          <cell r="J62" t="str">
            <v>18230706</v>
          </cell>
          <cell r="K62" t="str">
            <v>Sch 251 Gas C/I New Construction</v>
          </cell>
          <cell r="L62">
            <v>959.42</v>
          </cell>
        </row>
        <row r="63">
          <cell r="F63" t="str">
            <v>DF</v>
          </cell>
          <cell r="G63" t="str">
            <v>Deferred</v>
          </cell>
          <cell r="H63" t="str">
            <v>X.99999.02.05.02</v>
          </cell>
          <cell r="I63" t="str">
            <v>Business Energy Management Gas</v>
          </cell>
          <cell r="J63" t="str">
            <v>18230731</v>
          </cell>
          <cell r="K63" t="str">
            <v>Sch 205 Gas C/I Energy Efficiency</v>
          </cell>
          <cell r="L63">
            <v>7677.14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B39" sqref="B39"/>
    </sheetView>
  </sheetViews>
  <sheetFormatPr defaultRowHeight="12.75" customHeight="1" x14ac:dyDescent="0.2"/>
  <cols>
    <col min="1" max="1" width="5.42578125" bestFit="1" customWidth="1"/>
    <col min="2" max="2" width="47" customWidth="1"/>
    <col min="3" max="3" width="10.85546875" bestFit="1" customWidth="1"/>
    <col min="4" max="4" width="10.5703125" bestFit="1" customWidth="1"/>
    <col min="5" max="5" width="13.5703125" bestFit="1" customWidth="1"/>
    <col min="7" max="9" width="9.140625" customWidth="1"/>
  </cols>
  <sheetData>
    <row r="1" spans="1:5" ht="12.75" customHeight="1" x14ac:dyDescent="0.2">
      <c r="A1" s="2"/>
      <c r="B1" s="2"/>
      <c r="C1" s="2"/>
      <c r="D1" s="2"/>
      <c r="E1" s="2"/>
    </row>
    <row r="2" spans="1:5" ht="12.75" customHeight="1" x14ac:dyDescent="0.2">
      <c r="A2" s="25"/>
      <c r="B2" s="25"/>
      <c r="C2" s="25"/>
      <c r="D2" s="19"/>
      <c r="E2" s="19"/>
    </row>
    <row r="3" spans="1:5" ht="12.75" customHeight="1" x14ac:dyDescent="0.2">
      <c r="A3" s="32"/>
      <c r="B3" s="32"/>
      <c r="C3" s="32"/>
      <c r="D3" s="32"/>
      <c r="E3" s="32"/>
    </row>
    <row r="4" spans="1:5" ht="12.75" customHeight="1" x14ac:dyDescent="0.2">
      <c r="A4" s="21" t="s">
        <v>26</v>
      </c>
      <c r="B4" s="22"/>
      <c r="C4" s="22"/>
      <c r="D4" s="22"/>
      <c r="E4" s="23"/>
    </row>
    <row r="5" spans="1:5" ht="12.75" customHeight="1" x14ac:dyDescent="0.2">
      <c r="A5" s="22" t="s">
        <v>13</v>
      </c>
      <c r="B5" s="22"/>
      <c r="C5" s="22"/>
      <c r="D5" s="22"/>
      <c r="E5" s="22"/>
    </row>
    <row r="6" spans="1:5" ht="12.75" customHeight="1" x14ac:dyDescent="0.2">
      <c r="A6" s="22" t="s">
        <v>83</v>
      </c>
      <c r="B6" s="22"/>
      <c r="C6" s="22"/>
      <c r="D6" s="22"/>
      <c r="E6" s="24"/>
    </row>
    <row r="7" spans="1:5" ht="12.75" customHeight="1" x14ac:dyDescent="0.2">
      <c r="A7" s="21" t="s">
        <v>29</v>
      </c>
      <c r="B7" s="22"/>
      <c r="C7" s="22"/>
      <c r="D7" s="21"/>
      <c r="E7" s="24"/>
    </row>
    <row r="8" spans="1:5" ht="12.75" customHeight="1" x14ac:dyDescent="0.2">
      <c r="A8" s="25"/>
      <c r="B8" s="26"/>
      <c r="C8" s="26"/>
      <c r="D8" s="25"/>
      <c r="E8" s="25"/>
    </row>
    <row r="9" spans="1:5" ht="12.75" customHeight="1" x14ac:dyDescent="0.2">
      <c r="A9" s="27" t="s">
        <v>0</v>
      </c>
      <c r="B9" s="25"/>
      <c r="C9" s="25"/>
      <c r="D9" s="25"/>
      <c r="E9" s="25"/>
    </row>
    <row r="10" spans="1:5" ht="12.75" customHeight="1" x14ac:dyDescent="0.2">
      <c r="A10" s="28" t="s">
        <v>1</v>
      </c>
      <c r="B10" s="29" t="s">
        <v>2</v>
      </c>
      <c r="C10" s="28" t="s">
        <v>3</v>
      </c>
      <c r="D10" s="28" t="s">
        <v>4</v>
      </c>
      <c r="E10" s="30" t="s">
        <v>5</v>
      </c>
    </row>
    <row r="11" spans="1:5" ht="12.75" customHeight="1" x14ac:dyDescent="0.2">
      <c r="A11" s="5"/>
      <c r="B11" s="5"/>
      <c r="C11" s="5"/>
      <c r="D11" s="5"/>
      <c r="E11" s="5"/>
    </row>
    <row r="12" spans="1:5" ht="12.75" customHeight="1" x14ac:dyDescent="0.2">
      <c r="A12" s="6">
        <v>1</v>
      </c>
      <c r="B12" s="5" t="s">
        <v>6</v>
      </c>
      <c r="C12" s="45">
        <f>'Main wp'!C5</f>
        <v>84803.274004035367</v>
      </c>
      <c r="D12" s="7">
        <f>'Main wp'!D5</f>
        <v>65904.435979721209</v>
      </c>
      <c r="E12" s="7">
        <f>+D12-C12</f>
        <v>-18898.838024314158</v>
      </c>
    </row>
    <row r="13" spans="1:5" ht="12.75" customHeight="1" x14ac:dyDescent="0.2">
      <c r="A13" s="6">
        <f t="shared" ref="A13:A20" si="0">A12+1</f>
        <v>2</v>
      </c>
      <c r="B13" s="5"/>
      <c r="C13" s="8"/>
      <c r="D13" s="8"/>
      <c r="E13" s="9"/>
    </row>
    <row r="14" spans="1:5" ht="12.75" customHeight="1" x14ac:dyDescent="0.2">
      <c r="A14" s="6">
        <f t="shared" si="0"/>
        <v>3</v>
      </c>
      <c r="B14" s="5" t="s">
        <v>11</v>
      </c>
      <c r="C14" s="10">
        <f>SUM(C12:C13)</f>
        <v>84803.274004035367</v>
      </c>
      <c r="D14" s="10">
        <f>SUM(D12:D13)</f>
        <v>65904.435979721209</v>
      </c>
      <c r="E14" s="11">
        <f>SUM(E12:E13)</f>
        <v>-18898.838024314158</v>
      </c>
    </row>
    <row r="15" spans="1:5" ht="12.75" customHeight="1" x14ac:dyDescent="0.2">
      <c r="A15" s="6">
        <f t="shared" si="0"/>
        <v>4</v>
      </c>
      <c r="B15" s="5"/>
      <c r="C15" s="12"/>
      <c r="D15" s="12"/>
      <c r="E15" s="12"/>
    </row>
    <row r="16" spans="1:5" ht="12.75" customHeight="1" x14ac:dyDescent="0.2">
      <c r="A16" s="6">
        <f t="shared" si="0"/>
        <v>5</v>
      </c>
      <c r="B16" s="5" t="s">
        <v>12</v>
      </c>
      <c r="C16" s="12"/>
      <c r="D16" s="12"/>
      <c r="E16" s="13">
        <f>E14</f>
        <v>-18898.838024314158</v>
      </c>
    </row>
    <row r="17" spans="1:5" ht="12.75" customHeight="1" x14ac:dyDescent="0.2">
      <c r="A17" s="6">
        <f t="shared" si="0"/>
        <v>6</v>
      </c>
      <c r="B17" s="5"/>
      <c r="C17" s="12"/>
      <c r="D17" s="12"/>
      <c r="E17" s="13"/>
    </row>
    <row r="18" spans="1:5" ht="12.75" customHeight="1" x14ac:dyDescent="0.2">
      <c r="A18" s="6">
        <f t="shared" si="0"/>
        <v>7</v>
      </c>
      <c r="B18" s="5" t="s">
        <v>7</v>
      </c>
      <c r="C18" s="12"/>
      <c r="D18" s="65">
        <v>0.21</v>
      </c>
      <c r="E18" s="17">
        <f>-E16*D18</f>
        <v>3968.7559851059732</v>
      </c>
    </row>
    <row r="19" spans="1:5" ht="12.75" customHeight="1" x14ac:dyDescent="0.2">
      <c r="A19" s="6">
        <f t="shared" si="0"/>
        <v>8</v>
      </c>
      <c r="B19" s="5"/>
      <c r="C19" s="12"/>
      <c r="D19" s="14"/>
      <c r="E19" s="15"/>
    </row>
    <row r="20" spans="1:5" ht="12.75" customHeight="1" x14ac:dyDescent="0.2">
      <c r="A20" s="6">
        <f t="shared" si="0"/>
        <v>9</v>
      </c>
      <c r="B20" s="5" t="s">
        <v>8</v>
      </c>
      <c r="C20" s="12"/>
      <c r="D20" s="12"/>
      <c r="E20" s="16">
        <f>-E16-E18</f>
        <v>14930.082039208184</v>
      </c>
    </row>
    <row r="21" spans="1:5" ht="12.75" customHeight="1" x14ac:dyDescent="0.2">
      <c r="A21" s="5" t="s">
        <v>9</v>
      </c>
      <c r="B21" s="5"/>
      <c r="C21" s="12"/>
      <c r="D21" s="12"/>
      <c r="E21" s="12"/>
    </row>
  </sheetData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1"/>
  <sheetViews>
    <sheetView zoomScaleNormal="100" workbookViewId="0">
      <selection activeCell="B38" sqref="B38"/>
    </sheetView>
  </sheetViews>
  <sheetFormatPr defaultRowHeight="12.75" customHeight="1" x14ac:dyDescent="0.2"/>
  <cols>
    <col min="1" max="1" width="5.42578125" bestFit="1" customWidth="1"/>
    <col min="2" max="2" width="47" customWidth="1"/>
    <col min="3" max="3" width="11.5703125" customWidth="1"/>
    <col min="4" max="4" width="11.28515625" bestFit="1" customWidth="1"/>
    <col min="5" max="5" width="13.5703125" bestFit="1" customWidth="1"/>
    <col min="7" max="9" width="9.140625" customWidth="1"/>
  </cols>
  <sheetData>
    <row r="1" spans="1:5" ht="12.75" customHeight="1" x14ac:dyDescent="0.2">
      <c r="A1" s="2"/>
      <c r="B1" s="2"/>
      <c r="C1" s="2"/>
      <c r="D1" s="2"/>
      <c r="E1" s="2"/>
    </row>
    <row r="2" spans="1:5" ht="12.75" customHeight="1" x14ac:dyDescent="0.2">
      <c r="A2" s="3"/>
      <c r="B2" s="3"/>
      <c r="C2" s="3"/>
      <c r="D2" s="19"/>
      <c r="E2" s="19"/>
    </row>
    <row r="3" spans="1:5" ht="12.75" customHeight="1" x14ac:dyDescent="0.2">
      <c r="A3" s="4"/>
      <c r="B3" s="4"/>
      <c r="C3" s="4"/>
      <c r="D3" s="4"/>
      <c r="E3" s="4"/>
    </row>
    <row r="4" spans="1:5" ht="12.75" customHeight="1" x14ac:dyDescent="0.2">
      <c r="A4" s="21" t="s">
        <v>14</v>
      </c>
      <c r="B4" s="22"/>
      <c r="C4" s="22"/>
      <c r="D4" s="22"/>
      <c r="E4" s="23"/>
    </row>
    <row r="5" spans="1:5" ht="12.75" customHeight="1" x14ac:dyDescent="0.2">
      <c r="A5" s="22" t="str">
        <f>+' Elec'!A5</f>
        <v>DIRECTORS &amp; OFFICERS INSURANCE</v>
      </c>
      <c r="B5" s="22"/>
      <c r="C5" s="22"/>
      <c r="D5" s="22"/>
      <c r="E5" s="22"/>
    </row>
    <row r="6" spans="1:5" ht="12.75" customHeight="1" x14ac:dyDescent="0.2">
      <c r="A6" s="22" t="str">
        <f>' Elec'!A6</f>
        <v>FOR THE TWELVE MONTHS ENDED DECEMBER 31, 2020</v>
      </c>
      <c r="B6" s="22"/>
      <c r="C6" s="22"/>
      <c r="D6" s="22"/>
      <c r="E6" s="24"/>
    </row>
    <row r="7" spans="1:5" ht="12.75" customHeight="1" x14ac:dyDescent="0.2">
      <c r="A7" s="21" t="str">
        <f>' Elec'!A7</f>
        <v>COMMISSION BASIS REPORT</v>
      </c>
      <c r="B7" s="22"/>
      <c r="C7" s="22"/>
      <c r="D7" s="21"/>
      <c r="E7" s="24"/>
    </row>
    <row r="8" spans="1:5" ht="12.75" customHeight="1" x14ac:dyDescent="0.2">
      <c r="A8" s="25"/>
      <c r="B8" s="26"/>
      <c r="C8" s="26"/>
      <c r="D8" s="25"/>
      <c r="E8" s="25"/>
    </row>
    <row r="9" spans="1:5" ht="12.75" customHeight="1" x14ac:dyDescent="0.2">
      <c r="A9" s="27" t="s">
        <v>0</v>
      </c>
      <c r="B9" s="25"/>
      <c r="C9" s="25"/>
      <c r="D9" s="25"/>
      <c r="E9" s="25"/>
    </row>
    <row r="10" spans="1:5" ht="12.75" customHeight="1" x14ac:dyDescent="0.2">
      <c r="A10" s="28" t="s">
        <v>1</v>
      </c>
      <c r="B10" s="29" t="s">
        <v>2</v>
      </c>
      <c r="C10" s="28" t="s">
        <v>3</v>
      </c>
      <c r="D10" s="28" t="s">
        <v>4</v>
      </c>
      <c r="E10" s="30" t="s">
        <v>5</v>
      </c>
    </row>
    <row r="11" spans="1:5" ht="12.75" customHeight="1" x14ac:dyDescent="0.2">
      <c r="A11" s="31"/>
      <c r="B11" s="31"/>
      <c r="C11" s="31"/>
      <c r="D11" s="31"/>
      <c r="E11" s="31"/>
    </row>
    <row r="12" spans="1:5" ht="12.75" customHeight="1" x14ac:dyDescent="0.2">
      <c r="A12" s="6">
        <v>1</v>
      </c>
      <c r="B12" s="5" t="s">
        <v>6</v>
      </c>
      <c r="C12" s="45">
        <f>'Main wp'!C6</f>
        <v>61057.190399190244</v>
      </c>
      <c r="D12" s="7">
        <f>'Main wp'!D6</f>
        <v>47450.287067614896</v>
      </c>
      <c r="E12" s="7">
        <f>+D12-C12</f>
        <v>-13606.903331575348</v>
      </c>
    </row>
    <row r="13" spans="1:5" ht="12.75" customHeight="1" x14ac:dyDescent="0.2">
      <c r="A13" s="6">
        <f t="shared" ref="A13:A20" si="0">A12+1</f>
        <v>2</v>
      </c>
      <c r="B13" s="5"/>
      <c r="C13" s="8"/>
      <c r="D13" s="8"/>
      <c r="E13" s="9"/>
    </row>
    <row r="14" spans="1:5" ht="12.75" customHeight="1" x14ac:dyDescent="0.2">
      <c r="A14" s="6">
        <f>A13+1</f>
        <v>3</v>
      </c>
      <c r="B14" s="5" t="s">
        <v>11</v>
      </c>
      <c r="C14" s="10">
        <f>SUM(C12:C13)</f>
        <v>61057.190399190244</v>
      </c>
      <c r="D14" s="10">
        <f>SUM(D12:D13)</f>
        <v>47450.287067614896</v>
      </c>
      <c r="E14" s="11">
        <f>SUM(E12:E13)</f>
        <v>-13606.903331575348</v>
      </c>
    </row>
    <row r="15" spans="1:5" ht="12.75" customHeight="1" x14ac:dyDescent="0.2">
      <c r="A15" s="6">
        <f t="shared" si="0"/>
        <v>4</v>
      </c>
      <c r="B15" s="5"/>
      <c r="C15" s="12"/>
      <c r="D15" s="12"/>
      <c r="E15" s="12"/>
    </row>
    <row r="16" spans="1:5" ht="12.75" customHeight="1" x14ac:dyDescent="0.2">
      <c r="A16" s="6">
        <f t="shared" si="0"/>
        <v>5</v>
      </c>
      <c r="B16" s="5" t="s">
        <v>12</v>
      </c>
      <c r="C16" s="12"/>
      <c r="D16" s="12"/>
      <c r="E16" s="13">
        <f>E14</f>
        <v>-13606.903331575348</v>
      </c>
    </row>
    <row r="17" spans="1:5" ht="12.75" customHeight="1" x14ac:dyDescent="0.2">
      <c r="A17" s="6">
        <f t="shared" si="0"/>
        <v>6</v>
      </c>
      <c r="B17" s="5"/>
      <c r="C17" s="12"/>
      <c r="D17" s="12"/>
      <c r="E17" s="13"/>
    </row>
    <row r="18" spans="1:5" ht="12.75" customHeight="1" x14ac:dyDescent="0.2">
      <c r="A18" s="6">
        <f t="shared" si="0"/>
        <v>7</v>
      </c>
      <c r="B18" s="5" t="s">
        <v>7</v>
      </c>
      <c r="C18" s="12"/>
      <c r="D18" s="65">
        <v>0.21</v>
      </c>
      <c r="E18" s="17">
        <f>-E16*D18</f>
        <v>2857.449699630823</v>
      </c>
    </row>
    <row r="19" spans="1:5" ht="12.75" customHeight="1" x14ac:dyDescent="0.2">
      <c r="A19" s="6">
        <f t="shared" si="0"/>
        <v>8</v>
      </c>
      <c r="B19" s="5"/>
      <c r="C19" s="12"/>
      <c r="D19" s="14"/>
      <c r="E19" s="15"/>
    </row>
    <row r="20" spans="1:5" ht="12.75" customHeight="1" x14ac:dyDescent="0.2">
      <c r="A20" s="6">
        <f t="shared" si="0"/>
        <v>9</v>
      </c>
      <c r="B20" s="5" t="s">
        <v>8</v>
      </c>
      <c r="C20" s="12"/>
      <c r="D20" s="12"/>
      <c r="E20" s="16">
        <f>-E16-E18</f>
        <v>10749.453631944525</v>
      </c>
    </row>
    <row r="21" spans="1:5" ht="12.75" customHeight="1" x14ac:dyDescent="0.2">
      <c r="A21" s="5" t="s">
        <v>9</v>
      </c>
      <c r="B21" s="5"/>
      <c r="C21" s="12"/>
      <c r="D21" s="12"/>
      <c r="E21" s="12"/>
    </row>
  </sheetData>
  <phoneticPr fontId="0" type="noConversion"/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workbookViewId="0">
      <selection activeCell="F13" sqref="F13"/>
    </sheetView>
  </sheetViews>
  <sheetFormatPr defaultColWidth="8.85546875" defaultRowHeight="12.75" customHeight="1" x14ac:dyDescent="0.2"/>
  <cols>
    <col min="1" max="1" width="14.140625" bestFit="1" customWidth="1"/>
    <col min="2" max="2" width="10.7109375" bestFit="1" customWidth="1"/>
    <col min="3" max="3" width="10.28515625" bestFit="1" customWidth="1"/>
    <col min="4" max="4" width="10" bestFit="1" customWidth="1"/>
    <col min="5" max="5" width="11.85546875" customWidth="1"/>
    <col min="6" max="6" width="11.42578125" customWidth="1"/>
    <col min="7" max="13" width="9" bestFit="1" customWidth="1"/>
    <col min="14" max="14" width="13.42578125" bestFit="1" customWidth="1"/>
    <col min="15" max="15" width="17" customWidth="1"/>
    <col min="16" max="16" width="20.5703125" bestFit="1" customWidth="1"/>
    <col min="17" max="17" width="15.28515625" bestFit="1" customWidth="1"/>
    <col min="18" max="18" width="12.28515625" bestFit="1" customWidth="1"/>
  </cols>
  <sheetData>
    <row r="1" spans="1:19" ht="15" x14ac:dyDescent="0.25">
      <c r="A1" s="79"/>
      <c r="B1" s="79"/>
      <c r="C1" s="66"/>
      <c r="D1" s="79"/>
      <c r="E1" s="79"/>
      <c r="F1" s="79"/>
      <c r="G1" s="79"/>
      <c r="H1" s="79"/>
      <c r="I1" s="79"/>
      <c r="J1" s="79"/>
      <c r="K1" s="79"/>
      <c r="L1" s="79"/>
      <c r="M1" s="67" t="s">
        <v>77</v>
      </c>
      <c r="N1" s="88"/>
      <c r="O1" s="79"/>
      <c r="P1" s="79"/>
      <c r="Q1" s="68"/>
      <c r="R1" s="33"/>
      <c r="S1" s="33"/>
    </row>
    <row r="2" spans="1:19" ht="15" x14ac:dyDescent="0.25">
      <c r="A2" s="79"/>
      <c r="B2" s="79"/>
      <c r="C2" s="66"/>
      <c r="D2" s="79"/>
      <c r="E2" s="79"/>
      <c r="F2" s="79"/>
      <c r="G2" s="79"/>
      <c r="H2" s="79"/>
      <c r="I2" s="79"/>
      <c r="J2" s="79"/>
      <c r="K2" s="79"/>
      <c r="L2" s="79"/>
      <c r="M2" s="66">
        <f>+[1]Lead!$G$43</f>
        <v>0.49083053809347571</v>
      </c>
      <c r="N2" s="79"/>
      <c r="O2" s="67" t="s">
        <v>80</v>
      </c>
      <c r="P2" s="79"/>
      <c r="Q2" s="68"/>
      <c r="R2" s="33"/>
      <c r="S2" s="33"/>
    </row>
    <row r="3" spans="1:19" ht="15" x14ac:dyDescent="0.25">
      <c r="A3" s="67" t="s">
        <v>35</v>
      </c>
      <c r="B3" s="79"/>
      <c r="C3" s="79"/>
      <c r="D3" s="79"/>
      <c r="E3" s="67" t="s">
        <v>5</v>
      </c>
      <c r="F3" s="79"/>
      <c r="G3" s="79"/>
      <c r="H3" s="79"/>
      <c r="I3" s="79"/>
      <c r="J3" s="79"/>
      <c r="K3" s="79"/>
      <c r="L3" s="79"/>
      <c r="M3" s="79"/>
      <c r="N3" s="79"/>
      <c r="O3" s="67" t="s">
        <v>81</v>
      </c>
      <c r="P3" s="79"/>
      <c r="Q3" s="68"/>
      <c r="R3" s="33"/>
      <c r="S3" s="33"/>
    </row>
    <row r="4" spans="1:19" ht="15" x14ac:dyDescent="0.25">
      <c r="A4" s="67" t="s">
        <v>76</v>
      </c>
      <c r="B4" s="79"/>
      <c r="C4" s="89" t="s">
        <v>36</v>
      </c>
      <c r="D4" s="89" t="s">
        <v>4</v>
      </c>
      <c r="E4" s="89" t="s">
        <v>37</v>
      </c>
      <c r="F4" s="79"/>
      <c r="G4" s="79"/>
      <c r="H4" s="79"/>
      <c r="I4" s="79"/>
      <c r="J4" s="79"/>
      <c r="K4" s="79"/>
      <c r="L4" s="79"/>
      <c r="M4" s="79"/>
      <c r="N4" s="89" t="s">
        <v>36</v>
      </c>
      <c r="O4" s="89" t="s">
        <v>79</v>
      </c>
      <c r="P4" s="79"/>
      <c r="Q4" s="68"/>
      <c r="R4" s="33"/>
      <c r="S4" s="33"/>
    </row>
    <row r="5" spans="1:19" ht="15" x14ac:dyDescent="0.25">
      <c r="A5" s="66">
        <f>+[1]Lead!$E$9</f>
        <v>0.58140000000000003</v>
      </c>
      <c r="B5" s="79" t="s">
        <v>38</v>
      </c>
      <c r="C5" s="70">
        <f>N13*M2*A5</f>
        <v>84803.274004035367</v>
      </c>
      <c r="D5" s="70">
        <f>O18*M2*A5</f>
        <v>65904.435979721209</v>
      </c>
      <c r="E5" s="70">
        <f>D5-C5</f>
        <v>-18898.838024314158</v>
      </c>
      <c r="F5" s="79"/>
      <c r="G5" s="79"/>
      <c r="H5" s="79"/>
      <c r="I5" s="79"/>
      <c r="J5" s="79"/>
      <c r="K5" s="79"/>
      <c r="L5" s="79"/>
      <c r="M5" s="79" t="s">
        <v>39</v>
      </c>
      <c r="N5" s="70">
        <f>N7*M2</f>
        <v>145860.4644032256</v>
      </c>
      <c r="O5" s="70">
        <f>O7*M2</f>
        <v>113354.7230473361</v>
      </c>
      <c r="P5" s="79"/>
      <c r="Q5" s="68"/>
      <c r="R5" s="33"/>
      <c r="S5" s="33"/>
    </row>
    <row r="6" spans="1:19" ht="15" x14ac:dyDescent="0.25">
      <c r="A6" s="66">
        <f>+[1]Lead!$F$9</f>
        <v>0.41860000000000003</v>
      </c>
      <c r="B6" s="79" t="s">
        <v>40</v>
      </c>
      <c r="C6" s="71">
        <f>N13*M2*A6</f>
        <v>61057.190399190244</v>
      </c>
      <c r="D6" s="71">
        <f>O18*M2*A6</f>
        <v>47450.287067614896</v>
      </c>
      <c r="E6" s="71">
        <f>D6-C6</f>
        <v>-13606.903331575348</v>
      </c>
      <c r="F6" s="79"/>
      <c r="G6" s="79"/>
      <c r="H6" s="79"/>
      <c r="I6" s="79"/>
      <c r="J6" s="79"/>
      <c r="K6" s="79"/>
      <c r="L6" s="79"/>
      <c r="M6" s="79" t="s">
        <v>41</v>
      </c>
      <c r="N6" s="71">
        <f>N7-N5</f>
        <v>151310.25559677437</v>
      </c>
      <c r="O6" s="71">
        <f>O7-O5</f>
        <v>117590.00074193307</v>
      </c>
      <c r="P6" s="79"/>
      <c r="Q6" s="68"/>
      <c r="R6" s="33"/>
      <c r="S6" s="33"/>
    </row>
    <row r="7" spans="1:19" ht="15.75" thickBot="1" x14ac:dyDescent="0.3">
      <c r="A7" s="79"/>
      <c r="B7" s="79"/>
      <c r="C7" s="73">
        <f>SUM(C5:C6)</f>
        <v>145860.4644032256</v>
      </c>
      <c r="D7" s="73">
        <f t="shared" ref="D7" si="0">SUM(D5:D6)</f>
        <v>113354.7230473361</v>
      </c>
      <c r="E7" s="73">
        <f>SUM(E5:E6)</f>
        <v>-32505.741355889506</v>
      </c>
      <c r="F7" s="79"/>
      <c r="G7" s="79"/>
      <c r="H7" s="79"/>
      <c r="I7" s="79"/>
      <c r="J7" s="79"/>
      <c r="K7" s="79"/>
      <c r="L7" s="79"/>
      <c r="M7" s="79"/>
      <c r="N7" s="73">
        <f>N13</f>
        <v>297170.71999999997</v>
      </c>
      <c r="O7" s="73">
        <f>O18</f>
        <v>230944.72378926916</v>
      </c>
      <c r="P7" s="79"/>
      <c r="Q7" s="68"/>
      <c r="R7" s="33"/>
      <c r="S7" s="33"/>
    </row>
    <row r="8" spans="1:19" ht="15.75" thickTop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33"/>
      <c r="S8" s="33"/>
    </row>
    <row r="9" spans="1:19" ht="15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33"/>
      <c r="S9" s="33"/>
    </row>
    <row r="10" spans="1:19" ht="15.75" thickBot="1" x14ac:dyDescent="0.3">
      <c r="A10" s="68"/>
      <c r="B10" s="74" t="s">
        <v>72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33"/>
      <c r="S10" s="33"/>
    </row>
    <row r="11" spans="1:19" ht="15.75" thickBot="1" x14ac:dyDescent="0.3">
      <c r="A11" s="75"/>
      <c r="B11" s="76">
        <v>43861</v>
      </c>
      <c r="C11" s="76">
        <v>43890</v>
      </c>
      <c r="D11" s="76">
        <v>43921</v>
      </c>
      <c r="E11" s="76">
        <v>43951</v>
      </c>
      <c r="F11" s="76">
        <v>43982</v>
      </c>
      <c r="G11" s="76">
        <v>44012</v>
      </c>
      <c r="H11" s="76">
        <v>44043</v>
      </c>
      <c r="I11" s="76">
        <v>44074</v>
      </c>
      <c r="J11" s="76">
        <v>44104</v>
      </c>
      <c r="K11" s="76">
        <v>44135</v>
      </c>
      <c r="L11" s="76">
        <v>44165</v>
      </c>
      <c r="M11" s="76">
        <v>44196</v>
      </c>
      <c r="N11" s="77" t="s">
        <v>91</v>
      </c>
      <c r="O11" s="78" t="s">
        <v>42</v>
      </c>
      <c r="P11" s="78"/>
      <c r="Q11" s="68"/>
      <c r="R11" s="33"/>
      <c r="S11" s="33"/>
    </row>
    <row r="12" spans="1:19" ht="15" x14ac:dyDescent="0.25">
      <c r="A12" s="79" t="s">
        <v>3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68"/>
      <c r="P12" s="68"/>
      <c r="Q12" s="68"/>
      <c r="R12" s="33"/>
      <c r="S12" s="33"/>
    </row>
    <row r="13" spans="1:19" ht="15" x14ac:dyDescent="0.25">
      <c r="A13" s="79" t="s">
        <v>70</v>
      </c>
      <c r="B13" s="69">
        <v>23384.86</v>
      </c>
      <c r="C13" s="69">
        <f>+B13</f>
        <v>23384.86</v>
      </c>
      <c r="D13" s="69">
        <f t="shared" ref="D13:K13" si="1">+C13</f>
        <v>23384.86</v>
      </c>
      <c r="E13" s="80">
        <f t="shared" si="1"/>
        <v>23384.86</v>
      </c>
      <c r="F13" s="69">
        <v>25453.91</v>
      </c>
      <c r="G13" s="69">
        <f t="shared" si="1"/>
        <v>25453.91</v>
      </c>
      <c r="H13" s="69">
        <f t="shared" si="1"/>
        <v>25453.91</v>
      </c>
      <c r="I13" s="69">
        <f t="shared" si="1"/>
        <v>25453.91</v>
      </c>
      <c r="J13" s="69">
        <f t="shared" si="1"/>
        <v>25453.91</v>
      </c>
      <c r="K13" s="69">
        <f t="shared" si="1"/>
        <v>25453.91</v>
      </c>
      <c r="L13" s="69">
        <f t="shared" ref="L13:L14" si="2">+K13</f>
        <v>25453.91</v>
      </c>
      <c r="M13" s="69">
        <f t="shared" ref="M13:M14" si="3">+L13</f>
        <v>25453.91</v>
      </c>
      <c r="N13" s="69">
        <f>SUM(B13:M13)</f>
        <v>297170.71999999997</v>
      </c>
      <c r="O13" s="81" t="s">
        <v>43</v>
      </c>
      <c r="P13" s="81" t="s">
        <v>5</v>
      </c>
      <c r="Q13" s="68"/>
      <c r="R13" s="33"/>
      <c r="S13" s="33"/>
    </row>
    <row r="14" spans="1:19" ht="15" x14ac:dyDescent="0.25">
      <c r="A14" s="79" t="s">
        <v>71</v>
      </c>
      <c r="B14" s="71">
        <v>1923.43</v>
      </c>
      <c r="C14" s="71">
        <f>+B14</f>
        <v>1923.43</v>
      </c>
      <c r="D14" s="71">
        <f t="shared" ref="D14:K14" si="4">+C14</f>
        <v>1923.43</v>
      </c>
      <c r="E14" s="82">
        <f t="shared" si="4"/>
        <v>1923.43</v>
      </c>
      <c r="F14" s="71">
        <v>2093.61</v>
      </c>
      <c r="G14" s="71">
        <f t="shared" si="4"/>
        <v>2093.61</v>
      </c>
      <c r="H14" s="71">
        <f t="shared" si="4"/>
        <v>2093.61</v>
      </c>
      <c r="I14" s="71">
        <f t="shared" si="4"/>
        <v>2093.61</v>
      </c>
      <c r="J14" s="71">
        <f t="shared" si="4"/>
        <v>2093.61</v>
      </c>
      <c r="K14" s="71">
        <f t="shared" si="4"/>
        <v>2093.61</v>
      </c>
      <c r="L14" s="71">
        <f t="shared" si="2"/>
        <v>2093.61</v>
      </c>
      <c r="M14" s="71">
        <f t="shared" si="3"/>
        <v>2093.61</v>
      </c>
      <c r="N14" s="71">
        <f>SUM(B14:M14)</f>
        <v>24442.600000000002</v>
      </c>
      <c r="O14" s="83" t="s">
        <v>44</v>
      </c>
      <c r="P14" s="83" t="s">
        <v>45</v>
      </c>
      <c r="Q14" s="68"/>
      <c r="R14" s="33"/>
      <c r="S14" s="33"/>
    </row>
    <row r="15" spans="1:19" ht="15.75" thickBot="1" x14ac:dyDescent="0.3">
      <c r="A15" s="79" t="s">
        <v>46</v>
      </c>
      <c r="B15" s="72">
        <f>SUM(B13:B14)</f>
        <v>25308.29</v>
      </c>
      <c r="C15" s="72">
        <f t="shared" ref="C15:M15" si="5">SUM(C13:C14)</f>
        <v>25308.29</v>
      </c>
      <c r="D15" s="72">
        <f t="shared" si="5"/>
        <v>25308.29</v>
      </c>
      <c r="E15" s="84">
        <f t="shared" si="5"/>
        <v>25308.29</v>
      </c>
      <c r="F15" s="72">
        <f t="shared" si="5"/>
        <v>27547.52</v>
      </c>
      <c r="G15" s="72">
        <f t="shared" si="5"/>
        <v>27547.52</v>
      </c>
      <c r="H15" s="72">
        <f t="shared" si="5"/>
        <v>27547.52</v>
      </c>
      <c r="I15" s="72">
        <f t="shared" si="5"/>
        <v>27547.52</v>
      </c>
      <c r="J15" s="72">
        <f t="shared" si="5"/>
        <v>27547.52</v>
      </c>
      <c r="K15" s="72">
        <f t="shared" si="5"/>
        <v>27547.52</v>
      </c>
      <c r="L15" s="72">
        <f t="shared" si="5"/>
        <v>27547.52</v>
      </c>
      <c r="M15" s="72">
        <f t="shared" si="5"/>
        <v>27547.52</v>
      </c>
      <c r="N15" s="72">
        <f>SUM(N13:N14)</f>
        <v>321613.31999999995</v>
      </c>
      <c r="O15" s="85" t="s">
        <v>42</v>
      </c>
      <c r="P15" s="85" t="s">
        <v>42</v>
      </c>
      <c r="Q15" s="68"/>
      <c r="R15" s="33"/>
      <c r="S15" s="33"/>
    </row>
    <row r="16" spans="1:19" ht="15.75" thickTop="1" x14ac:dyDescent="0.25">
      <c r="A16" s="79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86">
        <v>0</v>
      </c>
      <c r="O16" s="67" t="s">
        <v>47</v>
      </c>
      <c r="P16" s="67" t="s">
        <v>47</v>
      </c>
      <c r="Q16" s="68"/>
      <c r="R16" s="33"/>
      <c r="S16" s="33"/>
    </row>
    <row r="17" spans="1:19" ht="15" x14ac:dyDescent="0.25">
      <c r="A17" s="79" t="s">
        <v>78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67" t="s">
        <v>48</v>
      </c>
      <c r="P17" s="67" t="s">
        <v>48</v>
      </c>
      <c r="Q17" s="68"/>
      <c r="R17" s="33"/>
      <c r="S17" s="33"/>
    </row>
    <row r="18" spans="1:19" ht="15" x14ac:dyDescent="0.25">
      <c r="A18" s="79" t="s">
        <v>70</v>
      </c>
      <c r="B18" s="69">
        <f>B15*$D$35</f>
        <v>18173.426534786318</v>
      </c>
      <c r="C18" s="69">
        <f t="shared" ref="C18:M18" si="6">C15*$D$35</f>
        <v>18173.426534786318</v>
      </c>
      <c r="D18" s="69">
        <f t="shared" si="6"/>
        <v>18173.426534786318</v>
      </c>
      <c r="E18" s="80">
        <f t="shared" si="6"/>
        <v>18173.426534786318</v>
      </c>
      <c r="F18" s="69">
        <f t="shared" si="6"/>
        <v>19781.377206265486</v>
      </c>
      <c r="G18" s="69">
        <f t="shared" si="6"/>
        <v>19781.377206265486</v>
      </c>
      <c r="H18" s="69">
        <f t="shared" si="6"/>
        <v>19781.377206265486</v>
      </c>
      <c r="I18" s="69">
        <f t="shared" si="6"/>
        <v>19781.377206265486</v>
      </c>
      <c r="J18" s="69">
        <f t="shared" si="6"/>
        <v>19781.377206265486</v>
      </c>
      <c r="K18" s="69">
        <f t="shared" si="6"/>
        <v>19781.377206265486</v>
      </c>
      <c r="L18" s="69">
        <f t="shared" si="6"/>
        <v>19781.377206265486</v>
      </c>
      <c r="M18" s="69">
        <f t="shared" si="6"/>
        <v>19781.377206265486</v>
      </c>
      <c r="N18" s="69">
        <f>SUM(B18:M18)</f>
        <v>230944.72378926919</v>
      </c>
      <c r="O18" s="69">
        <f>N20*D35</f>
        <v>230944.72378926916</v>
      </c>
      <c r="P18" s="70">
        <f>O18-N13</f>
        <v>-66225.996210730809</v>
      </c>
      <c r="Q18" s="87">
        <f>O18/N20</f>
        <v>0.71808196187045104</v>
      </c>
      <c r="R18" s="33"/>
      <c r="S18" s="33"/>
    </row>
    <row r="19" spans="1:19" ht="15" x14ac:dyDescent="0.25">
      <c r="A19" s="79" t="s">
        <v>71</v>
      </c>
      <c r="B19" s="71">
        <f>B15*$D$36</f>
        <v>7134.8634652136816</v>
      </c>
      <c r="C19" s="71">
        <f t="shared" ref="C19:M19" si="7">C15*$D$36</f>
        <v>7134.8634652136816</v>
      </c>
      <c r="D19" s="71">
        <f t="shared" si="7"/>
        <v>7134.8634652136816</v>
      </c>
      <c r="E19" s="82">
        <f t="shared" si="7"/>
        <v>7134.8634652136816</v>
      </c>
      <c r="F19" s="71">
        <f t="shared" si="7"/>
        <v>7766.1427937345115</v>
      </c>
      <c r="G19" s="71">
        <f t="shared" si="7"/>
        <v>7766.1427937345115</v>
      </c>
      <c r="H19" s="71">
        <f t="shared" si="7"/>
        <v>7766.1427937345115</v>
      </c>
      <c r="I19" s="71">
        <f t="shared" si="7"/>
        <v>7766.1427937345115</v>
      </c>
      <c r="J19" s="71">
        <f t="shared" si="7"/>
        <v>7766.1427937345115</v>
      </c>
      <c r="K19" s="71">
        <f t="shared" si="7"/>
        <v>7766.1427937345115</v>
      </c>
      <c r="L19" s="71">
        <f t="shared" si="7"/>
        <v>7766.1427937345115</v>
      </c>
      <c r="M19" s="71">
        <f t="shared" si="7"/>
        <v>7766.1427937345115</v>
      </c>
      <c r="N19" s="71">
        <f>SUM(B19:M19)</f>
        <v>90668.59621073083</v>
      </c>
      <c r="O19" s="71">
        <f>N20*D36</f>
        <v>90668.596210730815</v>
      </c>
      <c r="P19" s="71">
        <f>O19-N14</f>
        <v>66225.996210730809</v>
      </c>
      <c r="Q19" s="87">
        <f>O19/N20</f>
        <v>0.28191803812954891</v>
      </c>
      <c r="R19" s="33"/>
      <c r="S19" s="33"/>
    </row>
    <row r="20" spans="1:19" ht="15.75" thickBot="1" x14ac:dyDescent="0.3">
      <c r="A20" s="79" t="s">
        <v>46</v>
      </c>
      <c r="B20" s="72">
        <f>SUM(B18:B19)</f>
        <v>25308.29</v>
      </c>
      <c r="C20" s="72">
        <f t="shared" ref="C20:N20" si="8">SUM(C18:C19)</f>
        <v>25308.29</v>
      </c>
      <c r="D20" s="72">
        <f>SUM(D18:D19)</f>
        <v>25308.29</v>
      </c>
      <c r="E20" s="84">
        <f t="shared" si="8"/>
        <v>25308.29</v>
      </c>
      <c r="F20" s="72">
        <f t="shared" si="8"/>
        <v>27547.519999999997</v>
      </c>
      <c r="G20" s="72">
        <f t="shared" si="8"/>
        <v>27547.519999999997</v>
      </c>
      <c r="H20" s="72">
        <f>SUM(H18:H19)</f>
        <v>27547.519999999997</v>
      </c>
      <c r="I20" s="72">
        <f t="shared" si="8"/>
        <v>27547.519999999997</v>
      </c>
      <c r="J20" s="72">
        <f>SUM(J18:J19)</f>
        <v>27547.519999999997</v>
      </c>
      <c r="K20" s="72">
        <f t="shared" si="8"/>
        <v>27547.519999999997</v>
      </c>
      <c r="L20" s="72">
        <f>SUM(L18:L19)</f>
        <v>27547.519999999997</v>
      </c>
      <c r="M20" s="72">
        <f t="shared" si="8"/>
        <v>27547.519999999997</v>
      </c>
      <c r="N20" s="72">
        <f t="shared" si="8"/>
        <v>321613.32</v>
      </c>
      <c r="O20" s="72">
        <f>SUM(O18:O19)</f>
        <v>321613.31999999995</v>
      </c>
      <c r="P20" s="72">
        <f>SUM(P18:P19)</f>
        <v>0</v>
      </c>
      <c r="Q20" s="68"/>
      <c r="R20" s="33"/>
      <c r="S20" s="33"/>
    </row>
    <row r="21" spans="1:19" ht="15.75" thickTop="1" x14ac:dyDescent="0.25">
      <c r="A21" s="38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42"/>
      <c r="O21" s="35"/>
      <c r="P21" s="35"/>
      <c r="Q21" s="35"/>
      <c r="R21" s="33"/>
      <c r="S21" s="33"/>
    </row>
    <row r="22" spans="1:19" ht="15" x14ac:dyDescent="0.25">
      <c r="A22" s="38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50"/>
      <c r="P22" s="36"/>
      <c r="Q22" s="35"/>
      <c r="R22" s="33"/>
      <c r="S22" s="33"/>
    </row>
    <row r="23" spans="1:19" ht="15" x14ac:dyDescent="0.25">
      <c r="A23" s="53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50"/>
      <c r="P23" s="39"/>
      <c r="Q23" s="53"/>
      <c r="R23" s="33"/>
      <c r="S23" s="33"/>
    </row>
    <row r="24" spans="1:19" ht="15" x14ac:dyDescent="0.25">
      <c r="A24" s="53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50"/>
      <c r="P24" s="39"/>
      <c r="Q24" s="53"/>
      <c r="R24" s="33"/>
      <c r="S24" s="33"/>
    </row>
    <row r="25" spans="1:19" ht="15" x14ac:dyDescent="0.25">
      <c r="A25" s="53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50"/>
      <c r="P25" s="39"/>
      <c r="Q25" s="53"/>
      <c r="R25" s="33"/>
      <c r="S25" s="33"/>
    </row>
    <row r="26" spans="1:19" ht="15" x14ac:dyDescent="0.25">
      <c r="A26" s="53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50"/>
      <c r="P26" s="39"/>
      <c r="Q26" s="53"/>
      <c r="R26" s="33"/>
      <c r="S26" s="33"/>
    </row>
    <row r="27" spans="1:19" ht="15" x14ac:dyDescent="0.25">
      <c r="A27" s="53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50"/>
      <c r="P27" s="39"/>
      <c r="Q27" s="53"/>
      <c r="R27" s="33"/>
      <c r="S27" s="33"/>
    </row>
    <row r="28" spans="1:19" ht="15" x14ac:dyDescent="0.25">
      <c r="A28" s="53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50"/>
      <c r="P28" s="39"/>
      <c r="Q28" s="53"/>
      <c r="R28" s="33"/>
      <c r="S28" s="33"/>
    </row>
    <row r="29" spans="1:19" ht="15" x14ac:dyDescent="0.25">
      <c r="A29" s="53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50"/>
      <c r="P29" s="39"/>
      <c r="Q29" s="53"/>
      <c r="R29" s="33"/>
      <c r="S29" s="33"/>
    </row>
    <row r="30" spans="1:19" ht="15" x14ac:dyDescent="0.25">
      <c r="A30" s="53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50"/>
      <c r="P30" s="39"/>
      <c r="Q30" s="53"/>
      <c r="R30" s="33"/>
      <c r="S30" s="33"/>
    </row>
    <row r="31" spans="1:19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  <c r="O31" s="50"/>
      <c r="P31" s="39"/>
      <c r="Q31" s="35"/>
      <c r="R31" s="33"/>
      <c r="S31" s="33"/>
    </row>
    <row r="32" spans="1:19" ht="15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7"/>
      <c r="O32" s="50"/>
      <c r="P32" s="39"/>
      <c r="Q32" s="35"/>
      <c r="R32" s="33"/>
      <c r="S32" s="33"/>
    </row>
    <row r="33" spans="1:19" ht="15" x14ac:dyDescent="0.25">
      <c r="A33" s="35"/>
      <c r="B33" s="40" t="s">
        <v>49</v>
      </c>
      <c r="C33" s="40" t="s">
        <v>50</v>
      </c>
      <c r="D33" s="40" t="s">
        <v>51</v>
      </c>
      <c r="E33" s="40" t="s">
        <v>52</v>
      </c>
      <c r="F33" s="35"/>
      <c r="G33" s="35"/>
      <c r="H33" s="35"/>
      <c r="I33" s="35"/>
      <c r="J33" s="35"/>
      <c r="K33" s="35"/>
      <c r="L33" s="35"/>
      <c r="M33" s="35"/>
      <c r="N33" s="37"/>
      <c r="O33" s="50"/>
      <c r="P33" s="39"/>
      <c r="Q33" s="35"/>
      <c r="R33" s="33"/>
      <c r="S33" s="33"/>
    </row>
    <row r="34" spans="1:19" ht="15" x14ac:dyDescent="0.25">
      <c r="A34" s="35"/>
      <c r="B34" s="41" t="s">
        <v>54</v>
      </c>
      <c r="C34" s="41" t="s">
        <v>55</v>
      </c>
      <c r="D34" s="41" t="s">
        <v>56</v>
      </c>
      <c r="E34" s="41" t="s">
        <v>42</v>
      </c>
      <c r="F34" s="41" t="s">
        <v>5</v>
      </c>
      <c r="G34" s="35"/>
      <c r="H34" s="35"/>
      <c r="I34" s="35"/>
      <c r="J34" s="35"/>
      <c r="K34" s="35"/>
      <c r="L34" s="35"/>
      <c r="M34" s="35"/>
      <c r="N34" s="37"/>
      <c r="O34" s="50"/>
      <c r="P34" s="39"/>
      <c r="Q34" s="35"/>
      <c r="R34" s="33"/>
      <c r="S34" s="33"/>
    </row>
    <row r="35" spans="1:19" ht="15" x14ac:dyDescent="0.25">
      <c r="A35" s="35" t="s">
        <v>57</v>
      </c>
      <c r="B35" s="43">
        <f>'CE Allocation'!D7</f>
        <v>0.8361639237409022</v>
      </c>
      <c r="C35" s="43">
        <f>'Director''s Fees'!O8</f>
        <v>0.6</v>
      </c>
      <c r="D35" s="43">
        <f>AVERAGE(B35:C35)</f>
        <v>0.71808196187045104</v>
      </c>
      <c r="E35" s="43">
        <f>N13/N15</f>
        <v>0.92400003830687116</v>
      </c>
      <c r="F35" s="43">
        <f>D35-E35</f>
        <v>-0.20591807643642013</v>
      </c>
      <c r="G35" s="35"/>
      <c r="H35" s="35"/>
      <c r="I35" s="35"/>
      <c r="J35" s="35"/>
      <c r="K35" s="35"/>
      <c r="L35" s="35"/>
      <c r="M35" s="35"/>
      <c r="N35" s="37"/>
      <c r="O35" s="50"/>
      <c r="P35" s="39"/>
      <c r="Q35" s="35"/>
      <c r="R35" s="33"/>
      <c r="S35" s="33"/>
    </row>
    <row r="36" spans="1:19" ht="15" x14ac:dyDescent="0.25">
      <c r="A36" s="35" t="s">
        <v>58</v>
      </c>
      <c r="B36" s="43">
        <f>'CE Allocation'!E7</f>
        <v>0.1638360762590978</v>
      </c>
      <c r="C36" s="43">
        <f>SUM('Director''s Fees'!O10:O17)</f>
        <v>0.4</v>
      </c>
      <c r="D36" s="43">
        <f>AVERAGE(B36:C36)</f>
        <v>0.28191803812954891</v>
      </c>
      <c r="E36" s="43">
        <f>N14/N15</f>
        <v>7.5999961693128892E-2</v>
      </c>
      <c r="F36" s="43">
        <f>D36-E36</f>
        <v>0.20591807643642002</v>
      </c>
      <c r="G36" s="35"/>
      <c r="H36" s="35"/>
      <c r="I36" s="35"/>
      <c r="J36" s="35"/>
      <c r="K36" s="35"/>
      <c r="L36" s="35"/>
      <c r="M36" s="35"/>
      <c r="N36" s="37"/>
      <c r="O36" s="50"/>
      <c r="P36" s="39"/>
      <c r="Q36" s="35"/>
      <c r="R36" s="33"/>
      <c r="S36" s="33"/>
    </row>
    <row r="37" spans="1:19" ht="15.75" thickBot="1" x14ac:dyDescent="0.3">
      <c r="A37" s="35" t="s">
        <v>53</v>
      </c>
      <c r="B37" s="44">
        <f>SUM(B35:B36)</f>
        <v>1</v>
      </c>
      <c r="C37" s="44">
        <f>SUM(C35:C36)</f>
        <v>1</v>
      </c>
      <c r="D37" s="44">
        <f>SUM(D35:D36)</f>
        <v>1</v>
      </c>
      <c r="E37" s="44">
        <f>SUM(E35:E36)</f>
        <v>1</v>
      </c>
      <c r="F37" s="44">
        <f>SUM(F35:F36)</f>
        <v>0</v>
      </c>
      <c r="G37" s="35"/>
      <c r="H37" s="35"/>
      <c r="I37" s="35"/>
      <c r="J37" s="35"/>
      <c r="K37" s="35"/>
      <c r="L37" s="35"/>
      <c r="M37" s="35"/>
      <c r="N37" s="37"/>
      <c r="O37" s="50"/>
      <c r="P37" s="39"/>
      <c r="Q37" s="35"/>
      <c r="R37" s="33"/>
      <c r="S37" s="33"/>
    </row>
    <row r="38" spans="1:19" ht="15.75" thickTop="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 t="s">
        <v>74</v>
      </c>
      <c r="K38" s="35"/>
      <c r="L38" s="35"/>
      <c r="M38" s="35"/>
      <c r="N38" s="37"/>
      <c r="O38" s="50"/>
      <c r="P38" s="39"/>
      <c r="Q38" s="35"/>
      <c r="R38" s="33"/>
      <c r="S38" s="33"/>
    </row>
    <row r="39" spans="1:19" ht="15" x14ac:dyDescent="0.25">
      <c r="A39" s="33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3"/>
      <c r="R39" s="33"/>
      <c r="S39" s="33"/>
    </row>
    <row r="40" spans="1:19" ht="15" x14ac:dyDescent="0.25">
      <c r="A40" s="33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3"/>
      <c r="R40" s="33"/>
      <c r="S40" s="33"/>
    </row>
    <row r="41" spans="1:19" ht="15" x14ac:dyDescent="0.25">
      <c r="A41" s="33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3"/>
      <c r="R41" s="33"/>
      <c r="S41" s="33"/>
    </row>
    <row r="42" spans="1:19" ht="15" x14ac:dyDescent="0.25">
      <c r="A42" s="33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3"/>
      <c r="R42" s="33"/>
      <c r="S42" s="33"/>
    </row>
    <row r="43" spans="1:19" ht="15" x14ac:dyDescent="0.25">
      <c r="A43" s="33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3"/>
      <c r="R43" s="33"/>
      <c r="S43" s="33"/>
    </row>
    <row r="44" spans="1:19" ht="15" x14ac:dyDescent="0.25">
      <c r="A44" s="33"/>
      <c r="B44" s="35"/>
      <c r="C44" s="35"/>
      <c r="D44" s="35"/>
      <c r="E44" s="35"/>
      <c r="F44" s="35" t="s">
        <v>73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3"/>
      <c r="R44" s="33"/>
      <c r="S44" s="33"/>
    </row>
  </sheetData>
  <printOptions horizontalCentered="1"/>
  <pageMargins left="0.45" right="0.45" top="0.75" bottom="0.75" header="0.3" footer="0.3"/>
  <pageSetup scale="68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C14" sqref="C14"/>
    </sheetView>
  </sheetViews>
  <sheetFormatPr defaultColWidth="8.85546875" defaultRowHeight="12.75" customHeight="1" x14ac:dyDescent="0.2"/>
  <cols>
    <col min="1" max="1" width="15.85546875" bestFit="1" customWidth="1"/>
    <col min="2" max="2" width="13.28515625" bestFit="1" customWidth="1"/>
    <col min="3" max="4" width="14" bestFit="1" customWidth="1"/>
    <col min="5" max="5" width="13.28515625" bestFit="1" customWidth="1"/>
    <col min="6" max="6" width="14" bestFit="1" customWidth="1"/>
    <col min="7" max="7" width="4.42578125" bestFit="1" customWidth="1"/>
    <col min="8" max="12" width="8.85546875" customWidth="1"/>
  </cols>
  <sheetData>
    <row r="1" spans="1:8" ht="15" x14ac:dyDescent="0.25">
      <c r="A1" s="34" t="s">
        <v>31</v>
      </c>
      <c r="B1" s="35"/>
      <c r="C1" s="35"/>
      <c r="D1" s="35"/>
      <c r="E1" s="35"/>
      <c r="F1" s="35"/>
      <c r="G1" s="33"/>
    </row>
    <row r="2" spans="1:8" ht="15" x14ac:dyDescent="0.25">
      <c r="A2" s="111" t="s">
        <v>84</v>
      </c>
      <c r="G2" s="33"/>
    </row>
    <row r="3" spans="1:8" ht="15" x14ac:dyDescent="0.25">
      <c r="A3" s="33"/>
      <c r="B3" s="47" t="s">
        <v>63</v>
      </c>
      <c r="C3" s="47" t="s">
        <v>64</v>
      </c>
      <c r="D3" s="47" t="s">
        <v>65</v>
      </c>
      <c r="E3" s="47" t="s">
        <v>66</v>
      </c>
      <c r="F3" s="47" t="s">
        <v>67</v>
      </c>
      <c r="G3" s="33"/>
    </row>
    <row r="4" spans="1:8" ht="15" x14ac:dyDescent="0.25">
      <c r="A4" s="33"/>
      <c r="B4" s="46" t="s">
        <v>32</v>
      </c>
      <c r="C4" s="46" t="s">
        <v>33</v>
      </c>
      <c r="D4" s="46" t="s">
        <v>34</v>
      </c>
      <c r="E4" s="46" t="s">
        <v>25</v>
      </c>
      <c r="F4" s="46" t="s">
        <v>10</v>
      </c>
      <c r="G4" s="35"/>
    </row>
    <row r="5" spans="1:8" ht="22.5" x14ac:dyDescent="0.25">
      <c r="A5" s="33" t="s">
        <v>61</v>
      </c>
      <c r="B5" s="48" t="s">
        <v>60</v>
      </c>
      <c r="C5" s="48" t="s">
        <v>62</v>
      </c>
      <c r="D5" s="49" t="s">
        <v>68</v>
      </c>
      <c r="E5" s="48" t="s">
        <v>28</v>
      </c>
      <c r="F5" s="49" t="s">
        <v>69</v>
      </c>
      <c r="G5" s="35"/>
    </row>
    <row r="6" spans="1:8" ht="15" x14ac:dyDescent="0.25">
      <c r="A6" s="33" t="s">
        <v>30</v>
      </c>
      <c r="B6" s="62">
        <v>359668.31642800197</v>
      </c>
      <c r="C6" s="109">
        <v>24637737.599999998</v>
      </c>
      <c r="D6" s="62">
        <f>SUM(B6:C6)</f>
        <v>24997405.916428</v>
      </c>
      <c r="E6" s="62">
        <v>4897935.4235719983</v>
      </c>
      <c r="F6" s="62">
        <f>D6+E6</f>
        <v>29895341.339999996</v>
      </c>
      <c r="G6" s="110">
        <v>0</v>
      </c>
      <c r="H6" s="64" t="s">
        <v>82</v>
      </c>
    </row>
    <row r="7" spans="1:8" ht="15" x14ac:dyDescent="0.25">
      <c r="A7" s="33" t="s">
        <v>17</v>
      </c>
      <c r="B7" s="63">
        <f>B6/$F$6</f>
        <v>1.2030915196367583E-2</v>
      </c>
      <c r="C7" s="63">
        <f>C6/$F$6</f>
        <v>0.82413300854453464</v>
      </c>
      <c r="D7" s="63">
        <f>SUM(B7:C7)</f>
        <v>0.8361639237409022</v>
      </c>
      <c r="E7" s="63">
        <f>E6/$F$6</f>
        <v>0.1638360762590978</v>
      </c>
      <c r="F7" s="63">
        <f>F6/$F$6</f>
        <v>1</v>
      </c>
    </row>
    <row r="8" spans="1:8" ht="15" x14ac:dyDescent="0.25">
      <c r="A8" s="33"/>
      <c r="B8" s="35"/>
      <c r="C8" s="35"/>
      <c r="D8" s="35"/>
      <c r="E8" s="35"/>
      <c r="F8" s="35"/>
    </row>
    <row r="9" spans="1:8" ht="15" x14ac:dyDescent="0.25">
      <c r="A9" s="33"/>
      <c r="B9" s="35"/>
      <c r="C9" s="35"/>
      <c r="D9" s="35"/>
      <c r="E9" s="35"/>
      <c r="F9" s="35"/>
      <c r="G9" s="35"/>
    </row>
    <row r="10" spans="1:8" ht="15" x14ac:dyDescent="0.25">
      <c r="G10" s="35"/>
    </row>
    <row r="21" spans="1:7" ht="15" x14ac:dyDescent="0.25">
      <c r="A21" s="33"/>
      <c r="B21" s="33"/>
      <c r="C21" s="33"/>
      <c r="D21" s="35"/>
      <c r="E21" s="35"/>
      <c r="F21" s="35"/>
    </row>
    <row r="22" spans="1:7" ht="15" x14ac:dyDescent="0.25">
      <c r="A22" s="33"/>
      <c r="B22" s="33"/>
      <c r="C22" s="33"/>
      <c r="D22" s="33"/>
      <c r="E22" s="33"/>
      <c r="F22" s="33"/>
      <c r="G22" s="35"/>
    </row>
    <row r="23" spans="1:7" ht="15" x14ac:dyDescent="0.25">
      <c r="A23" s="33"/>
      <c r="B23" s="33"/>
      <c r="C23" s="33"/>
      <c r="D23" s="33"/>
      <c r="E23" s="33"/>
      <c r="F23" s="33"/>
      <c r="G23" s="33"/>
    </row>
    <row r="24" spans="1:7" ht="15" x14ac:dyDescent="0.25">
      <c r="A24" s="33"/>
      <c r="B24" s="33"/>
      <c r="C24" s="33"/>
      <c r="D24" s="33"/>
      <c r="E24" s="33"/>
      <c r="F24" s="33"/>
      <c r="G24" s="33"/>
    </row>
    <row r="25" spans="1:7" ht="15" x14ac:dyDescent="0.25">
      <c r="A25" s="33"/>
      <c r="B25" s="33"/>
      <c r="C25" s="33"/>
      <c r="D25" s="33"/>
      <c r="E25" s="33"/>
      <c r="F25" s="33"/>
      <c r="G25" s="33"/>
    </row>
    <row r="26" spans="1:7" ht="15" x14ac:dyDescent="0.25">
      <c r="A26" s="33"/>
      <c r="B26" s="33"/>
      <c r="C26" s="33"/>
      <c r="D26" s="33"/>
      <c r="E26" s="33"/>
      <c r="F26" s="33"/>
      <c r="G26" s="33"/>
    </row>
    <row r="27" spans="1:7" ht="15" x14ac:dyDescent="0.25">
      <c r="A27" s="33"/>
      <c r="B27" s="33"/>
      <c r="C27" s="33"/>
      <c r="D27" s="33"/>
      <c r="E27" s="33"/>
      <c r="F27" s="33"/>
      <c r="G27" s="33"/>
    </row>
    <row r="28" spans="1:7" ht="15" x14ac:dyDescent="0.25">
      <c r="A28" s="33"/>
      <c r="B28" s="33"/>
      <c r="C28" s="33"/>
      <c r="D28" s="33"/>
      <c r="E28" s="33"/>
      <c r="F28" s="33"/>
      <c r="G28" s="33"/>
    </row>
    <row r="29" spans="1:7" ht="15" x14ac:dyDescent="0.25">
      <c r="A29" s="33"/>
      <c r="B29" s="33"/>
      <c r="C29" s="33"/>
      <c r="D29" s="33"/>
      <c r="E29" s="33"/>
      <c r="F29" s="33"/>
      <c r="G29" s="33"/>
    </row>
    <row r="30" spans="1:7" ht="15" x14ac:dyDescent="0.25">
      <c r="A30" s="33"/>
      <c r="B30" s="33"/>
      <c r="C30" s="33"/>
      <c r="D30" s="33"/>
      <c r="E30" s="33"/>
      <c r="F30" s="33"/>
      <c r="G30" s="33"/>
    </row>
    <row r="31" spans="1:7" ht="15" x14ac:dyDescent="0.25">
      <c r="A31" s="33"/>
      <c r="B31" s="33"/>
      <c r="C31" s="33"/>
      <c r="D31" s="33"/>
      <c r="E31" s="33"/>
      <c r="F31" s="33"/>
      <c r="G31" s="33"/>
    </row>
    <row r="32" spans="1:7" ht="15" x14ac:dyDescent="0.25">
      <c r="A32" s="33"/>
      <c r="B32" s="33"/>
      <c r="C32" s="33"/>
      <c r="D32" s="33"/>
      <c r="E32" s="33"/>
      <c r="F32" s="33"/>
      <c r="G32" s="33"/>
    </row>
    <row r="33" spans="1:7" ht="15" x14ac:dyDescent="0.25">
      <c r="A33" s="33"/>
      <c r="B33" s="33"/>
      <c r="C33" s="33"/>
      <c r="D33" s="33"/>
      <c r="E33" s="33"/>
      <c r="F33" s="33" t="s">
        <v>75</v>
      </c>
      <c r="G33" s="3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workbookViewId="0">
      <selection activeCell="E8" sqref="E8"/>
    </sheetView>
  </sheetViews>
  <sheetFormatPr defaultRowHeight="12.75" customHeight="1" x14ac:dyDescent="0.2"/>
  <cols>
    <col min="1" max="1" width="20.28515625" bestFit="1" customWidth="1"/>
    <col min="2" max="2" width="1.7109375" customWidth="1"/>
    <col min="3" max="3" width="17.7109375" bestFit="1" customWidth="1"/>
    <col min="4" max="4" width="1.7109375" customWidth="1"/>
    <col min="5" max="5" width="10.28515625" bestFit="1" customWidth="1"/>
    <col min="6" max="6" width="1.7109375" customWidth="1"/>
    <col min="7" max="7" width="10.28515625" bestFit="1" customWidth="1"/>
    <col min="8" max="8" width="1.5703125" customWidth="1"/>
    <col min="9" max="9" width="12.7109375" customWidth="1"/>
    <col min="10" max="10" width="2.140625" customWidth="1"/>
    <col min="11" max="11" width="9.85546875" bestFit="1" customWidth="1"/>
    <col min="12" max="12" width="1.7109375" customWidth="1"/>
    <col min="13" max="13" width="11.28515625" bestFit="1" customWidth="1"/>
    <col min="14" max="14" width="1.85546875" customWidth="1"/>
    <col min="15" max="15" width="11.28515625" customWidth="1"/>
  </cols>
  <sheetData>
    <row r="1" spans="1:15" ht="15.75" x14ac:dyDescent="0.25">
      <c r="A1" s="108" t="s">
        <v>15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.75" x14ac:dyDescent="0.25">
      <c r="A2" s="108" t="s">
        <v>85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x14ac:dyDescent="0.2">
      <c r="A5" s="51"/>
      <c r="B5" s="51"/>
      <c r="C5" s="51" t="s">
        <v>16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 t="s">
        <v>17</v>
      </c>
    </row>
    <row r="6" spans="1:15" ht="15.75" thickBot="1" x14ac:dyDescent="0.3">
      <c r="A6" s="51"/>
      <c r="B6" s="51"/>
      <c r="C6" s="52" t="s">
        <v>18</v>
      </c>
      <c r="D6" s="90"/>
      <c r="E6" s="91" t="s">
        <v>86</v>
      </c>
      <c r="F6" s="90"/>
      <c r="G6" s="91" t="s">
        <v>87</v>
      </c>
      <c r="H6" s="51"/>
      <c r="I6" s="91" t="s">
        <v>88</v>
      </c>
      <c r="J6" s="92"/>
      <c r="K6" s="91" t="s">
        <v>89</v>
      </c>
      <c r="L6" s="91"/>
      <c r="M6" s="52" t="s">
        <v>19</v>
      </c>
      <c r="N6" s="51"/>
      <c r="O6" s="52" t="s">
        <v>20</v>
      </c>
    </row>
    <row r="7" spans="1:15" ht="15" x14ac:dyDescent="0.25">
      <c r="A7" s="18"/>
      <c r="B7" s="18"/>
      <c r="C7" s="18"/>
      <c r="D7" s="18"/>
      <c r="E7" s="18"/>
      <c r="F7" s="18"/>
      <c r="G7" s="18"/>
      <c r="H7" s="18"/>
      <c r="I7" s="92"/>
      <c r="J7" s="92"/>
      <c r="K7" s="92"/>
      <c r="L7" s="92"/>
      <c r="M7" s="18"/>
      <c r="N7" s="18"/>
      <c r="O7" s="18"/>
    </row>
    <row r="8" spans="1:15" ht="15" x14ac:dyDescent="0.25">
      <c r="A8" s="18" t="s">
        <v>24</v>
      </c>
      <c r="B8" s="18"/>
      <c r="C8" s="54" t="s">
        <v>27</v>
      </c>
      <c r="D8" s="54"/>
      <c r="E8" s="93">
        <v>163134</v>
      </c>
      <c r="F8" s="94"/>
      <c r="G8" s="93">
        <v>156510</v>
      </c>
      <c r="H8" s="95"/>
      <c r="I8" s="93">
        <v>155550</v>
      </c>
      <c r="J8" s="96"/>
      <c r="K8" s="93">
        <v>155550</v>
      </c>
      <c r="L8" s="97"/>
      <c r="M8" s="98">
        <f>SUM(E8:L8)</f>
        <v>630744</v>
      </c>
      <c r="N8" s="18"/>
      <c r="O8" s="99">
        <f>M8/$M$18</f>
        <v>0.6</v>
      </c>
    </row>
    <row r="9" spans="1:15" ht="15" x14ac:dyDescent="0.25">
      <c r="A9" s="18"/>
      <c r="B9" s="18"/>
      <c r="C9" s="56"/>
      <c r="D9" s="56"/>
      <c r="E9" s="100"/>
      <c r="F9" s="100"/>
      <c r="G9" s="100"/>
      <c r="H9" s="95"/>
      <c r="I9" s="97"/>
      <c r="J9" s="96"/>
      <c r="K9" s="97"/>
      <c r="L9" s="97"/>
      <c r="M9" s="95"/>
      <c r="N9" s="18"/>
      <c r="O9" s="57"/>
    </row>
    <row r="10" spans="1:15" ht="15" x14ac:dyDescent="0.25">
      <c r="A10" s="18" t="s">
        <v>25</v>
      </c>
      <c r="B10" s="18"/>
      <c r="C10" s="54">
        <v>41710250</v>
      </c>
      <c r="D10" s="54"/>
      <c r="E10" s="98">
        <v>0</v>
      </c>
      <c r="F10" s="94"/>
      <c r="G10" s="98">
        <v>0</v>
      </c>
      <c r="H10" s="95"/>
      <c r="I10" s="101">
        <v>0</v>
      </c>
      <c r="J10" s="96"/>
      <c r="K10" s="102">
        <v>0</v>
      </c>
      <c r="L10" s="102"/>
      <c r="M10" s="98">
        <f>SUM(E10:L10)</f>
        <v>0</v>
      </c>
      <c r="N10" s="18"/>
      <c r="O10" s="99">
        <f>M10/$M$18</f>
        <v>0</v>
      </c>
    </row>
    <row r="11" spans="1:15" ht="15" x14ac:dyDescent="0.25">
      <c r="A11" s="18"/>
      <c r="B11" s="18"/>
      <c r="C11" s="56"/>
      <c r="D11" s="56"/>
      <c r="E11" s="100"/>
      <c r="F11" s="100"/>
      <c r="G11" s="100"/>
      <c r="H11" s="95"/>
      <c r="I11" s="97"/>
      <c r="J11" s="96"/>
      <c r="K11" s="97"/>
      <c r="L11" s="97"/>
      <c r="M11" s="102"/>
      <c r="N11" s="18"/>
      <c r="O11" s="99"/>
    </row>
    <row r="12" spans="1:15" ht="15" x14ac:dyDescent="0.25">
      <c r="A12" s="18" t="s">
        <v>21</v>
      </c>
      <c r="B12" s="18"/>
      <c r="C12" s="56">
        <v>149060037</v>
      </c>
      <c r="D12" s="56"/>
      <c r="E12" s="93">
        <v>54378</v>
      </c>
      <c r="F12" s="100"/>
      <c r="G12" s="93">
        <v>52170</v>
      </c>
      <c r="H12" s="95"/>
      <c r="I12" s="93">
        <v>51850</v>
      </c>
      <c r="J12" s="96"/>
      <c r="K12" s="93">
        <v>51850</v>
      </c>
      <c r="L12" s="97"/>
      <c r="M12" s="102">
        <f>SUM(E12:K12)</f>
        <v>210248</v>
      </c>
      <c r="N12" s="18"/>
      <c r="O12" s="99">
        <f t="shared" ref="O12:O14" si="0">M12/$M$18</f>
        <v>0.2</v>
      </c>
    </row>
    <row r="13" spans="1:15" ht="15" x14ac:dyDescent="0.25">
      <c r="A13" s="18"/>
      <c r="B13" s="18"/>
      <c r="C13" s="56"/>
      <c r="D13" s="56"/>
      <c r="E13" s="100"/>
      <c r="F13" s="100"/>
      <c r="G13" s="100"/>
      <c r="H13" s="95"/>
      <c r="I13" s="97"/>
      <c r="J13" s="96"/>
      <c r="K13" s="97"/>
      <c r="L13" s="97"/>
      <c r="M13" s="102"/>
      <c r="N13" s="18"/>
      <c r="O13" s="99"/>
    </row>
    <row r="14" spans="1:15" ht="15" x14ac:dyDescent="0.25">
      <c r="A14" s="18" t="s">
        <v>22</v>
      </c>
      <c r="B14" s="18"/>
      <c r="C14" s="56">
        <v>149070008</v>
      </c>
      <c r="D14" s="56"/>
      <c r="E14" s="93">
        <v>54378</v>
      </c>
      <c r="F14" s="100"/>
      <c r="G14" s="93">
        <v>52170</v>
      </c>
      <c r="H14" s="95"/>
      <c r="I14" s="93">
        <v>51850</v>
      </c>
      <c r="J14" s="96"/>
      <c r="K14" s="93">
        <v>51850</v>
      </c>
      <c r="L14" s="103"/>
      <c r="M14" s="102">
        <f>SUM(E14:K14)</f>
        <v>210248</v>
      </c>
      <c r="N14" s="18"/>
      <c r="O14" s="99">
        <f t="shared" si="0"/>
        <v>0.2</v>
      </c>
    </row>
    <row r="15" spans="1:15" ht="15" x14ac:dyDescent="0.25">
      <c r="A15" s="18"/>
      <c r="B15" s="18"/>
      <c r="C15" s="56"/>
      <c r="D15" s="56"/>
      <c r="E15" s="100"/>
      <c r="F15" s="100"/>
      <c r="G15" s="100"/>
      <c r="H15" s="95"/>
      <c r="I15" s="103"/>
      <c r="J15" s="96"/>
      <c r="K15" s="103"/>
      <c r="L15" s="103"/>
      <c r="M15" s="102"/>
      <c r="N15" s="18"/>
      <c r="O15" s="57"/>
    </row>
    <row r="16" spans="1:15" ht="15" x14ac:dyDescent="0.25">
      <c r="A16" s="18" t="s">
        <v>90</v>
      </c>
      <c r="B16" s="18"/>
      <c r="C16" s="56">
        <v>18600883</v>
      </c>
      <c r="D16" s="56"/>
      <c r="E16" s="102">
        <v>0</v>
      </c>
      <c r="F16" s="100"/>
      <c r="G16" s="102">
        <v>0</v>
      </c>
      <c r="H16" s="95"/>
      <c r="I16" s="102">
        <v>0</v>
      </c>
      <c r="J16" s="96"/>
      <c r="K16" s="102">
        <v>0</v>
      </c>
      <c r="L16" s="102"/>
      <c r="M16" s="98">
        <f>SUM(E16:L16)</f>
        <v>0</v>
      </c>
      <c r="N16" s="18"/>
      <c r="O16" s="99">
        <f>M16/$M$18</f>
        <v>0</v>
      </c>
    </row>
    <row r="17" spans="1:15" x14ac:dyDescent="0.2">
      <c r="A17" s="18"/>
      <c r="B17" s="18"/>
      <c r="C17" s="56"/>
      <c r="D17" s="56"/>
      <c r="E17" s="56"/>
      <c r="F17" s="56"/>
      <c r="G17" s="56"/>
      <c r="H17" s="18"/>
      <c r="I17" s="104"/>
      <c r="J17" s="55"/>
      <c r="K17" s="104"/>
      <c r="L17" s="104"/>
      <c r="M17" s="105"/>
      <c r="N17" s="18"/>
      <c r="O17" s="57"/>
    </row>
    <row r="18" spans="1:15" ht="13.5" thickBot="1" x14ac:dyDescent="0.25">
      <c r="A18" s="18" t="s">
        <v>23</v>
      </c>
      <c r="B18" s="18"/>
      <c r="C18" s="56"/>
      <c r="D18" s="56"/>
      <c r="E18" s="106">
        <f>SUM(E8:E16)</f>
        <v>271890</v>
      </c>
      <c r="F18" s="56"/>
      <c r="G18" s="106">
        <f>SUM(G8:G16)</f>
        <v>260850</v>
      </c>
      <c r="H18" s="18"/>
      <c r="I18" s="106">
        <f>SUM(I8:I16)</f>
        <v>259250</v>
      </c>
      <c r="J18" s="55"/>
      <c r="K18" s="106">
        <f>SUM(K8:K16)</f>
        <v>259250</v>
      </c>
      <c r="L18" s="106"/>
      <c r="M18" s="106">
        <f>SUM(M8:M16)</f>
        <v>1051240</v>
      </c>
      <c r="N18" s="18"/>
      <c r="O18" s="107">
        <f>SUM(O8:O16)</f>
        <v>1</v>
      </c>
    </row>
    <row r="19" spans="1:15" ht="15.75" thickTop="1" x14ac:dyDescent="0.35">
      <c r="A19" s="18"/>
      <c r="B19" s="18"/>
      <c r="C19" s="58"/>
      <c r="D19" s="20"/>
      <c r="E19" s="59"/>
      <c r="F19" s="60"/>
      <c r="G19" s="59"/>
      <c r="H19" s="59"/>
      <c r="I19" s="60"/>
      <c r="J19" s="59"/>
      <c r="K19" s="60"/>
      <c r="L19" s="60"/>
      <c r="M19" s="59"/>
      <c r="N19" s="20"/>
      <c r="O19" s="20"/>
    </row>
    <row r="20" spans="1:15" x14ac:dyDescent="0.2">
      <c r="A20" s="18" t="s">
        <v>59</v>
      </c>
      <c r="B20" s="18"/>
      <c r="C20" s="20"/>
      <c r="D20" s="20"/>
      <c r="E20" s="61"/>
      <c r="F20" s="60"/>
      <c r="G20" s="60"/>
      <c r="H20" s="60"/>
      <c r="I20" s="60"/>
      <c r="J20" s="61"/>
      <c r="K20" s="60"/>
      <c r="L20" s="60"/>
      <c r="M20" s="61"/>
      <c r="N20" s="20"/>
      <c r="O20" s="20"/>
    </row>
  </sheetData>
  <mergeCells count="1">
    <mergeCell ref="A3:O3"/>
  </mergeCells>
  <pageMargins left="0.75" right="0.75" top="1" bottom="1" header="0.5" footer="0.5"/>
  <pageSetup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408ADBF-D810-44D4-AEB5-D3F0E22F8D2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D6AAB2F0-75E0-460F-AB2B-834AAC0357E4}"/>
</file>

<file path=customXml/itemProps3.xml><?xml version="1.0" encoding="utf-8"?>
<ds:datastoreItem xmlns:ds="http://schemas.openxmlformats.org/officeDocument/2006/customXml" ds:itemID="{6E2D8B82-CC62-46A6-8D9F-6E58AE4FA7FE}"/>
</file>

<file path=customXml/itemProps4.xml><?xml version="1.0" encoding="utf-8"?>
<ds:datastoreItem xmlns:ds="http://schemas.openxmlformats.org/officeDocument/2006/customXml" ds:itemID="{A89EBE2D-5744-43E9-869F-EE413A5E7324}"/>
</file>

<file path=customXml/itemProps5.xml><?xml version="1.0" encoding="utf-8"?>
<ds:datastoreItem xmlns:ds="http://schemas.openxmlformats.org/officeDocument/2006/customXml" ds:itemID="{6017FC28-27F5-44A7-987C-CAC8783923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 Elec</vt:lpstr>
      <vt:lpstr> Gas</vt:lpstr>
      <vt:lpstr>Main wp</vt:lpstr>
      <vt:lpstr>CE Allocation</vt:lpstr>
      <vt:lpstr>Director's Fees</vt:lpstr>
      <vt:lpstr>'Main wp'!Print_Area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James DiMasso</cp:lastModifiedBy>
  <cp:lastPrinted>2018-02-13T18:43:54Z</cp:lastPrinted>
  <dcterms:created xsi:type="dcterms:W3CDTF">2003-08-20T17:00:45Z</dcterms:created>
  <dcterms:modified xsi:type="dcterms:W3CDTF">2021-03-23T19:10:54Z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3.10E &amp; 3.10G D&amp;O Insurance Dec 2019 CBR - working.xlsx</vt:lpwstr>
  </property>
  <property fmtid="{D5CDD505-2E9C-101B-9397-08002B2CF9AE}" pid="3" name="ContentTypeId">
    <vt:lpwstr>0x0101006E56B4D1795A2E4DB2F0B01679ED314A004FEA1D77CE308A4EA6E35C2A7381B207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